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6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'REGINFO'!$H$40</definedName>
    <definedName name="MofF">#REF!</definedName>
    <definedName name="_xlnm.Print_Area" localSheetId="7">'PILs 1562 Calculation'!$A$1:$Y$77</definedName>
    <definedName name="_xlnm.Print_Area" localSheetId="0">'REGINFO'!$A$1:$G$78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'TAXCALC'!$A$1:$J$226</definedName>
    <definedName name="_xlnm.Print_Area" localSheetId="2">'TAXREC'!$A$1:$G$161</definedName>
    <definedName name="_xlnm.Print_Area" localSheetId="4">'TAXREC 2'!$A$14:$E$121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'REGINFO'!$F$37</definedName>
    <definedName name="Surtax">#REF!</definedName>
  </definedNames>
  <calcPr fullCalcOnLoad="1" iterate="1" iterateCount="10000" iterateDelta="0.001"/>
</workbook>
</file>

<file path=xl/comments2.xml><?xml version="1.0" encoding="utf-8"?>
<comments xmlns="http://schemas.openxmlformats.org/spreadsheetml/2006/main">
  <authors>
    <author>Basilio, John</author>
  </authors>
  <commentList>
    <comment ref="A72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  <comment ref="A84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  <comment ref="A81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  <comment ref="A82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  <comment ref="A102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  <comment ref="A103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  <comment ref="A104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  <comment ref="A107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  <comment ref="I58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Ontario Co-Operative Education Tax Credit
Ontario Apprenticeship Training Tax Credit</t>
        </r>
      </text>
    </comment>
    <comment ref="G141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Ontario Co-Operative Education Tax Credit
Ontario Apprenticeship Training Tax Credit</t>
        </r>
      </text>
    </comment>
    <comment ref="G157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Ontario Co-Operative Education Tax Credit
Ontario Apprenticeship Training Tax Credit</t>
        </r>
      </text>
    </comment>
    <comment ref="A90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  <comment ref="A91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  <comment ref="A92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  <comment ref="A95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Based on approved 2005 RAM Decision prorated for 306 days</t>
        </r>
      </text>
    </comment>
  </commentList>
</comments>
</file>

<file path=xl/comments3.xml><?xml version="1.0" encoding="utf-8"?>
<comments xmlns="http://schemas.openxmlformats.org/spreadsheetml/2006/main">
  <authors>
    <author>Basilio, John</author>
  </authors>
  <commentList>
    <comment ref="D62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Net</t>
        </r>
      </text>
    </comment>
    <comment ref="C145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Ontario Co-Operative Education Tax Credit
Ontario Apprenticeship Training Tax Credit</t>
        </r>
      </text>
    </comment>
  </commentList>
</comments>
</file>

<file path=xl/comments8.xml><?xml version="1.0" encoding="utf-8"?>
<comments xmlns="http://schemas.openxmlformats.org/spreadsheetml/2006/main">
  <authors>
    <author>Basilio, John</author>
    <author>Lois Ouellette</author>
  </authors>
  <commentList>
    <comment ref="I12" authorId="0">
      <text>
        <r>
          <rPr>
            <b/>
            <sz val="8"/>
            <rFont val="Tahoma"/>
            <family val="2"/>
          </rPr>
          <t>Basilio, John:</t>
        </r>
        <r>
          <rPr>
            <sz val="8"/>
            <rFont val="Tahoma"/>
            <family val="2"/>
          </rPr>
          <t xml:space="preserve">
Represents four months of the annualized 2005 RAM for the former HHI and SCHUSI.</t>
        </r>
      </text>
    </comment>
    <comment ref="I20" authorId="1">
      <text>
        <r>
          <rPr>
            <b/>
            <sz val="9"/>
            <rFont val="Tahoma"/>
            <family val="2"/>
          </rPr>
          <t>Lois Ouellette:</t>
        </r>
        <r>
          <rPr>
            <sz val="9"/>
            <rFont val="Tahoma"/>
            <family val="2"/>
          </rPr>
          <t xml:space="preserve">
includes unbilled for HHI &amp; SCHUSI</t>
        </r>
      </text>
    </comment>
  </commentList>
</comments>
</file>

<file path=xl/sharedStrings.xml><?xml version="1.0" encoding="utf-8"?>
<sst xmlns="http://schemas.openxmlformats.org/spreadsheetml/2006/main" count="954" uniqueCount="534">
  <si>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</si>
  <si>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</si>
  <si>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</si>
  <si>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</si>
  <si>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</si>
  <si>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</si>
  <si>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</si>
  <si>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</si>
  <si>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</si>
  <si>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</si>
  <si>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</si>
  <si>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</si>
  <si>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</si>
  <si>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</si>
  <si>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</si>
  <si>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</si>
  <si>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</si>
  <si>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</si>
  <si>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</si>
  <si>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</si>
  <si>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</si>
  <si>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</si>
  <si>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</si>
  <si>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</si>
  <si>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</si>
  <si>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</si>
  <si>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</si>
  <si>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</si>
  <si>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</si>
  <si>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</si>
  <si>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</si>
  <si>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</si>
  <si>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</si>
  <si>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</si>
  <si>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</si>
  <si>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</si>
  <si>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</si>
  <si>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</si>
  <si>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</si>
  <si>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</si>
  <si>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</si>
  <si>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</si>
  <si>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</si>
  <si>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</si>
  <si>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</si>
  <si>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</si>
  <si>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</si>
  <si>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</si>
  <si>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</si>
  <si>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</si>
  <si>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</si>
  <si>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</si>
  <si>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</si>
  <si>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</si>
  <si>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</si>
  <si>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</si>
  <si>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</si>
  <si>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</si>
  <si>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</si>
  <si>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</si>
  <si>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</si>
  <si>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</si>
  <si>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</si>
  <si>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</si>
  <si>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</si>
  <si>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</si>
  <si>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</si>
  <si>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</si>
  <si>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</si>
  <si>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</si>
  <si>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</si>
  <si>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</si>
  <si>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</si>
  <si>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</si>
  <si>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</si>
  <si>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</si>
  <si>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</si>
  <si>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</si>
  <si>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</si>
  <si>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</si>
  <si>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</si>
  <si>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</si>
  <si>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</si>
  <si>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</si>
  <si>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</si>
  <si>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</si>
  <si>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</si>
  <si>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</si>
  <si>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</si>
  <si>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</si>
  <si>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</si>
  <si>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</si>
  <si>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</si>
  <si>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</si>
  <si>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</si>
  <si>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</si>
  <si>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</si>
  <si>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</si>
  <si>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</si>
  <si>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</si>
  <si>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</si>
  <si>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</si>
  <si>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</si>
  <si>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</si>
  <si>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</si>
  <si>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</si>
  <si>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</si>
  <si>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</si>
  <si>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</si>
  <si>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</si>
  <si>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</si>
  <si>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</si>
  <si>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</si>
  <si>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</si>
  <si>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</si>
  <si>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</si>
  <si>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</si>
  <si>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</si>
  <si>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</si>
  <si>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</si>
  <si>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</si>
  <si>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</si>
  <si>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</si>
  <si>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</si>
  <si>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</si>
  <si>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</si>
  <si>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</si>
  <si>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</si>
  <si>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</si>
  <si>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</si>
  <si>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</si>
  <si>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</si>
  <si>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</si>
  <si>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</si>
  <si>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</si>
  <si>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</si>
  <si>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</si>
  <si>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</si>
  <si>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</si>
  <si>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</si>
  <si>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</si>
  <si>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</si>
  <si>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</si>
  <si>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</si>
  <si>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</si>
  <si>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</si>
  <si>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</si>
  <si>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</si>
  <si>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</si>
  <si>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</si>
  <si>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</si>
  <si>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</si>
  <si>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</si>
  <si>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</si>
  <si>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</si>
  <si>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</si>
  <si>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</si>
  <si>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</si>
  <si>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</si>
  <si>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</si>
  <si>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</si>
  <si>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</si>
  <si>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</si>
  <si>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</si>
  <si>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</si>
  <si>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</si>
  <si>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</si>
  <si>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</si>
  <si>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</si>
  <si>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</si>
  <si>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</si>
  <si>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</si>
  <si>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</si>
  <si>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</si>
  <si>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</si>
  <si>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</si>
  <si>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</si>
  <si>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</si>
  <si>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</si>
  <si>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</si>
  <si>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</si>
  <si>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</si>
  <si>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</si>
  <si>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</si>
  <si>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</si>
  <si>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</si>
  <si>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</si>
  <si>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</si>
  <si>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</si>
  <si>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</si>
  <si>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</si>
  <si>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</si>
  <si>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</si>
  <si>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</si>
  <si>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</si>
  <si>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</si>
  <si>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</si>
  <si>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</si>
  <si>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</si>
  <si>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</si>
  <si>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</si>
  <si>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</si>
  <si>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</si>
  <si>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</si>
  <si>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</si>
  <si>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</si>
  <si>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</si>
  <si>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</si>
  <si>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</si>
  <si>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</si>
  <si>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</si>
  <si>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</si>
  <si>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</si>
  <si>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</si>
  <si>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</si>
  <si>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</si>
  <si>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</si>
  <si>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</si>
  <si>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</si>
  <si>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</si>
  <si>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</si>
  <si>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</si>
  <si>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</si>
  <si>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</si>
  <si>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</si>
  <si>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</si>
  <si>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</si>
  <si>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</si>
  <si>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</si>
  <si>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</si>
  <si>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</si>
  <si>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</si>
  <si>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</si>
  <si>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</si>
  <si>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</si>
  <si>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</si>
  <si>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</si>
  <si>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</si>
  <si>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</si>
  <si>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</si>
  <si>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</si>
  <si>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</si>
  <si>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</si>
  <si>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</si>
  <si>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</si>
  <si>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</si>
  <si>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</si>
  <si>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</si>
  <si>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</si>
  <si>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</si>
  <si>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</si>
  <si>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</si>
  <si>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</si>
  <si>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</si>
  <si>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</si>
  <si>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</si>
  <si>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</si>
  <si>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</si>
  <si>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</si>
  <si>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</si>
  <si>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</si>
  <si>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</si>
  <si>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</si>
  <si>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</si>
  <si>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</si>
  <si>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</si>
  <si>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</si>
  <si>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</si>
  <si>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</si>
  <si>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</si>
  <si>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</si>
  <si>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</si>
  <si>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</si>
  <si>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</si>
  <si>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</si>
  <si>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</si>
  <si>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</si>
  <si>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</si>
  <si>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</si>
  <si>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</si>
  <si>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</si>
  <si>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</si>
  <si>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</si>
  <si>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</si>
  <si>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</si>
  <si>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</si>
  <si>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</si>
  <si>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</si>
  <si>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</si>
  <si>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</si>
  <si>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</si>
  <si>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</si>
  <si>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</si>
  <si>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</si>
  <si>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</si>
  <si>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</si>
  <si>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</si>
  <si>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</si>
  <si>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</si>
  <si>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</si>
  <si>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</si>
  <si>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</si>
  <si>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</si>
  <si>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</si>
  <si>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</si>
  <si>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</si>
  <si>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</si>
  <si>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</si>
  <si>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</si>
  <si>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</si>
  <si>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</si>
  <si>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</si>
  <si>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</si>
  <si>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</si>
  <si>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</si>
  <si>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</si>
  <si>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</si>
  <si>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</si>
  <si>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</si>
  <si>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</si>
  <si>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</si>
  <si>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</si>
  <si>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</si>
  <si>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</si>
  <si>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</si>
  <si>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</si>
  <si>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</si>
  <si>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</si>
  <si>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</si>
  <si>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</si>
  <si>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</si>
  <si>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</si>
  <si>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</si>
  <si>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</si>
  <si>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</si>
  <si>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</si>
  <si>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</si>
  <si>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</si>
  <si>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</si>
  <si>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</si>
  <si>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</si>
  <si>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</si>
  <si>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In Additions: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</si>
  <si>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</si>
  <si>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</si>
  <si>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</si>
  <si>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</si>
  <si>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</si>
  <si>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</si>
  <si>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</si>
  <si>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</si>
  <si>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</si>
  <si>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</si>
  <si>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</si>
  <si>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</si>
  <si>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</si>
  <si>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</si>
  <si>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</si>
  <si>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</si>
  <si>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</si>
  <si>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</si>
  <si>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</si>
  <si>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</si>
  <si>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</si>
  <si>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</si>
  <si>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</si>
  <si>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</si>
  <si>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</si>
  <si>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</si>
  <si>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</si>
  <si>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</si>
  <si>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</si>
  <si>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</si>
  <si>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</si>
  <si>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</si>
  <si>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</si>
  <si>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</si>
  <si>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</si>
  <si>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</si>
  <si>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</si>
  <si>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</si>
  <si>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</si>
  <si>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</si>
  <si>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</si>
  <si>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</si>
  <si>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</si>
  <si>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</si>
  <si>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</si>
  <si>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</si>
  <si>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</si>
  <si>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</si>
  <si>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</si>
  <si>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</si>
  <si>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</si>
  <si>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</si>
  <si>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</si>
  <si>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</si>
  <si>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</si>
  <si>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</si>
  <si>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</si>
  <si>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</si>
  <si>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</si>
  <si>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</si>
  <si>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</si>
  <si>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</si>
  <si>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</si>
  <si>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</si>
  <si>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</si>
  <si>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</si>
  <si>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</si>
  <si>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</si>
  <si>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</si>
  <si>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</si>
  <si>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</si>
  <si>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</si>
  <si>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</si>
  <si>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</si>
  <si>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</si>
  <si>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</si>
  <si>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</si>
  <si>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</si>
  <si>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</si>
  <si>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</si>
  <si>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</si>
  <si>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</si>
  <si>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</si>
  <si>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</si>
  <si>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</si>
  <si>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</si>
  <si>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</si>
  <si>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</si>
  <si>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</si>
  <si>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</si>
  <si>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</si>
  <si>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</si>
  <si>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</si>
  <si>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</si>
  <si>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</si>
  <si>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</si>
  <si>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</si>
  <si>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</si>
  <si>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</si>
  <si>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</si>
  <si>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</si>
  <si>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</si>
  <si>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</si>
  <si>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</si>
  <si>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</si>
  <si>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</si>
  <si>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</si>
  <si>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</si>
  <si>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</si>
  <si>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</si>
  <si>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</si>
  <si>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</si>
  <si>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</si>
  <si>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</si>
  <si>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</si>
  <si>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</si>
  <si>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</si>
  <si>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</si>
  <si>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</si>
  <si>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</si>
  <si>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</si>
  <si>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</si>
  <si>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</si>
  <si>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</si>
  <si>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</si>
  <si>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>Non-taxable load transfers</t>
  </si>
  <si>
    <t xml:space="preserve">RECAP </t>
  </si>
  <si>
    <t>Does this include LCT?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</si>
  <si>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</si>
  <si>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MAX $50MM</t>
  </si>
  <si>
    <t>&gt;1,128,000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</si>
  <si>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</si>
  <si>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</si>
  <si>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</si>
  <si>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</si>
  <si>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</si>
  <si>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</si>
  <si>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</si>
  <si>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</si>
  <si>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</si>
  <si>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</si>
  <si>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</si>
  <si>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</si>
  <si>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</si>
  <si>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r>
      <t xml:space="preserve">Income Tax Rate (excluding surtax)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</si>
  <si>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Actual Interest Paid</t>
  </si>
  <si>
    <t>Utility Name:   Horizon Utilities Corporation</t>
  </si>
  <si>
    <t>Y</t>
  </si>
  <si>
    <t>N</t>
  </si>
  <si>
    <t>Opening Merger Adjustment to reclasify SCHUSI  income to retained earnings</t>
  </si>
  <si>
    <t xml:space="preserve">PILs TAXES </t>
  </si>
  <si>
    <t>Opening balance:  Horizon</t>
  </si>
  <si>
    <t>Initial Estimate pro-rated for 306 days/ 365 Days = $10,943,154 per 2005 RAM Decision</t>
  </si>
  <si>
    <t>(Full Year)</t>
  </si>
  <si>
    <t>HHI</t>
  </si>
  <si>
    <t>SCHUSI</t>
  </si>
  <si>
    <t>Total PILs for Rate Adjustment per</t>
  </si>
  <si>
    <t>Ending Feb-28</t>
  </si>
  <si>
    <t>Ending Dec-31</t>
  </si>
  <si>
    <t>Capitalized Fleet Depreciation, net (not permitted for UCC purposes)</t>
  </si>
  <si>
    <t>10 Months Stub</t>
  </si>
  <si>
    <t>HORIZON</t>
  </si>
  <si>
    <t>02-28-2005</t>
  </si>
  <si>
    <t>Taxation Year End (SCHUSI and HHI merged on March 1, 2005)</t>
  </si>
  <si>
    <t>COMBINED</t>
  </si>
  <si>
    <t>Former</t>
  </si>
  <si>
    <t>Combined</t>
  </si>
  <si>
    <t>Horizon</t>
  </si>
  <si>
    <t>Utilities</t>
  </si>
  <si>
    <t>III-a) INCLUSION IN RATES (FULL YEAR)</t>
  </si>
  <si>
    <t>III-b) INCLUSION IN RATES (Pro-Rated For Short Taxation Year)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</si>
  <si>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Pro-Rated for Short</t>
    </r>
  </si>
  <si>
    <t xml:space="preserve">                                                               Taxation Year</t>
  </si>
  <si>
    <t>Less: Ontario Capital Tax reported in the initial estimate column (Cell E104 - pro-rated for short taxation year)</t>
  </si>
  <si>
    <t>LCT pro-rated for short year and not grossed up for purpose</t>
  </si>
  <si>
    <t xml:space="preserve">   of IV b) Deferral Account Variance from LCT</t>
  </si>
  <si>
    <t>Less: Federal LCT reported for the initial estimate column  (Cell E111)</t>
  </si>
  <si>
    <t>TRUE-UP VARIANCE (from cell I147)</t>
  </si>
  <si>
    <t>Interest phased-in  (Cell E36)</t>
  </si>
  <si>
    <t>Interest Adjustment for Tax Purposes  (carry forward to Cell I127)</t>
  </si>
  <si>
    <t>Closing</t>
  </si>
  <si>
    <t>Opening</t>
  </si>
  <si>
    <t>2005 RAM Decision</t>
  </si>
  <si>
    <t>Appendix C-2-5</t>
  </si>
  <si>
    <t>Appendix C-3-5</t>
  </si>
  <si>
    <t>HHI - 59 days</t>
  </si>
  <si>
    <t>SCHUSI - 59 days</t>
  </si>
  <si>
    <t>Horizon - 306 days</t>
  </si>
  <si>
    <t>Total PILs for Rate Adjustment</t>
  </si>
  <si>
    <t>Appendix C-1</t>
  </si>
  <si>
    <t>Reporting period:  2005 (306 days December 31st)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</si>
</sst>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  <numFmt numFmtId="213" formatCode="d\-mmm\-yyyy"/>
    <numFmt numFmtId="214" formatCode="#,##0_);\(#,##0\)"/>
  </numFmts>
  <fonts count="6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4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 vertical="top"/>
      <protection locked="0"/>
    </xf>
    <xf numFmtId="0" fontId="0" fillId="32" borderId="5" applyNumberFormat="0" applyFont="0" applyAlignment="0" applyProtection="0"/>
    <xf numFmtId="0" fontId="58" fillId="27" borderId="6" applyNumberFormat="0" applyAlignment="0" applyProtection="0"/>
    <xf numFmtId="10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60" fillId="0" borderId="0" applyNumberFormat="0" applyFill="0" applyBorder="0" applyAlignment="0" applyProtection="0"/>
  </cellStyleXfs>
  <cellXfs count="563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3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4" borderId="0" xfId="0" applyFill="1" applyAlignment="1">
      <alignment vertical="top"/>
    </xf>
    <xf numFmtId="0" fontId="0" fillId="35" borderId="0" xfId="0" applyFill="1" applyAlignment="1">
      <alignment vertical="top"/>
    </xf>
    <xf numFmtId="3" fontId="0" fillId="35" borderId="0" xfId="42" applyNumberFormat="1" applyFont="1" applyFill="1" applyBorder="1" applyAlignment="1">
      <alignment vertical="top"/>
    </xf>
    <xf numFmtId="0" fontId="0" fillId="35" borderId="0" xfId="0" applyFont="1" applyFill="1" applyBorder="1" applyAlignment="1">
      <alignment horizontal="center" vertical="top"/>
    </xf>
    <xf numFmtId="0" fontId="0" fillId="35" borderId="0" xfId="0" applyFont="1" applyFill="1" applyBorder="1" applyAlignment="1">
      <alignment vertical="top"/>
    </xf>
    <xf numFmtId="10" fontId="0" fillId="35" borderId="0" xfId="0" applyNumberFormat="1" applyFont="1" applyFill="1" applyBorder="1" applyAlignment="1">
      <alignment vertical="top"/>
    </xf>
    <xf numFmtId="3" fontId="0" fillId="35" borderId="0" xfId="42" applyNumberFormat="1" applyFont="1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0" fontId="0" fillId="34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5" borderId="0" xfId="0" applyFont="1" applyFill="1" applyAlignment="1">
      <alignment vertical="top"/>
    </xf>
    <xf numFmtId="0" fontId="0" fillId="34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6" borderId="15" xfId="0" applyFill="1" applyBorder="1" applyAlignment="1" applyProtection="1">
      <alignment horizontal="center" vertical="top"/>
      <protection/>
    </xf>
    <xf numFmtId="10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 quotePrefix="1">
      <alignment vertical="top"/>
      <protection locked="0"/>
    </xf>
    <xf numFmtId="3" fontId="0" fillId="36" borderId="14" xfId="0" applyNumberFormat="1" applyFill="1" applyBorder="1" applyAlignment="1">
      <alignment vertical="top"/>
    </xf>
    <xf numFmtId="0" fontId="3" fillId="38" borderId="15" xfId="0" applyFont="1" applyFill="1" applyBorder="1" applyAlignment="1">
      <alignment vertical="top"/>
    </xf>
    <xf numFmtId="0" fontId="3" fillId="39" borderId="18" xfId="0" applyFont="1" applyFill="1" applyBorder="1" applyAlignment="1">
      <alignment vertical="top"/>
    </xf>
    <xf numFmtId="0" fontId="3" fillId="38" borderId="44" xfId="0" applyFont="1" applyFill="1" applyBorder="1" applyAlignment="1">
      <alignment vertical="top"/>
    </xf>
    <xf numFmtId="0" fontId="0" fillId="40" borderId="17" xfId="0" applyFill="1" applyBorder="1" applyAlignment="1">
      <alignment horizontal="center" vertical="top"/>
    </xf>
    <xf numFmtId="3" fontId="0" fillId="37" borderId="14" xfId="0" applyNumberFormat="1" applyFill="1" applyBorder="1" applyAlignment="1">
      <alignment vertical="top"/>
    </xf>
    <xf numFmtId="3" fontId="0" fillId="37" borderId="14" xfId="0" applyNumberFormat="1" applyFill="1" applyBorder="1" applyAlignment="1" applyProtection="1">
      <alignment vertical="top"/>
      <protection locked="0"/>
    </xf>
    <xf numFmtId="3" fontId="0" fillId="41" borderId="14" xfId="0" applyNumberFormat="1" applyFill="1" applyBorder="1" applyAlignment="1">
      <alignment vertical="top"/>
    </xf>
    <xf numFmtId="10" fontId="0" fillId="37" borderId="14" xfId="0" applyNumberFormat="1" applyFill="1" applyBorder="1" applyAlignment="1" applyProtection="1" quotePrefix="1">
      <alignment vertical="top"/>
      <protection/>
    </xf>
    <xf numFmtId="37" fontId="0" fillId="37" borderId="14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3" fontId="0" fillId="41" borderId="14" xfId="0" applyNumberFormat="1" applyFill="1" applyBorder="1" applyAlignment="1">
      <alignment vertical="top"/>
    </xf>
    <xf numFmtId="3" fontId="0" fillId="37" borderId="45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" fontId="0" fillId="37" borderId="20" xfId="0" applyNumberFormat="1" applyFill="1" applyBorder="1" applyAlignment="1" applyProtection="1">
      <alignment vertical="top"/>
      <protection/>
    </xf>
    <xf numFmtId="3" fontId="0" fillId="37" borderId="14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horizontal="right" vertical="top"/>
      <protection/>
    </xf>
    <xf numFmtId="3" fontId="0" fillId="36" borderId="14" xfId="0" applyNumberFormat="1" applyFill="1" applyBorder="1" applyAlignment="1" applyProtection="1">
      <alignment horizontal="right" vertical="top"/>
      <protection/>
    </xf>
    <xf numFmtId="0" fontId="0" fillId="36" borderId="14" xfId="0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vertical="top"/>
      <protection/>
    </xf>
    <xf numFmtId="0" fontId="0" fillId="36" borderId="14" xfId="0" applyFill="1" applyBorder="1" applyAlignment="1" applyProtection="1">
      <alignment vertical="top" wrapText="1"/>
      <protection/>
    </xf>
    <xf numFmtId="0" fontId="0" fillId="36" borderId="14" xfId="0" applyFont="1" applyFill="1" applyBorder="1" applyAlignment="1" applyProtection="1">
      <alignment horizontal="left" vertical="top" wrapText="1"/>
      <protection/>
    </xf>
    <xf numFmtId="0" fontId="0" fillId="36" borderId="14" xfId="0" applyFont="1" applyFill="1" applyBorder="1" applyAlignment="1" applyProtection="1">
      <alignment horizontal="center" vertical="top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3" fontId="0" fillId="36" borderId="15" xfId="0" applyNumberFormat="1" applyFill="1" applyBorder="1" applyAlignment="1" applyProtection="1">
      <alignment vertical="top"/>
      <protection/>
    </xf>
    <xf numFmtId="0" fontId="0" fillId="36" borderId="14" xfId="0" applyFill="1" applyBorder="1" applyAlignment="1">
      <alignment vertical="top"/>
    </xf>
    <xf numFmtId="3" fontId="0" fillId="37" borderId="14" xfId="0" applyNumberFormat="1" applyFill="1" applyBorder="1" applyAlignment="1" applyProtection="1">
      <alignment horizontal="right" vertical="top"/>
      <protection/>
    </xf>
    <xf numFmtId="3" fontId="0" fillId="36" borderId="44" xfId="0" applyNumberFormat="1" applyFill="1" applyBorder="1" applyAlignment="1" applyProtection="1">
      <alignment horizontal="right" vertical="top"/>
      <protection/>
    </xf>
    <xf numFmtId="3" fontId="0" fillId="36" borderId="15" xfId="0" applyNumberFormat="1" applyFill="1" applyBorder="1" applyAlignment="1" applyProtection="1">
      <alignment horizontal="right" vertical="top"/>
      <protection/>
    </xf>
    <xf numFmtId="3" fontId="0" fillId="36" borderId="9" xfId="0" applyNumberFormat="1" applyFill="1" applyBorder="1" applyAlignment="1" applyProtection="1">
      <alignment horizontal="right" vertical="top"/>
      <protection/>
    </xf>
    <xf numFmtId="3" fontId="0" fillId="41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6" borderId="14" xfId="0" applyNumberFormat="1" applyFill="1" applyBorder="1" applyAlignment="1" applyProtection="1">
      <alignment horizontal="right" vertical="top"/>
      <protection locked="0"/>
    </xf>
    <xf numFmtId="0" fontId="0" fillId="36" borderId="14" xfId="0" applyFill="1" applyBorder="1" applyAlignment="1" applyProtection="1" quotePrefix="1">
      <alignment vertical="top" wrapText="1"/>
      <protection/>
    </xf>
    <xf numFmtId="0" fontId="4" fillId="36" borderId="14" xfId="0" applyFon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 quotePrefix="1">
      <alignment vertical="top"/>
      <protection/>
    </xf>
    <xf numFmtId="0" fontId="5" fillId="36" borderId="14" xfId="0" applyFont="1" applyFill="1" applyBorder="1" applyAlignment="1">
      <alignment vertical="top"/>
    </xf>
    <xf numFmtId="37" fontId="0" fillId="36" borderId="15" xfId="0" applyNumberFormat="1" applyFill="1" applyBorder="1" applyAlignment="1" applyProtection="1">
      <alignment vertical="top"/>
      <protection/>
    </xf>
    <xf numFmtId="37" fontId="0" fillId="36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6" borderId="0" xfId="0" applyFont="1" applyFill="1" applyAlignment="1">
      <alignment vertical="top"/>
    </xf>
    <xf numFmtId="3" fontId="0" fillId="37" borderId="14" xfId="0" applyNumberFormat="1" applyFill="1" applyBorder="1" applyAlignment="1" applyProtection="1" quotePrefix="1">
      <alignment vertical="top"/>
      <protection/>
    </xf>
    <xf numFmtId="172" fontId="0" fillId="37" borderId="14" xfId="0" applyNumberFormat="1" applyFill="1" applyBorder="1" applyAlignment="1" applyProtection="1">
      <alignment vertical="top"/>
      <protection/>
    </xf>
    <xf numFmtId="37" fontId="0" fillId="37" borderId="14" xfId="0" applyNumberFormat="1" applyFill="1" applyBorder="1" applyAlignment="1" applyProtection="1">
      <alignment/>
      <protection/>
    </xf>
    <xf numFmtId="3" fontId="0" fillId="37" borderId="14" xfId="0" applyNumberFormat="1" applyFill="1" applyBorder="1" applyAlignment="1" applyProtection="1" quotePrefix="1">
      <alignment/>
      <protection/>
    </xf>
    <xf numFmtId="37" fontId="0" fillId="37" borderId="14" xfId="0" applyNumberFormat="1" applyFill="1" applyBorder="1" applyAlignment="1" applyProtection="1">
      <alignment/>
      <protection locked="0"/>
    </xf>
    <xf numFmtId="37" fontId="0" fillId="37" borderId="15" xfId="0" applyNumberFormat="1" applyFill="1" applyBorder="1" applyAlignment="1" applyProtection="1">
      <alignment/>
      <protection/>
    </xf>
    <xf numFmtId="172" fontId="0" fillId="37" borderId="14" xfId="0" applyNumberFormat="1" applyFill="1" applyBorder="1" applyAlignment="1" applyProtection="1">
      <alignment/>
      <protection/>
    </xf>
    <xf numFmtId="3" fontId="0" fillId="37" borderId="15" xfId="0" applyNumberFormat="1" applyFill="1" applyBorder="1" applyAlignment="1" applyProtection="1" quotePrefix="1">
      <alignment/>
      <protection/>
    </xf>
    <xf numFmtId="3" fontId="0" fillId="37" borderId="14" xfId="0" applyNumberFormat="1" applyFill="1" applyBorder="1" applyAlignment="1" applyProtection="1">
      <alignment/>
      <protection/>
    </xf>
    <xf numFmtId="3" fontId="0" fillId="37" borderId="46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horizontal="right" vertical="top"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41" borderId="14" xfId="0" applyNumberFormat="1" applyFill="1" applyBorder="1" applyAlignment="1">
      <alignment/>
    </xf>
    <xf numFmtId="3" fontId="0" fillId="36" borderId="14" xfId="0" applyNumberFormat="1" applyFont="1" applyFill="1" applyBorder="1" applyAlignment="1" applyProtection="1">
      <alignment horizontal="right" vertical="top"/>
      <protection/>
    </xf>
    <xf numFmtId="3" fontId="0" fillId="36" borderId="14" xfId="59" applyNumberFormat="1" applyFont="1" applyFill="1" applyBorder="1" applyAlignment="1" applyProtection="1" quotePrefix="1">
      <alignment vertical="top"/>
      <protection/>
    </xf>
    <xf numFmtId="3" fontId="0" fillId="36" borderId="47" xfId="59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6" borderId="14" xfId="59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6" borderId="44" xfId="0" applyNumberFormat="1" applyFill="1" applyBorder="1" applyAlignment="1" applyProtection="1">
      <alignment horizontal="center" vertical="top"/>
      <protection locked="0"/>
    </xf>
    <xf numFmtId="10" fontId="0" fillId="36" borderId="51" xfId="0" applyNumberFormat="1" applyFill="1" applyBorder="1" applyAlignment="1" applyProtection="1">
      <alignment horizontal="center" vertical="top"/>
      <protection locked="0"/>
    </xf>
    <xf numFmtId="10" fontId="0" fillId="36" borderId="18" xfId="0" applyNumberFormat="1" applyFill="1" applyBorder="1" applyAlignment="1" applyProtection="1">
      <alignment horizontal="center" vertical="top"/>
      <protection locked="0"/>
    </xf>
    <xf numFmtId="10" fontId="0" fillId="36" borderId="10" xfId="0" applyNumberFormat="1" applyFill="1" applyBorder="1" applyAlignment="1" applyProtection="1">
      <alignment horizontal="center" vertical="top"/>
      <protection locked="0"/>
    </xf>
    <xf numFmtId="10" fontId="0" fillId="36" borderId="40" xfId="0" applyNumberFormat="1" applyFill="1" applyBorder="1" applyAlignment="1" applyProtection="1">
      <alignment horizontal="center" vertical="top"/>
      <protection locked="0"/>
    </xf>
    <xf numFmtId="10" fontId="0" fillId="36" borderId="42" xfId="0" applyNumberFormat="1" applyFill="1" applyBorder="1" applyAlignment="1" applyProtection="1">
      <alignment horizontal="center" vertical="top"/>
      <protection locked="0"/>
    </xf>
    <xf numFmtId="178" fontId="0" fillId="36" borderId="44" xfId="0" applyNumberFormat="1" applyFill="1" applyBorder="1" applyAlignment="1" applyProtection="1">
      <alignment horizontal="center" vertical="top"/>
      <protection locked="0"/>
    </xf>
    <xf numFmtId="178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14" xfId="0" applyNumberFormat="1" applyFill="1" applyBorder="1" applyAlignment="1" applyProtection="1">
      <alignment horizontal="center" vertical="top"/>
      <protection locked="0"/>
    </xf>
    <xf numFmtId="10" fontId="0" fillId="36" borderId="9" xfId="0" applyNumberFormat="1" applyFill="1" applyBorder="1" applyAlignment="1" applyProtection="1">
      <alignment horizontal="center" vertical="top"/>
      <protection locked="0"/>
    </xf>
    <xf numFmtId="0" fontId="0" fillId="36" borderId="14" xfId="0" applyFill="1" applyBorder="1" applyAlignment="1" applyProtection="1">
      <alignment horizontal="center" vertical="top"/>
      <protection locked="0"/>
    </xf>
    <xf numFmtId="0" fontId="0" fillId="36" borderId="9" xfId="0" applyFill="1" applyBorder="1" applyAlignment="1" applyProtection="1">
      <alignment horizontal="center" vertical="top"/>
      <protection locked="0"/>
    </xf>
    <xf numFmtId="0" fontId="0" fillId="36" borderId="46" xfId="0" applyFill="1" applyBorder="1" applyAlignment="1" applyProtection="1">
      <alignment horizontal="center" vertical="top"/>
      <protection locked="0"/>
    </xf>
    <xf numFmtId="0" fontId="0" fillId="36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5" borderId="0" xfId="0" applyFill="1" applyBorder="1" applyAlignment="1" applyProtection="1">
      <alignment horizontal="center" vertical="top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3" fontId="3" fillId="35" borderId="0" xfId="42" applyNumberFormat="1" applyFont="1" applyFill="1" applyBorder="1" applyAlignment="1" applyProtection="1">
      <alignment horizontal="center" vertical="top"/>
      <protection locked="0"/>
    </xf>
    <xf numFmtId="3" fontId="3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horizontal="center" vertical="center" wrapText="1"/>
      <protection locked="0"/>
    </xf>
    <xf numFmtId="0" fontId="7" fillId="35" borderId="0" xfId="0" applyFont="1" applyFill="1" applyBorder="1" applyAlignment="1" applyProtection="1">
      <alignment vertical="top" wrapText="1"/>
      <protection locked="0"/>
    </xf>
    <xf numFmtId="0" fontId="7" fillId="35" borderId="0" xfId="0" applyFont="1" applyFill="1" applyBorder="1" applyAlignment="1" applyProtection="1">
      <alignment horizontal="center" vertical="top"/>
      <protection locked="0"/>
    </xf>
    <xf numFmtId="10" fontId="0" fillId="35" borderId="0" xfId="0" applyNumberFormat="1" applyFill="1" applyBorder="1" applyAlignment="1" applyProtection="1">
      <alignment horizontal="center" vertical="top"/>
      <protection locked="0"/>
    </xf>
    <xf numFmtId="10" fontId="0" fillId="40" borderId="44" xfId="0" applyNumberFormat="1" applyFill="1" applyBorder="1" applyAlignment="1" applyProtection="1">
      <alignment horizontal="center" vertical="top"/>
      <protection locked="0"/>
    </xf>
    <xf numFmtId="10" fontId="0" fillId="40" borderId="51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4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6" xfId="0" applyNumberFormat="1" applyFill="1" applyBorder="1" applyAlignment="1" applyProtection="1">
      <alignment horizontal="center" vertical="center"/>
      <protection locked="0"/>
    </xf>
    <xf numFmtId="0" fontId="0" fillId="40" borderId="46" xfId="0" applyFill="1" applyBorder="1" applyAlignment="1" applyProtection="1">
      <alignment horizontal="center" vertical="top"/>
      <protection locked="0"/>
    </xf>
    <xf numFmtId="0" fontId="0" fillId="40" borderId="52" xfId="0" applyFill="1" applyBorder="1" applyAlignment="1" applyProtection="1">
      <alignment horizontal="center" vertical="top"/>
      <protection locked="0"/>
    </xf>
    <xf numFmtId="0" fontId="0" fillId="41" borderId="0" xfId="0" applyFill="1" applyBorder="1" applyAlignment="1" applyProtection="1">
      <alignment horizontal="center" vertical="top"/>
      <protection locked="0"/>
    </xf>
    <xf numFmtId="10" fontId="0" fillId="41" borderId="0" xfId="0" applyNumberFormat="1" applyFill="1" applyBorder="1" applyAlignment="1" applyProtection="1">
      <alignment horizontal="center" vertical="top"/>
      <protection locked="0"/>
    </xf>
    <xf numFmtId="3" fontId="3" fillId="41" borderId="48" xfId="42" applyNumberFormat="1" applyFont="1" applyFill="1" applyBorder="1" applyAlignment="1" applyProtection="1">
      <alignment horizontal="center" vertical="top"/>
      <protection locked="0"/>
    </xf>
    <xf numFmtId="4" fontId="9" fillId="41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49" xfId="0" applyFont="1" applyFill="1" applyBorder="1" applyAlignment="1" applyProtection="1">
      <alignment horizontal="center" vertical="top"/>
      <protection locked="0"/>
    </xf>
    <xf numFmtId="3" fontId="3" fillId="41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1" borderId="49" xfId="42" applyNumberFormat="1" applyFont="1" applyFill="1" applyBorder="1" applyAlignment="1" applyProtection="1">
      <alignment horizontal="center" vertical="top"/>
      <protection locked="0"/>
    </xf>
    <xf numFmtId="0" fontId="9" fillId="41" borderId="55" xfId="0" applyFont="1" applyFill="1" applyBorder="1" applyAlignment="1" applyProtection="1">
      <alignment horizontal="center" vertical="center" wrapText="1"/>
      <protection locked="0"/>
    </xf>
    <xf numFmtId="3" fontId="3" fillId="37" borderId="48" xfId="42" applyNumberFormat="1" applyFont="1" applyFill="1" applyBorder="1" applyAlignment="1" applyProtection="1">
      <alignment horizontal="center" vertical="top"/>
      <protection locked="0"/>
    </xf>
    <xf numFmtId="4" fontId="9" fillId="37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7" borderId="49" xfId="0" applyFont="1" applyFill="1" applyBorder="1" applyAlignment="1" applyProtection="1">
      <alignment horizontal="center" vertical="top"/>
      <protection locked="0"/>
    </xf>
    <xf numFmtId="3" fontId="3" fillId="37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7" borderId="49" xfId="42" applyNumberFormat="1" applyFont="1" applyFill="1" applyBorder="1" applyAlignment="1" applyProtection="1">
      <alignment horizontal="center" vertical="top"/>
      <protection locked="0"/>
    </xf>
    <xf numFmtId="0" fontId="9" fillId="37" borderId="55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0" fillId="35" borderId="17" xfId="0" applyFill="1" applyBorder="1" applyAlignment="1" applyProtection="1">
      <alignment horizontal="center" vertical="top"/>
      <protection locked="0"/>
    </xf>
    <xf numFmtId="3" fontId="0" fillId="35" borderId="0" xfId="0" applyNumberFormat="1" applyFill="1" applyBorder="1" applyAlignment="1" applyProtection="1">
      <alignment horizontal="center" vertical="center"/>
      <protection locked="0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6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7" borderId="15" xfId="0" applyNumberFormat="1" applyFill="1" applyBorder="1" applyAlignment="1" applyProtection="1">
      <alignment vertical="top"/>
      <protection/>
    </xf>
    <xf numFmtId="3" fontId="0" fillId="40" borderId="0" xfId="0" applyNumberFormat="1" applyFill="1" applyAlignment="1">
      <alignment/>
    </xf>
    <xf numFmtId="3" fontId="0" fillId="36" borderId="0" xfId="0" applyNumberFormat="1" applyFill="1" applyAlignment="1" applyProtection="1">
      <alignment/>
      <protection/>
    </xf>
    <xf numFmtId="3" fontId="0" fillId="36" borderId="56" xfId="0" applyNumberFormat="1" applyFill="1" applyBorder="1" applyAlignment="1" applyProtection="1">
      <alignment/>
      <protection/>
    </xf>
    <xf numFmtId="0" fontId="0" fillId="36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10" fontId="0" fillId="40" borderId="14" xfId="0" applyNumberFormat="1" applyFill="1" applyBorder="1" applyAlignment="1">
      <alignment vertical="top"/>
    </xf>
    <xf numFmtId="10" fontId="0" fillId="36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1" borderId="0" xfId="0" applyFont="1" applyFill="1" applyBorder="1" applyAlignment="1" applyProtection="1">
      <alignment vertical="top"/>
      <protection locked="0"/>
    </xf>
    <xf numFmtId="0" fontId="22" fillId="36" borderId="41" xfId="0" applyFont="1" applyFill="1" applyBorder="1" applyAlignment="1" applyProtection="1">
      <alignment horizontal="center" vertical="top"/>
      <protection locked="0"/>
    </xf>
    <xf numFmtId="0" fontId="23" fillId="35" borderId="0" xfId="0" applyFont="1" applyFill="1" applyBorder="1" applyAlignment="1" applyProtection="1">
      <alignment horizontal="center" vertical="top"/>
      <protection locked="0"/>
    </xf>
    <xf numFmtId="0" fontId="19" fillId="35" borderId="0" xfId="0" applyFont="1" applyFill="1" applyBorder="1" applyAlignment="1" applyProtection="1">
      <alignment vertical="top" wrapText="1"/>
      <protection locked="0"/>
    </xf>
    <xf numFmtId="0" fontId="8" fillId="34" borderId="0" xfId="0" applyFont="1" applyFill="1" applyBorder="1" applyAlignment="1">
      <alignment vertical="top" wrapText="1"/>
    </xf>
    <xf numFmtId="3" fontId="0" fillId="37" borderId="20" xfId="0" applyNumberFormat="1" applyFill="1" applyBorder="1" applyAlignment="1" applyProtection="1">
      <alignment vertical="top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3" fontId="0" fillId="36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41" borderId="0" xfId="0" applyNumberFormat="1" applyFill="1" applyBorder="1" applyAlignment="1" applyProtection="1">
      <alignment vertical="top"/>
      <protection locked="0"/>
    </xf>
    <xf numFmtId="0" fontId="0" fillId="40" borderId="0" xfId="0" applyFill="1" applyAlignment="1">
      <alignment vertical="top"/>
    </xf>
    <xf numFmtId="0" fontId="0" fillId="37" borderId="14" xfId="0" applyFill="1" applyBorder="1" applyAlignment="1" applyProtection="1">
      <alignment horizontal="center" vertical="top"/>
      <protection locked="0"/>
    </xf>
    <xf numFmtId="37" fontId="19" fillId="36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3" fontId="0" fillId="34" borderId="0" xfId="0" applyNumberFormat="1" applyFill="1" applyAlignment="1" applyProtection="1">
      <alignment vertical="top"/>
      <protection locked="0"/>
    </xf>
    <xf numFmtId="0" fontId="0" fillId="34" borderId="0" xfId="0" applyFont="1" applyFill="1" applyAlignment="1" applyProtection="1">
      <alignment vertical="top"/>
      <protection locked="0"/>
    </xf>
    <xf numFmtId="0" fontId="0" fillId="34" borderId="0" xfId="0" applyFill="1" applyAlignment="1" applyProtection="1">
      <alignment vertical="top"/>
      <protection locked="0"/>
    </xf>
    <xf numFmtId="0" fontId="0" fillId="34" borderId="0" xfId="0" applyFill="1" applyAlignment="1">
      <alignment vertical="top"/>
    </xf>
    <xf numFmtId="0" fontId="0" fillId="34" borderId="0" xfId="0" applyFill="1" applyAlignment="1" applyProtection="1" quotePrefix="1">
      <alignment vertical="top"/>
      <protection locked="0"/>
    </xf>
    <xf numFmtId="37" fontId="0" fillId="34" borderId="0" xfId="0" applyNumberFormat="1" applyFill="1" applyBorder="1" applyAlignment="1" applyProtection="1">
      <alignment vertical="top"/>
      <protection locked="0"/>
    </xf>
    <xf numFmtId="37" fontId="0" fillId="34" borderId="0" xfId="0" applyNumberFormat="1" applyFill="1" applyAlignment="1" applyProtection="1">
      <alignment vertical="top"/>
      <protection locked="0"/>
    </xf>
    <xf numFmtId="37" fontId="0" fillId="34" borderId="0" xfId="0" applyNumberFormat="1" applyFill="1" applyBorder="1" applyAlignment="1">
      <alignment vertical="top"/>
    </xf>
    <xf numFmtId="0" fontId="3" fillId="36" borderId="48" xfId="0" applyFont="1" applyFill="1" applyBorder="1" applyAlignment="1">
      <alignment horizontal="center" vertical="top"/>
    </xf>
    <xf numFmtId="0" fontId="3" fillId="36" borderId="49" xfId="0" applyFont="1" applyFill="1" applyBorder="1" applyAlignment="1">
      <alignment horizontal="center" vertical="top"/>
    </xf>
    <xf numFmtId="0" fontId="0" fillId="36" borderId="17" xfId="0" applyFill="1" applyBorder="1" applyAlignment="1">
      <alignment horizontal="center" vertical="top"/>
    </xf>
    <xf numFmtId="3" fontId="0" fillId="36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5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4" borderId="0" xfId="0" applyFont="1" applyFill="1" applyAlignment="1">
      <alignment vertical="top" wrapText="1"/>
    </xf>
    <xf numFmtId="0" fontId="0" fillId="34" borderId="0" xfId="0" applyFill="1" applyAlignment="1" quotePrefix="1">
      <alignment horizontal="center" vertical="top"/>
    </xf>
    <xf numFmtId="3" fontId="0" fillId="35" borderId="0" xfId="0" applyNumberFormat="1" applyFill="1" applyBorder="1" applyAlignment="1">
      <alignment/>
    </xf>
    <xf numFmtId="3" fontId="0" fillId="35" borderId="0" xfId="0" applyNumberFormat="1" applyFill="1" applyBorder="1" applyAlignment="1" applyProtection="1">
      <alignment/>
      <protection/>
    </xf>
    <xf numFmtId="37" fontId="0" fillId="35" borderId="0" xfId="0" applyNumberFormat="1" applyFill="1" applyBorder="1" applyAlignment="1" applyProtection="1">
      <alignment vertical="top"/>
      <protection locked="0"/>
    </xf>
    <xf numFmtId="0" fontId="0" fillId="35" borderId="0" xfId="0" applyFill="1" applyBorder="1" applyAlignment="1" applyProtection="1">
      <alignment vertical="top"/>
      <protection locked="0"/>
    </xf>
    <xf numFmtId="0" fontId="0" fillId="35" borderId="0" xfId="0" applyFill="1" applyBorder="1" applyAlignment="1">
      <alignment vertical="top"/>
    </xf>
    <xf numFmtId="37" fontId="0" fillId="35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8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2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3" borderId="14" xfId="0" applyNumberFormat="1" applyFill="1" applyBorder="1" applyAlignment="1" applyProtection="1" quotePrefix="1">
      <alignment/>
      <protection/>
    </xf>
    <xf numFmtId="3" fontId="0" fillId="42" borderId="14" xfId="0" applyNumberFormat="1" applyFill="1" applyBorder="1" applyAlignment="1" applyProtection="1">
      <alignment vertical="top"/>
      <protection/>
    </xf>
    <xf numFmtId="10" fontId="0" fillId="43" borderId="14" xfId="0" applyNumberFormat="1" applyFill="1" applyBorder="1" applyAlignment="1" applyProtection="1" quotePrefix="1">
      <alignment vertical="top"/>
      <protection/>
    </xf>
    <xf numFmtId="37" fontId="0" fillId="43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8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6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7" borderId="14" xfId="0" applyNumberFormat="1" applyFont="1" applyFill="1" applyBorder="1" applyAlignment="1" applyProtection="1">
      <alignment/>
      <protection/>
    </xf>
    <xf numFmtId="37" fontId="3" fillId="37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42" borderId="17" xfId="0" applyNumberFormat="1" applyFont="1" applyFill="1" applyBorder="1" applyAlignment="1" applyProtection="1">
      <alignment horizontal="center" vertical="top"/>
      <protection locked="0"/>
    </xf>
    <xf numFmtId="3" fontId="0" fillId="42" borderId="14" xfId="0" applyNumberFormat="1" applyFill="1" applyBorder="1" applyAlignment="1" applyProtection="1">
      <alignment horizontal="right" vertical="top"/>
      <protection/>
    </xf>
    <xf numFmtId="3" fontId="0" fillId="36" borderId="59" xfId="0" applyNumberFormat="1" applyFill="1" applyBorder="1" applyAlignment="1" applyProtection="1">
      <alignment/>
      <protection/>
    </xf>
    <xf numFmtId="3" fontId="0" fillId="44" borderId="14" xfId="0" applyNumberFormat="1" applyFill="1" applyBorder="1" applyAlignment="1" applyProtection="1">
      <alignment/>
      <protection/>
    </xf>
    <xf numFmtId="3" fontId="0" fillId="0" borderId="18" xfId="42" applyNumberFormat="1" applyFont="1" applyBorder="1" applyAlignment="1" applyProtection="1">
      <alignment vertical="top"/>
      <protection/>
    </xf>
    <xf numFmtId="164" fontId="0" fillId="0" borderId="0" xfId="45" applyNumberFormat="1" applyFont="1" applyBorder="1" applyAlignment="1" applyProtection="1">
      <alignment vertical="top"/>
      <protection locked="0"/>
    </xf>
    <xf numFmtId="10" fontId="0" fillId="42" borderId="0" xfId="66" applyFont="1" applyFill="1" applyAlignment="1" applyProtection="1">
      <alignment vertical="top"/>
      <protection locked="0"/>
    </xf>
    <xf numFmtId="3" fontId="0" fillId="45" borderId="14" xfId="0" applyNumberFormat="1" applyFill="1" applyBorder="1" applyAlignment="1" applyProtection="1">
      <alignment vertical="top"/>
      <protection/>
    </xf>
    <xf numFmtId="10" fontId="0" fillId="0" borderId="0" xfId="66" applyFont="1" applyAlignment="1" applyProtection="1">
      <alignment vertical="top"/>
      <protection locked="0"/>
    </xf>
    <xf numFmtId="3" fontId="0" fillId="0" borderId="0" xfId="42" applyNumberFormat="1" applyFont="1" applyAlignment="1" applyProtection="1">
      <alignment vertical="top"/>
      <protection locked="0"/>
    </xf>
    <xf numFmtId="0" fontId="61" fillId="0" borderId="0" xfId="0" applyFont="1" applyAlignment="1">
      <alignment vertical="top"/>
    </xf>
    <xf numFmtId="0" fontId="0" fillId="0" borderId="0" xfId="0" applyBorder="1" applyAlignment="1" applyProtection="1">
      <alignment vertical="top"/>
      <protection/>
    </xf>
    <xf numFmtId="0" fontId="0" fillId="0" borderId="12" xfId="0" applyBorder="1" applyAlignment="1">
      <alignment vertical="top"/>
    </xf>
    <xf numFmtId="0" fontId="0" fillId="0" borderId="12" xfId="0" applyBorder="1" applyAlignment="1" applyProtection="1">
      <alignment vertical="top"/>
      <protection/>
    </xf>
    <xf numFmtId="0" fontId="0" fillId="0" borderId="17" xfId="0" applyFont="1" applyFill="1" applyBorder="1" applyAlignment="1" applyProtection="1">
      <alignment vertical="top"/>
      <protection/>
    </xf>
    <xf numFmtId="0" fontId="3" fillId="0" borderId="12" xfId="0" applyFont="1" applyBorder="1" applyAlignment="1">
      <alignment horizontal="centerContinuous" vertical="top"/>
    </xf>
    <xf numFmtId="0" fontId="3" fillId="0" borderId="60" xfId="0" applyFont="1" applyBorder="1" applyAlignment="1">
      <alignment horizontal="right" vertical="top"/>
    </xf>
    <xf numFmtId="0" fontId="3" fillId="0" borderId="0" xfId="0" applyFont="1" applyAlignment="1">
      <alignment horizontal="centerContinuous" vertical="top"/>
    </xf>
    <xf numFmtId="0" fontId="3" fillId="0" borderId="12" xfId="0" applyFont="1" applyFill="1" applyBorder="1" applyAlignment="1">
      <alignment horizontal="right" vertical="top"/>
    </xf>
    <xf numFmtId="0" fontId="62" fillId="0" borderId="0" xfId="0" applyFont="1" applyAlignment="1">
      <alignment vertical="top"/>
    </xf>
    <xf numFmtId="10" fontId="0" fillId="0" borderId="0" xfId="0" applyNumberFormat="1" applyFill="1" applyBorder="1" applyAlignment="1" applyProtection="1">
      <alignment vertical="top"/>
      <protection/>
    </xf>
    <xf numFmtId="10" fontId="0" fillId="0" borderId="0" xfId="0" applyNumberFormat="1" applyFill="1" applyBorder="1" applyAlignment="1">
      <alignment vertical="top"/>
    </xf>
    <xf numFmtId="16" fontId="0" fillId="46" borderId="0" xfId="63" applyNumberFormat="1" applyFill="1" applyAlignment="1">
      <alignment horizontal="center" vertical="top"/>
      <protection locked="0"/>
    </xf>
    <xf numFmtId="0" fontId="3" fillId="0" borderId="12" xfId="63" applyFont="1" applyBorder="1" applyAlignment="1">
      <alignment horizontal="center" vertical="top"/>
      <protection locked="0"/>
    </xf>
    <xf numFmtId="0" fontId="0" fillId="0" borderId="0" xfId="63" applyAlignment="1">
      <alignment horizontal="center" vertical="top"/>
      <protection locked="0"/>
    </xf>
    <xf numFmtId="0" fontId="0" fillId="0" borderId="0" xfId="63" applyBorder="1" applyAlignment="1">
      <alignment horizontal="center" vertical="top"/>
      <protection locked="0"/>
    </xf>
    <xf numFmtId="0" fontId="0" fillId="40" borderId="17" xfId="63" applyFill="1" applyBorder="1" applyAlignment="1">
      <alignment horizontal="center" vertical="top"/>
      <protection locked="0"/>
    </xf>
    <xf numFmtId="0" fontId="0" fillId="40" borderId="0" xfId="63" applyFill="1" applyAlignment="1">
      <alignment horizontal="center" vertical="top"/>
      <protection locked="0"/>
    </xf>
    <xf numFmtId="9" fontId="0" fillId="40" borderId="0" xfId="63" applyNumberFormat="1" applyFill="1" applyAlignment="1">
      <alignment horizontal="center" vertical="top"/>
      <protection locked="0"/>
    </xf>
    <xf numFmtId="0" fontId="0" fillId="0" borderId="0" xfId="63" applyFill="1" applyBorder="1">
      <alignment vertical="top"/>
      <protection locked="0"/>
    </xf>
    <xf numFmtId="0" fontId="0" fillId="0" borderId="0" xfId="63">
      <alignment vertical="top"/>
      <protection locked="0"/>
    </xf>
    <xf numFmtId="0" fontId="3" fillId="0" borderId="0" xfId="63" applyFont="1" applyAlignment="1">
      <alignment horizontal="center" vertical="top"/>
      <protection locked="0"/>
    </xf>
    <xf numFmtId="37" fontId="0" fillId="0" borderId="0" xfId="63" applyNumberFormat="1">
      <alignment vertical="top"/>
      <protection locked="0"/>
    </xf>
    <xf numFmtId="3" fontId="0" fillId="36" borderId="14" xfId="63" applyNumberFormat="1" applyFill="1" applyBorder="1" applyProtection="1">
      <alignment vertical="top"/>
      <protection/>
    </xf>
    <xf numFmtId="37" fontId="0" fillId="36" borderId="14" xfId="63" applyNumberFormat="1" applyFill="1" applyBorder="1" applyProtection="1">
      <alignment vertical="top"/>
      <protection/>
    </xf>
    <xf numFmtId="37" fontId="0" fillId="37" borderId="14" xfId="63" applyNumberFormat="1" applyFill="1" applyBorder="1" applyProtection="1" quotePrefix="1">
      <alignment vertical="top"/>
      <protection locked="0"/>
    </xf>
    <xf numFmtId="37" fontId="0" fillId="40" borderId="0" xfId="63" applyNumberFormat="1" applyFill="1">
      <alignment vertical="top"/>
      <protection locked="0"/>
    </xf>
    <xf numFmtId="10" fontId="0" fillId="40" borderId="0" xfId="63" applyNumberFormat="1" applyFill="1">
      <alignment vertical="top"/>
      <protection locked="0"/>
    </xf>
    <xf numFmtId="3" fontId="0" fillId="40" borderId="0" xfId="42" applyNumberFormat="1" applyFont="1" applyFill="1" applyAlignment="1" applyProtection="1">
      <alignment vertical="top"/>
      <protection locked="0"/>
    </xf>
    <xf numFmtId="0" fontId="3" fillId="0" borderId="13" xfId="0" applyFont="1" applyFill="1" applyBorder="1" applyAlignment="1" applyProtection="1">
      <alignment horizontal="centerContinuous" vertical="top"/>
      <protection locked="0"/>
    </xf>
    <xf numFmtId="0" fontId="3" fillId="0" borderId="0" xfId="0" applyFont="1" applyBorder="1" applyAlignment="1" applyProtection="1">
      <alignment horizontal="centerContinuous" vertical="top"/>
      <protection locked="0"/>
    </xf>
    <xf numFmtId="0" fontId="3" fillId="0" borderId="36" xfId="0" applyFont="1" applyFill="1" applyBorder="1" applyAlignment="1" applyProtection="1">
      <alignment horizontal="centerContinuous" vertical="top"/>
      <protection locked="0"/>
    </xf>
    <xf numFmtId="16" fontId="3" fillId="0" borderId="0" xfId="0" applyNumberFormat="1" applyFont="1" applyFill="1" applyBorder="1" applyAlignment="1" applyProtection="1">
      <alignment horizontal="centerContinuous" vertical="top"/>
      <protection locked="0"/>
    </xf>
    <xf numFmtId="0" fontId="3" fillId="0" borderId="0" xfId="0" applyFont="1" applyBorder="1" applyAlignment="1" applyProtection="1">
      <alignment horizontal="centerContinuous" vertical="top"/>
      <protection locked="0"/>
    </xf>
    <xf numFmtId="16" fontId="3" fillId="0" borderId="10" xfId="0" applyNumberFormat="1" applyFont="1" applyFill="1" applyBorder="1" applyAlignment="1" applyProtection="1">
      <alignment horizontal="centerContinuous" vertical="top"/>
      <protection locked="0"/>
    </xf>
    <xf numFmtId="0" fontId="0" fillId="0" borderId="0" xfId="0" applyFont="1" applyFill="1" applyBorder="1" applyAlignment="1" applyProtection="1">
      <alignment horizontal="centerContinuous" vertical="top"/>
      <protection locked="0"/>
    </xf>
    <xf numFmtId="0" fontId="0" fillId="0" borderId="0" xfId="0" applyFont="1" applyBorder="1" applyAlignment="1" applyProtection="1">
      <alignment horizontal="centerContinuous" vertical="top"/>
      <protection locked="0"/>
    </xf>
    <xf numFmtId="0" fontId="0" fillId="0" borderId="10" xfId="0" applyFont="1" applyFill="1" applyBorder="1" applyAlignment="1" applyProtection="1">
      <alignment horizontal="centerContinuous" vertical="top"/>
      <protection locked="0"/>
    </xf>
    <xf numFmtId="0" fontId="0" fillId="0" borderId="6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51" xfId="0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8" xfId="0" applyFont="1" applyFill="1" applyBorder="1" applyAlignment="1" applyProtection="1">
      <alignment horizontal="center" vertical="top"/>
      <protection locked="0"/>
    </xf>
    <xf numFmtId="0" fontId="0" fillId="0" borderId="27" xfId="0" applyBorder="1" applyAlignment="1">
      <alignment vertical="top"/>
    </xf>
    <xf numFmtId="3" fontId="0" fillId="37" borderId="14" xfId="42" applyNumberFormat="1" applyFont="1" applyFill="1" applyBorder="1" applyAlignment="1" applyProtection="1">
      <alignment vertical="top"/>
      <protection/>
    </xf>
    <xf numFmtId="0" fontId="22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14" fontId="0" fillId="0" borderId="0" xfId="0" applyNumberFormat="1" applyAlignment="1">
      <alignment horizontal="right" vertical="top"/>
    </xf>
    <xf numFmtId="14" fontId="0" fillId="0" borderId="12" xfId="0" applyNumberFormat="1" applyBorder="1" applyAlignment="1">
      <alignment horizontal="right" vertical="top"/>
    </xf>
    <xf numFmtId="0" fontId="19" fillId="0" borderId="0" xfId="0" applyFont="1" applyFill="1" applyAlignment="1">
      <alignment vertical="top"/>
    </xf>
    <xf numFmtId="3" fontId="0" fillId="40" borderId="0" xfId="63" applyNumberFormat="1" applyFill="1" applyAlignment="1">
      <alignment/>
      <protection locked="0"/>
    </xf>
    <xf numFmtId="0" fontId="19" fillId="36" borderId="0" xfId="0" applyFont="1" applyFill="1" applyAlignment="1">
      <alignment vertical="top"/>
    </xf>
    <xf numFmtId="164" fontId="0" fillId="0" borderId="0" xfId="45" applyNumberFormat="1" applyFont="1" applyAlignment="1" applyProtection="1">
      <alignment vertical="top"/>
      <protection locked="0"/>
    </xf>
    <xf numFmtId="164" fontId="0" fillId="0" borderId="17" xfId="45" applyNumberFormat="1" applyFont="1" applyBorder="1" applyAlignment="1" applyProtection="1">
      <alignment vertical="top"/>
      <protection locked="0"/>
    </xf>
    <xf numFmtId="214" fontId="0" fillId="0" borderId="0" xfId="42" applyNumberFormat="1" applyFont="1" applyAlignment="1" applyProtection="1">
      <alignment vertical="top"/>
      <protection locked="0"/>
    </xf>
    <xf numFmtId="214" fontId="0" fillId="0" borderId="12" xfId="42" applyNumberFormat="1" applyFont="1" applyBorder="1" applyAlignment="1" applyProtection="1">
      <alignment vertical="top"/>
      <protection locked="0"/>
    </xf>
    <xf numFmtId="0" fontId="15" fillId="0" borderId="0" xfId="0" applyFont="1" applyAlignment="1">
      <alignment horizontal="right" vertical="top"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5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7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0" fillId="34" borderId="0" xfId="0" applyFill="1" applyAlignment="1" applyProtection="1">
      <alignment vertical="top" wrapText="1"/>
      <protection locked="0"/>
    </xf>
    <xf numFmtId="0" fontId="0" fillId="34" borderId="0" xfId="0" applyFill="1" applyAlignment="1" applyProtection="1" quotePrefix="1">
      <alignment vertical="top" wrapText="1"/>
      <protection locked="0"/>
    </xf>
    <xf numFmtId="0" fontId="0" fillId="34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1 2" xfId="54"/>
    <cellStyle name="Heading 2" xfId="55"/>
    <cellStyle name="Heading 2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>
    <pageSetUpPr fitToPage="1"/>
  </sheetPr>
  <dimension ref="A1:R82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57.7109375" style="0" customWidth="1"/>
    <col min="2" max="2" width="5.7109375" style="0" customWidth="1"/>
    <col min="3" max="3" width="8.00390625" style="0" customWidth="1"/>
    <col min="4" max="6" width="15.7109375" style="0" customWidth="1"/>
    <col min="7" max="7" width="16.140625" style="0" customWidth="1"/>
    <col min="8" max="8" width="12.7109375" style="0" customWidth="1"/>
    <col min="9" max="9" width="10.7109375" style="0" customWidth="1"/>
    <col min="10" max="10" width="14.140625" style="0" customWidth="1"/>
    <col min="11" max="11" width="6.421875" style="0" customWidth="1"/>
    <col min="12" max="14" width="10.7109375" style="0" customWidth="1"/>
  </cols>
  <sheetData>
    <row r="1" spans="1:10" ht="12.75">
      <c r="A1" s="1" t="s">
        <v>493</v>
      </c>
      <c r="C1" s="8"/>
      <c r="D1" s="8"/>
      <c r="E1" s="8"/>
      <c r="G1" s="2" t="s">
        <v>456</v>
      </c>
      <c r="J1" s="8"/>
    </row>
    <row r="2" spans="1:10" ht="12.75">
      <c r="A2" s="2" t="s">
        <v>59</v>
      </c>
      <c r="B2" s="8"/>
      <c r="C2" s="8"/>
      <c r="D2" s="8"/>
      <c r="E2" s="8"/>
      <c r="G2" s="21"/>
      <c r="J2" s="8"/>
    </row>
    <row r="3" spans="1:10" ht="12.75">
      <c r="A3" s="2" t="s">
        <v>489</v>
      </c>
      <c r="C3" s="8"/>
      <c r="D3" s="8"/>
      <c r="E3" s="8"/>
      <c r="F3" s="446" t="s">
        <v>442</v>
      </c>
      <c r="G3" s="8"/>
      <c r="H3" s="8"/>
      <c r="I3" s="8"/>
      <c r="J3" s="8"/>
    </row>
    <row r="4" spans="1:10" ht="12.75">
      <c r="A4" s="2" t="s">
        <v>533</v>
      </c>
      <c r="C4" s="8"/>
      <c r="D4" s="8"/>
      <c r="E4" s="8"/>
      <c r="F4" s="445" t="s">
        <v>437</v>
      </c>
      <c r="G4" s="420"/>
      <c r="J4" s="8"/>
    </row>
    <row r="5" spans="1:10" ht="12.75">
      <c r="A5" s="52"/>
      <c r="C5" s="8"/>
      <c r="D5" s="8"/>
      <c r="E5" s="8"/>
      <c r="F5" s="444" t="s">
        <v>438</v>
      </c>
      <c r="G5" s="395"/>
      <c r="J5" s="8"/>
    </row>
    <row r="6" spans="1:10" ht="12.75">
      <c r="A6" s="2" t="s">
        <v>124</v>
      </c>
      <c r="B6" s="386">
        <f>365-59</f>
        <v>306</v>
      </c>
      <c r="C6" s="8" t="s">
        <v>125</v>
      </c>
      <c r="D6" s="8"/>
      <c r="E6" s="8"/>
      <c r="F6" s="21"/>
      <c r="J6" s="8"/>
    </row>
    <row r="7" spans="1:10" ht="13.5" thickBot="1">
      <c r="A7" s="52" t="s">
        <v>253</v>
      </c>
      <c r="B7" s="246">
        <v>365</v>
      </c>
      <c r="C7" s="8" t="s">
        <v>125</v>
      </c>
      <c r="D7" s="8"/>
      <c r="E7" s="8"/>
      <c r="F7" s="8"/>
      <c r="G7" s="8"/>
      <c r="H7" s="8"/>
      <c r="I7" s="8"/>
      <c r="J7" s="8"/>
    </row>
    <row r="8" spans="1:18" ht="13.5" thickTop="1">
      <c r="A8" s="7"/>
      <c r="B8" s="53"/>
      <c r="C8" s="9"/>
      <c r="D8" s="9"/>
      <c r="E8" s="9"/>
      <c r="F8" s="9"/>
      <c r="G8" s="7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3"/>
      <c r="B9" s="55"/>
      <c r="C9" s="20"/>
      <c r="D9" s="20"/>
      <c r="E9" s="20"/>
      <c r="F9" s="20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3"/>
      <c r="B10" s="55"/>
      <c r="C10" s="20"/>
      <c r="D10" s="502" t="s">
        <v>498</v>
      </c>
      <c r="E10" s="502" t="s">
        <v>497</v>
      </c>
      <c r="F10" s="502" t="s">
        <v>504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0" ht="12.75">
      <c r="A11" s="36" t="s">
        <v>60</v>
      </c>
      <c r="B11" s="3"/>
      <c r="C11" s="20"/>
      <c r="D11" s="20"/>
      <c r="E11" s="20"/>
      <c r="F11" s="3"/>
      <c r="G11" s="3"/>
      <c r="H11" s="3"/>
      <c r="I11" s="3"/>
      <c r="J11" s="3"/>
    </row>
    <row r="12" spans="1:10" ht="12.75">
      <c r="A12" s="3" t="s">
        <v>61</v>
      </c>
      <c r="B12" s="3"/>
      <c r="C12" s="37"/>
      <c r="D12" s="37"/>
      <c r="E12" s="37"/>
      <c r="F12" s="20"/>
      <c r="G12" s="3"/>
      <c r="H12" s="3"/>
      <c r="I12" s="3"/>
      <c r="J12" s="3"/>
    </row>
    <row r="13" spans="1:10" ht="12.75">
      <c r="A13" s="3" t="s">
        <v>62</v>
      </c>
      <c r="C13" s="20"/>
      <c r="D13" s="504"/>
      <c r="E13" s="504"/>
      <c r="F13" s="20"/>
      <c r="G13" s="3"/>
      <c r="H13" s="3"/>
      <c r="I13" s="3"/>
      <c r="J13" s="3"/>
    </row>
    <row r="14" spans="1:10" ht="13.5" thickBot="1">
      <c r="A14" s="3" t="s">
        <v>63</v>
      </c>
      <c r="C14" s="20" t="s">
        <v>64</v>
      </c>
      <c r="D14" s="505" t="s">
        <v>490</v>
      </c>
      <c r="E14" s="505" t="s">
        <v>490</v>
      </c>
      <c r="F14" s="255" t="s">
        <v>490</v>
      </c>
      <c r="G14" s="3"/>
      <c r="H14" s="3"/>
      <c r="I14" s="3"/>
      <c r="J14" s="3"/>
    </row>
    <row r="15" spans="1:9" ht="6.75" customHeight="1">
      <c r="A15" s="3"/>
      <c r="C15" s="20"/>
      <c r="D15" s="504"/>
      <c r="E15" s="504"/>
      <c r="F15" s="20"/>
      <c r="G15" s="3"/>
      <c r="H15" s="3"/>
      <c r="I15" s="3"/>
    </row>
    <row r="16" spans="1:9" ht="12.75">
      <c r="A16" s="3" t="s">
        <v>65</v>
      </c>
      <c r="C16" s="20"/>
      <c r="D16" s="504"/>
      <c r="E16" s="504"/>
      <c r="F16" s="20"/>
      <c r="G16" s="3"/>
      <c r="H16" s="3"/>
      <c r="I16" s="3"/>
    </row>
    <row r="17" spans="1:6" ht="13.5" customHeight="1" thickBot="1">
      <c r="A17" s="3" t="s">
        <v>66</v>
      </c>
      <c r="C17" s="8" t="s">
        <v>64</v>
      </c>
      <c r="D17" s="505" t="s">
        <v>491</v>
      </c>
      <c r="E17" s="505" t="s">
        <v>491</v>
      </c>
      <c r="F17" s="255" t="s">
        <v>491</v>
      </c>
    </row>
    <row r="18" spans="1:6" ht="7.5" customHeight="1">
      <c r="A18" s="45"/>
      <c r="C18" s="8"/>
      <c r="D18" s="503"/>
      <c r="E18" s="503"/>
      <c r="F18" s="8"/>
    </row>
    <row r="19" spans="1:6" ht="13.5" thickBot="1">
      <c r="A19" s="45" t="s">
        <v>183</v>
      </c>
      <c r="C19" s="8" t="s">
        <v>64</v>
      </c>
      <c r="D19" s="505" t="s">
        <v>491</v>
      </c>
      <c r="E19" s="505" t="s">
        <v>491</v>
      </c>
      <c r="F19" s="255" t="s">
        <v>491</v>
      </c>
    </row>
    <row r="20" spans="1:6" ht="15" customHeight="1">
      <c r="A20" s="387" t="s">
        <v>311</v>
      </c>
      <c r="C20" s="8"/>
      <c r="D20" s="503"/>
      <c r="E20" s="503"/>
      <c r="F20" s="8"/>
    </row>
    <row r="21" spans="1:6" ht="15" customHeight="1">
      <c r="A21" s="549" t="s">
        <v>312</v>
      </c>
      <c r="B21" s="8" t="s">
        <v>309</v>
      </c>
      <c r="C21" s="8" t="s">
        <v>64</v>
      </c>
      <c r="D21" s="506" t="s">
        <v>490</v>
      </c>
      <c r="E21" s="506" t="s">
        <v>490</v>
      </c>
      <c r="F21" s="386" t="s">
        <v>490</v>
      </c>
    </row>
    <row r="22" spans="1:6" ht="13.5" thickBot="1">
      <c r="A22" s="550"/>
      <c r="B22" s="8" t="s">
        <v>310</v>
      </c>
      <c r="C22" s="8" t="s">
        <v>64</v>
      </c>
      <c r="D22" s="505" t="s">
        <v>491</v>
      </c>
      <c r="E22" s="505" t="s">
        <v>491</v>
      </c>
      <c r="F22" s="255" t="s">
        <v>491</v>
      </c>
    </row>
    <row r="23" spans="1:6" ht="12.75">
      <c r="A23" s="549" t="s">
        <v>308</v>
      </c>
      <c r="B23" s="8" t="s">
        <v>309</v>
      </c>
      <c r="C23" s="8"/>
      <c r="D23" s="507">
        <v>0.8071</v>
      </c>
      <c r="E23" s="507">
        <v>0.8644</v>
      </c>
      <c r="F23" s="416">
        <v>1</v>
      </c>
    </row>
    <row r="24" spans="1:6" ht="12.75">
      <c r="A24" s="549"/>
      <c r="B24" s="8" t="s">
        <v>310</v>
      </c>
      <c r="C24" s="8"/>
      <c r="D24" s="507">
        <v>1</v>
      </c>
      <c r="E24" s="507">
        <v>1</v>
      </c>
      <c r="F24" s="416">
        <v>1</v>
      </c>
    </row>
    <row r="25" spans="1:6" ht="7.5" customHeight="1">
      <c r="A25" s="45"/>
      <c r="C25" s="8"/>
      <c r="D25" s="506"/>
      <c r="E25" s="506"/>
      <c r="F25" s="386"/>
    </row>
    <row r="26" spans="1:6" ht="12.75" customHeight="1">
      <c r="A26" s="508" t="s">
        <v>506</v>
      </c>
      <c r="C26" s="8"/>
      <c r="D26" s="506" t="s">
        <v>505</v>
      </c>
      <c r="E26" s="506" t="s">
        <v>505</v>
      </c>
      <c r="F26" s="506" t="s">
        <v>474</v>
      </c>
    </row>
    <row r="27" spans="1:6" ht="7.5" customHeight="1">
      <c r="A27" s="45"/>
      <c r="C27" s="8"/>
      <c r="D27" s="506"/>
      <c r="E27" s="506"/>
      <c r="F27" s="386"/>
    </row>
    <row r="28" spans="1:7" ht="12.75">
      <c r="A28" s="45" t="s">
        <v>210</v>
      </c>
      <c r="C28" s="8" t="s">
        <v>211</v>
      </c>
      <c r="D28" s="501"/>
      <c r="E28" s="501"/>
      <c r="F28" s="417" t="s">
        <v>474</v>
      </c>
      <c r="G28" s="498" t="s">
        <v>503</v>
      </c>
    </row>
    <row r="29" ht="6.75" customHeight="1" thickBot="1">
      <c r="A29" s="12"/>
    </row>
    <row r="30" spans="1:7" ht="12.75">
      <c r="A30" s="252" t="s">
        <v>67</v>
      </c>
      <c r="C30" s="8"/>
      <c r="D30" s="8"/>
      <c r="E30" s="8"/>
      <c r="G30" s="435" t="s">
        <v>294</v>
      </c>
    </row>
    <row r="31" spans="1:7" ht="12.75">
      <c r="A31" s="253" t="s">
        <v>68</v>
      </c>
      <c r="C31" s="8"/>
      <c r="D31" s="8"/>
      <c r="E31" s="8"/>
      <c r="G31" s="436" t="s">
        <v>295</v>
      </c>
    </row>
    <row r="32" spans="1:5" ht="12.75">
      <c r="A32" s="253" t="s">
        <v>69</v>
      </c>
      <c r="C32" s="38"/>
      <c r="D32" s="38"/>
      <c r="E32" s="38"/>
    </row>
    <row r="33" ht="12.75">
      <c r="A33" s="254" t="s">
        <v>70</v>
      </c>
    </row>
    <row r="34" spans="1:6" ht="12.75">
      <c r="A34" s="317"/>
      <c r="D34" s="509"/>
      <c r="E34" s="509"/>
      <c r="F34" s="510" t="s">
        <v>507</v>
      </c>
    </row>
    <row r="35" spans="1:6" ht="12.75">
      <c r="A35" s="317"/>
      <c r="D35" s="502" t="s">
        <v>498</v>
      </c>
      <c r="E35" s="502" t="s">
        <v>497</v>
      </c>
      <c r="F35" s="502" t="s">
        <v>504</v>
      </c>
    </row>
    <row r="36" ht="12.75">
      <c r="A36" s="35"/>
    </row>
    <row r="37" spans="1:10" ht="12.75">
      <c r="A37" t="s">
        <v>284</v>
      </c>
      <c r="D37" s="515">
        <v>64127964</v>
      </c>
      <c r="E37" s="515">
        <v>247324048</v>
      </c>
      <c r="F37" s="415">
        <f>64127964+247324048</f>
        <v>311452012</v>
      </c>
      <c r="J37" s="5"/>
    </row>
    <row r="38" spans="4:5" ht="6" customHeight="1">
      <c r="D38" s="509"/>
      <c r="E38" s="509"/>
    </row>
    <row r="39" spans="1:10" ht="12.75">
      <c r="A39" t="s">
        <v>71</v>
      </c>
      <c r="D39" s="516">
        <v>0.5</v>
      </c>
      <c r="E39" s="516">
        <v>0.45</v>
      </c>
      <c r="F39" s="500"/>
      <c r="H39" t="s">
        <v>102</v>
      </c>
      <c r="J39" s="39"/>
    </row>
    <row r="40" spans="4:10" ht="6" customHeight="1">
      <c r="D40" s="509"/>
      <c r="E40" s="509"/>
      <c r="F40" s="45"/>
      <c r="H40" t="s">
        <v>102</v>
      </c>
      <c r="J40" s="34"/>
    </row>
    <row r="41" spans="1:12" ht="12.75">
      <c r="A41" t="s">
        <v>72</v>
      </c>
      <c r="D41" s="247">
        <f>1-D39</f>
        <v>0.5</v>
      </c>
      <c r="E41" s="247">
        <f>1-E39</f>
        <v>0.55</v>
      </c>
      <c r="F41" s="499"/>
      <c r="H41" s="39"/>
      <c r="J41" s="41"/>
      <c r="L41" s="39"/>
    </row>
    <row r="42" spans="4:10" ht="6" customHeight="1">
      <c r="D42" s="509"/>
      <c r="E42" s="509"/>
      <c r="F42" s="45"/>
      <c r="J42" s="34"/>
    </row>
    <row r="43" spans="1:10" ht="12.75">
      <c r="A43" t="s">
        <v>73</v>
      </c>
      <c r="D43" s="516">
        <v>0.0988</v>
      </c>
      <c r="E43" s="516">
        <v>0.0988</v>
      </c>
      <c r="F43" s="500"/>
      <c r="J43" s="41"/>
    </row>
    <row r="44" spans="4:10" ht="4.5" customHeight="1">
      <c r="D44" s="509"/>
      <c r="E44" s="509"/>
      <c r="F44" s="45"/>
      <c r="J44" s="34"/>
    </row>
    <row r="45" spans="1:10" ht="12.75">
      <c r="A45" t="s">
        <v>74</v>
      </c>
      <c r="D45" s="516">
        <v>0.0725</v>
      </c>
      <c r="E45" s="516">
        <v>0.07</v>
      </c>
      <c r="F45" s="500"/>
      <c r="J45" s="41"/>
    </row>
    <row r="46" spans="4:10" ht="6" customHeight="1">
      <c r="D46" s="509"/>
      <c r="E46" s="509"/>
      <c r="J46" s="34"/>
    </row>
    <row r="47" spans="1:10" ht="12.75">
      <c r="A47" t="s">
        <v>75</v>
      </c>
      <c r="D47" s="512">
        <v>5492560.1166</v>
      </c>
      <c r="E47" s="512">
        <v>20518003.02208</v>
      </c>
      <c r="F47" s="248">
        <f>SUM(D47:E47)</f>
        <v>26010563.13868</v>
      </c>
      <c r="J47" s="40"/>
    </row>
    <row r="48" spans="4:10" ht="6" customHeight="1">
      <c r="D48" s="509"/>
      <c r="E48" s="509"/>
      <c r="F48" s="22"/>
      <c r="J48" s="40"/>
    </row>
    <row r="49" spans="1:13" ht="12.75">
      <c r="A49" t="s">
        <v>76</v>
      </c>
      <c r="D49" s="517">
        <v>0</v>
      </c>
      <c r="E49" s="517">
        <v>4776987</v>
      </c>
      <c r="F49" s="418">
        <f>SUM(D49:E49)</f>
        <v>4776987</v>
      </c>
      <c r="G49" s="385">
        <f>+F49</f>
        <v>4776987</v>
      </c>
      <c r="H49" s="22"/>
      <c r="J49" s="40"/>
      <c r="L49" s="5"/>
      <c r="M49" s="5"/>
    </row>
    <row r="50" spans="4:13" ht="6" customHeight="1">
      <c r="D50" s="509"/>
      <c r="E50" s="509"/>
      <c r="F50" s="22"/>
      <c r="J50" s="40"/>
      <c r="L50" s="5"/>
      <c r="M50" s="5"/>
    </row>
    <row r="51" spans="1:13" ht="12.75">
      <c r="A51" t="s">
        <v>77</v>
      </c>
      <c r="D51" s="248">
        <f>D47-D49</f>
        <v>5492560.1166</v>
      </c>
      <c r="E51" s="248">
        <f>E47-E49</f>
        <v>15741016.02208</v>
      </c>
      <c r="F51" s="248">
        <f>F47-F49</f>
        <v>21233576.13868</v>
      </c>
      <c r="J51" s="40"/>
      <c r="L51" s="5"/>
      <c r="M51" s="5"/>
    </row>
    <row r="52" spans="1:13" ht="12.75">
      <c r="A52" s="2" t="s">
        <v>285</v>
      </c>
      <c r="D52" s="509"/>
      <c r="E52" s="509"/>
      <c r="F52" s="40"/>
      <c r="J52" s="40"/>
      <c r="L52" s="5"/>
      <c r="M52" s="5"/>
    </row>
    <row r="53" spans="1:13" ht="12.75">
      <c r="A53" t="s">
        <v>286</v>
      </c>
      <c r="D53" s="517">
        <v>1830853</v>
      </c>
      <c r="E53" s="517">
        <v>5247005</v>
      </c>
      <c r="F53" s="419">
        <f>SUM(D53:E53)</f>
        <v>7077858</v>
      </c>
      <c r="G53" s="385">
        <f aca="true" t="shared" si="0" ref="G53:G59">F53</f>
        <v>7077858</v>
      </c>
      <c r="J53" s="40"/>
      <c r="L53" s="5"/>
      <c r="M53" s="5"/>
    </row>
    <row r="54" spans="1:13" ht="12.75">
      <c r="A54" t="s">
        <v>287</v>
      </c>
      <c r="D54" s="517">
        <v>1830853</v>
      </c>
      <c r="E54" s="517">
        <v>5247005</v>
      </c>
      <c r="F54" s="419">
        <f aca="true" t="shared" si="1" ref="F54:F59">SUM(D54:E54)</f>
        <v>7077858</v>
      </c>
      <c r="G54" s="385">
        <f>F54</f>
        <v>7077858</v>
      </c>
      <c r="H54" s="22"/>
      <c r="J54" s="40"/>
      <c r="L54" s="5"/>
      <c r="M54" s="5"/>
    </row>
    <row r="55" spans="1:13" ht="12.75">
      <c r="A55" t="s">
        <v>288</v>
      </c>
      <c r="D55" s="517">
        <v>0</v>
      </c>
      <c r="E55" s="517">
        <v>0</v>
      </c>
      <c r="F55" s="419">
        <f t="shared" si="1"/>
        <v>0</v>
      </c>
      <c r="G55" s="385">
        <f>F55</f>
        <v>0</v>
      </c>
      <c r="H55" s="22"/>
      <c r="J55" s="40"/>
      <c r="L55" s="5"/>
      <c r="M55" s="5"/>
    </row>
    <row r="56" spans="1:13" ht="12.75">
      <c r="A56" t="s">
        <v>289</v>
      </c>
      <c r="D56" s="517"/>
      <c r="E56" s="517"/>
      <c r="F56" s="419">
        <f t="shared" si="1"/>
        <v>0</v>
      </c>
      <c r="G56" s="385">
        <f t="shared" si="0"/>
        <v>0</v>
      </c>
      <c r="J56" s="40"/>
      <c r="L56" s="5"/>
      <c r="M56" s="5"/>
    </row>
    <row r="57" spans="1:13" ht="12.75">
      <c r="A57" t="s">
        <v>434</v>
      </c>
      <c r="C57" s="485"/>
      <c r="D57" s="517">
        <v>1830853</v>
      </c>
      <c r="E57" s="517">
        <v>5247005</v>
      </c>
      <c r="F57" s="419">
        <f t="shared" si="1"/>
        <v>7077858</v>
      </c>
      <c r="G57" s="385">
        <f t="shared" si="0"/>
        <v>7077858</v>
      </c>
      <c r="I57" s="3"/>
      <c r="J57" s="40"/>
      <c r="L57" s="5"/>
      <c r="M57" s="5"/>
    </row>
    <row r="58" spans="1:13" ht="12.75">
      <c r="A58" t="s">
        <v>457</v>
      </c>
      <c r="D58" s="517">
        <v>215405</v>
      </c>
      <c r="E58" s="517">
        <v>0</v>
      </c>
      <c r="F58" s="419">
        <f t="shared" si="1"/>
        <v>215405</v>
      </c>
      <c r="G58" s="385">
        <f t="shared" si="0"/>
        <v>215405</v>
      </c>
      <c r="I58" s="484"/>
      <c r="J58" s="40"/>
      <c r="L58" s="5"/>
      <c r="M58" s="5"/>
    </row>
    <row r="59" spans="4:13" ht="12.75">
      <c r="D59" s="517"/>
      <c r="E59" s="517"/>
      <c r="F59" s="419">
        <f t="shared" si="1"/>
        <v>0</v>
      </c>
      <c r="G59" s="385">
        <f t="shared" si="0"/>
        <v>0</v>
      </c>
      <c r="I59" s="3"/>
      <c r="J59" s="40"/>
      <c r="L59" s="5"/>
      <c r="M59" s="5"/>
    </row>
    <row r="60" spans="1:13" ht="12.75">
      <c r="A60" s="2" t="s">
        <v>290</v>
      </c>
      <c r="D60" s="513">
        <f>SUM(D53:D59)+D49</f>
        <v>5707964</v>
      </c>
      <c r="E60" s="513">
        <f>SUM(E53:E59)+E49</f>
        <v>20518002</v>
      </c>
      <c r="F60" s="513">
        <f>SUM(F53:F59)+F49</f>
        <v>26225966</v>
      </c>
      <c r="G60" s="513">
        <f>SUM(G53:G59)+G49</f>
        <v>26225966</v>
      </c>
      <c r="I60" s="22"/>
      <c r="J60" s="40"/>
      <c r="L60" s="5"/>
      <c r="M60" s="5"/>
    </row>
    <row r="61" spans="4:13" ht="12.75">
      <c r="D61" s="509"/>
      <c r="E61" s="509"/>
      <c r="F61" s="30"/>
      <c r="J61" s="40"/>
      <c r="L61" s="5"/>
      <c r="M61" s="5"/>
    </row>
    <row r="62" spans="1:13" ht="12.75">
      <c r="A62" t="s">
        <v>78</v>
      </c>
      <c r="B62" s="5"/>
      <c r="C62" s="5"/>
      <c r="D62" s="513">
        <f>+D37*D39</f>
        <v>32063982</v>
      </c>
      <c r="E62" s="513">
        <f>+E37*E39</f>
        <v>111295821.60000001</v>
      </c>
      <c r="F62" s="249">
        <v>143359804</v>
      </c>
      <c r="J62" s="32"/>
      <c r="L62" s="5"/>
      <c r="M62" s="5"/>
    </row>
    <row r="63" spans="1:13" ht="12.75">
      <c r="A63" s="14"/>
      <c r="B63" s="5"/>
      <c r="C63" s="5"/>
      <c r="D63" s="511"/>
      <c r="E63" s="511"/>
      <c r="F63" s="5"/>
      <c r="H63" s="5"/>
      <c r="J63" s="32"/>
      <c r="L63" s="5"/>
      <c r="M63" s="5"/>
    </row>
    <row r="64" spans="1:13" ht="12.75">
      <c r="A64" t="s">
        <v>79</v>
      </c>
      <c r="B64" s="5"/>
      <c r="C64" s="5"/>
      <c r="D64" s="513">
        <f>+D62*D43</f>
        <v>3167921.4216</v>
      </c>
      <c r="E64" s="513">
        <f>+E62*E43</f>
        <v>10996027.174080001</v>
      </c>
      <c r="F64" s="249">
        <f>+D64+E64</f>
        <v>14163948.595680002</v>
      </c>
      <c r="H64" s="5"/>
      <c r="J64" s="32"/>
      <c r="L64" s="5"/>
      <c r="M64" s="5"/>
    </row>
    <row r="65" spans="2:13" ht="12.75">
      <c r="B65" s="5"/>
      <c r="C65" s="5"/>
      <c r="D65" s="511"/>
      <c r="E65" s="511"/>
      <c r="F65" s="5"/>
      <c r="H65" s="5"/>
      <c r="J65" s="32"/>
      <c r="L65" s="5"/>
      <c r="M65" s="5"/>
    </row>
    <row r="66" spans="1:13" ht="12.75">
      <c r="A66" t="s">
        <v>80</v>
      </c>
      <c r="B66" s="5"/>
      <c r="C66" s="5"/>
      <c r="D66" s="513">
        <f>+D37*D41</f>
        <v>32063982</v>
      </c>
      <c r="E66" s="513">
        <f>+E37*E41</f>
        <v>136028226.4</v>
      </c>
      <c r="F66" s="249">
        <f>+D66+E66</f>
        <v>168092208.4</v>
      </c>
      <c r="H66" s="5"/>
      <c r="J66" s="32"/>
      <c r="L66" s="5"/>
      <c r="M66" s="5"/>
    </row>
    <row r="67" spans="2:13" ht="12.75">
      <c r="B67" s="5"/>
      <c r="C67" s="5"/>
      <c r="D67" s="511"/>
      <c r="E67" s="511"/>
      <c r="F67" s="5"/>
      <c r="H67" s="5"/>
      <c r="J67" s="32"/>
      <c r="L67" s="5"/>
      <c r="M67" s="5"/>
    </row>
    <row r="68" spans="1:13" ht="12.75">
      <c r="A68" t="s">
        <v>307</v>
      </c>
      <c r="B68" s="5"/>
      <c r="C68" s="5"/>
      <c r="D68" s="513">
        <f>+D66*D45</f>
        <v>2324638.695</v>
      </c>
      <c r="E68" s="513">
        <f>+E66*E45</f>
        <v>9521975.848000001</v>
      </c>
      <c r="F68" s="249">
        <f>+D68+E68</f>
        <v>11846614.543000001</v>
      </c>
      <c r="H68" s="5"/>
      <c r="J68" s="32"/>
      <c r="L68" s="5"/>
      <c r="M68" s="5"/>
    </row>
    <row r="69" spans="2:13" ht="12.75">
      <c r="B69" s="5"/>
      <c r="C69" s="5"/>
      <c r="D69" s="511"/>
      <c r="E69" s="511"/>
      <c r="F69" s="5"/>
      <c r="H69" s="5"/>
      <c r="J69" s="32"/>
      <c r="L69" s="5"/>
      <c r="M69" s="5"/>
    </row>
    <row r="70" spans="1:13" ht="12.75">
      <c r="A70" t="s">
        <v>291</v>
      </c>
      <c r="B70" s="5"/>
      <c r="C70" s="5"/>
      <c r="D70" s="514">
        <f>IF(D47&gt;0,(((D49+D53)/D47)*D68),0)</f>
        <v>774879.4074722708</v>
      </c>
      <c r="E70" s="514">
        <f>IF(E47&gt;0,(((E49+E53)/E47)*E68),0)</f>
        <v>4651924.9276759885</v>
      </c>
      <c r="F70" s="250">
        <f>+D70+E70</f>
        <v>5426804.335148259</v>
      </c>
      <c r="H70" s="5"/>
      <c r="J70" s="32"/>
      <c r="L70" s="5"/>
      <c r="M70" s="5"/>
    </row>
    <row r="71" spans="1:13" ht="12.75">
      <c r="A71" s="33" t="s">
        <v>373</v>
      </c>
      <c r="B71" s="5"/>
      <c r="C71" s="5"/>
      <c r="D71" s="511"/>
      <c r="E71" s="511"/>
      <c r="F71" s="32"/>
      <c r="H71" s="5"/>
      <c r="J71" s="32"/>
      <c r="L71" s="5"/>
      <c r="M71" s="5"/>
    </row>
    <row r="72" spans="1:13" ht="12.75">
      <c r="A72" t="s">
        <v>292</v>
      </c>
      <c r="B72" s="5"/>
      <c r="C72" s="5"/>
      <c r="D72" s="514">
        <f>IF(D47&gt;0,(((D49+D53+D54)/D47)*D68),0)</f>
        <v>1549758.8149445415</v>
      </c>
      <c r="E72" s="514">
        <f>IF(E47&gt;0,(((E49+E53+E54)/E47)*E68),0)</f>
        <v>7086950.150675025</v>
      </c>
      <c r="F72" s="250">
        <f>+D72+E72</f>
        <v>8636708.965619566</v>
      </c>
      <c r="H72" s="5"/>
      <c r="J72" s="32"/>
      <c r="L72" s="5"/>
      <c r="M72" s="5"/>
    </row>
    <row r="73" spans="1:13" ht="12.75">
      <c r="A73" s="33" t="s">
        <v>374</v>
      </c>
      <c r="B73" s="5"/>
      <c r="C73" s="5"/>
      <c r="D73" s="511"/>
      <c r="E73" s="511"/>
      <c r="F73" s="32"/>
      <c r="H73" s="5"/>
      <c r="J73" s="32"/>
      <c r="L73" s="5"/>
      <c r="M73" s="5"/>
    </row>
    <row r="74" spans="1:12" ht="12.75">
      <c r="A74" s="45" t="s">
        <v>293</v>
      </c>
      <c r="B74" s="5"/>
      <c r="C74" s="5"/>
      <c r="D74" s="514">
        <f>+D68</f>
        <v>2324638.695</v>
      </c>
      <c r="E74" s="514">
        <f>+E68</f>
        <v>9521975.848000001</v>
      </c>
      <c r="F74" s="250">
        <f>+D74+E74</f>
        <v>11846614.543000001</v>
      </c>
      <c r="H74" s="5"/>
      <c r="J74" s="32"/>
      <c r="L74" s="5"/>
    </row>
    <row r="75" spans="1:12" ht="12.75">
      <c r="A75" s="33" t="s">
        <v>375</v>
      </c>
      <c r="B75" s="5"/>
      <c r="C75" s="5"/>
      <c r="D75" s="5"/>
      <c r="E75" s="5"/>
      <c r="F75" s="5"/>
      <c r="H75" s="5"/>
      <c r="J75" s="32"/>
      <c r="L75" s="5"/>
    </row>
    <row r="76" spans="1:12" ht="12.75">
      <c r="A76" s="45" t="s">
        <v>443</v>
      </c>
      <c r="B76" s="5"/>
      <c r="C76" s="5"/>
      <c r="D76" s="5"/>
      <c r="E76" s="5"/>
      <c r="F76" s="250">
        <f>+F74</f>
        <v>11846614.543000001</v>
      </c>
      <c r="H76" s="5"/>
      <c r="J76" s="34"/>
      <c r="L76" s="5"/>
    </row>
    <row r="77" spans="1:10" ht="12.75">
      <c r="A77" s="89"/>
      <c r="B77" s="5"/>
      <c r="C77" s="5"/>
      <c r="D77" s="5"/>
      <c r="E77" s="5"/>
      <c r="F77" s="5"/>
      <c r="J77" s="34"/>
    </row>
    <row r="78" spans="2:10" ht="12.75">
      <c r="B78" s="5"/>
      <c r="C78" s="5"/>
      <c r="D78" s="5"/>
      <c r="E78" s="5"/>
      <c r="F78" s="5"/>
      <c r="J78" s="34"/>
    </row>
    <row r="79" spans="2:10" ht="12.75">
      <c r="B79" s="5"/>
      <c r="C79" s="5"/>
      <c r="D79" s="5"/>
      <c r="E79" s="5"/>
      <c r="F79" s="5"/>
      <c r="J79" s="34"/>
    </row>
    <row r="80" spans="2:10" ht="12.75">
      <c r="B80" s="5"/>
      <c r="C80" s="5"/>
      <c r="D80" s="5"/>
      <c r="E80" s="5"/>
      <c r="F80" s="5"/>
      <c r="J80" s="34"/>
    </row>
    <row r="81" spans="2:10" ht="12.75">
      <c r="B81" s="5"/>
      <c r="C81" s="5"/>
      <c r="D81" s="5"/>
      <c r="E81" s="5"/>
      <c r="F81" s="5"/>
      <c r="J81" s="34"/>
    </row>
    <row r="82" ht="12.75">
      <c r="J82" s="34"/>
    </row>
  </sheetData>
  <sheetProtection/>
  <mergeCells count="2">
    <mergeCell ref="A23:A24"/>
    <mergeCell ref="A21:A22"/>
  </mergeCells>
  <printOptions gridLines="1" headings="1"/>
  <pageMargins left="0.35433070866141736" right="0.03937007874015748" top="0.9055118110236221" bottom="0.35433070866141736" header="0.2755905511811024" footer="0"/>
  <pageSetup fitToHeight="1" fitToWidth="1" horizontalDpi="600" verticalDpi="600" orientation="portrait" scale="76" r:id="rId1"/>
  <headerFooter alignWithMargins="0">
    <oddHeader>&amp;R&amp;8Horizon Utilities Corp.
Disposition of Account 1562 Deferred PILS
EB-2012-0005
Appendix C-1
Filed:  March 28, 2012&amp;10
</oddHeader>
    <oddFooter>&amp;R&amp;"Arial,Bold"&amp;9&amp;A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W265"/>
  <sheetViews>
    <sheetView view="pageLayout" zoomScaleNormal="80" workbookViewId="0" topLeftCell="B1">
      <selection activeCell="A1" sqref="A1"/>
    </sheetView>
  </sheetViews>
  <sheetFormatPr defaultColWidth="9.140625" defaultRowHeight="12.75"/>
  <cols>
    <col min="1" max="1" width="61.140625" style="0" customWidth="1"/>
    <col min="2" max="2" width="6.8515625" style="0" bestFit="1" customWidth="1"/>
    <col min="3" max="5" width="14.8515625" style="0" customWidth="1"/>
    <col min="6" max="6" width="3.7109375" style="0" customWidth="1"/>
    <col min="7" max="7" width="16.28125" style="0" customWidth="1"/>
    <col min="8" max="8" width="22.421875" style="0" customWidth="1"/>
    <col min="9" max="9" width="14.00390625" style="0" customWidth="1"/>
    <col min="10" max="10" width="4.421875" style="0" customWidth="1"/>
    <col min="11" max="11" width="27.57421875" style="0" customWidth="1"/>
    <col min="12" max="12" width="37.421875" style="0" customWidth="1"/>
    <col min="13" max="13" width="14.28125" style="0" customWidth="1"/>
    <col min="14" max="14" width="10.7109375" style="0" customWidth="1"/>
    <col min="15" max="15" width="47.140625" style="0" customWidth="1"/>
    <col min="16" max="18" width="14.140625" style="0" customWidth="1"/>
    <col min="19" max="19" width="3.421875" style="0" customWidth="1"/>
    <col min="20" max="21" width="17.421875" style="0" customWidth="1"/>
    <col min="22" max="22" width="19.421875" style="0" customWidth="1"/>
    <col min="23" max="23" width="12.57421875" style="0" customWidth="1"/>
  </cols>
  <sheetData>
    <row r="1" spans="1:10" ht="12.75">
      <c r="A1" s="203" t="str">
        <f>REGINFO!A1</f>
        <v>PILs TAXES </v>
      </c>
      <c r="B1" s="204" t="s">
        <v>126</v>
      </c>
      <c r="C1" s="518" t="s">
        <v>34</v>
      </c>
      <c r="D1" s="519"/>
      <c r="E1" s="520"/>
      <c r="F1" s="205"/>
      <c r="G1" s="206" t="s">
        <v>23</v>
      </c>
      <c r="H1" s="207" t="s">
        <v>23</v>
      </c>
      <c r="I1" s="208" t="s">
        <v>459</v>
      </c>
      <c r="J1" s="209"/>
    </row>
    <row r="2" spans="1:10" ht="12.75">
      <c r="A2" s="210" t="s">
        <v>458</v>
      </c>
      <c r="B2" s="211"/>
      <c r="C2" s="521" t="s">
        <v>35</v>
      </c>
      <c r="D2" s="522"/>
      <c r="E2" s="523"/>
      <c r="F2" s="212"/>
      <c r="G2" s="213" t="s">
        <v>24</v>
      </c>
      <c r="H2" s="214" t="s">
        <v>24</v>
      </c>
      <c r="I2" s="183" t="s">
        <v>460</v>
      </c>
      <c r="J2" s="215"/>
    </row>
    <row r="3" spans="1:10" ht="12.75">
      <c r="A3" s="210" t="s">
        <v>49</v>
      </c>
      <c r="B3" s="216"/>
      <c r="C3" s="524" t="s">
        <v>496</v>
      </c>
      <c r="D3" s="525"/>
      <c r="E3" s="526"/>
      <c r="F3" s="212"/>
      <c r="G3" s="137" t="s">
        <v>21</v>
      </c>
      <c r="H3" s="218" t="s">
        <v>21</v>
      </c>
      <c r="I3" s="137"/>
      <c r="J3" s="215"/>
    </row>
    <row r="4" spans="1:10" ht="12.75">
      <c r="A4" s="219" t="s">
        <v>41</v>
      </c>
      <c r="B4" s="220"/>
      <c r="C4" s="527"/>
      <c r="D4" s="528"/>
      <c r="E4" s="529"/>
      <c r="F4" s="212"/>
      <c r="G4" s="137" t="s">
        <v>248</v>
      </c>
      <c r="H4" s="218" t="s">
        <v>22</v>
      </c>
      <c r="I4" s="137"/>
      <c r="J4" s="215"/>
    </row>
    <row r="5" spans="1:10" ht="12.75">
      <c r="A5" s="210">
        <f>REGINFO!G2</f>
        <v>0</v>
      </c>
      <c r="B5" s="220"/>
      <c r="C5" s="220"/>
      <c r="D5" s="220"/>
      <c r="E5" s="217"/>
      <c r="F5" s="212"/>
      <c r="G5" s="137"/>
      <c r="H5" s="218"/>
      <c r="I5" s="183" t="str">
        <f>REGINFO!G1</f>
        <v>Version 2009.1</v>
      </c>
      <c r="J5" s="215"/>
    </row>
    <row r="6" spans="1:10" ht="12.75">
      <c r="A6" s="210" t="str">
        <f>REGINFO!A3</f>
        <v>Utility Name:   Horizon Utilities Corporation</v>
      </c>
      <c r="B6" s="115"/>
      <c r="C6" s="530" t="s">
        <v>508</v>
      </c>
      <c r="D6" s="531" t="s">
        <v>508</v>
      </c>
      <c r="E6" s="21" t="s">
        <v>509</v>
      </c>
      <c r="F6" s="137"/>
      <c r="G6" s="115"/>
      <c r="I6" s="115"/>
      <c r="J6" s="456"/>
    </row>
    <row r="7" spans="1:10" ht="12.75">
      <c r="A7" s="210" t="str">
        <f>REGINFO!A4</f>
        <v>Reporting period:  2005 (306 days December 31st)</v>
      </c>
      <c r="B7" s="115"/>
      <c r="C7" s="75" t="s">
        <v>498</v>
      </c>
      <c r="D7" s="531" t="s">
        <v>497</v>
      </c>
      <c r="E7" s="21" t="s">
        <v>510</v>
      </c>
      <c r="F7" s="137"/>
      <c r="G7" s="115"/>
      <c r="I7" s="115"/>
      <c r="J7" s="456"/>
    </row>
    <row r="8" spans="2:14" ht="12.75">
      <c r="B8" s="220"/>
      <c r="C8" s="183"/>
      <c r="D8" s="183"/>
      <c r="E8" s="532" t="s">
        <v>511</v>
      </c>
      <c r="F8" s="212"/>
      <c r="G8" s="137"/>
      <c r="H8" s="218"/>
      <c r="I8" s="183" t="s">
        <v>87</v>
      </c>
      <c r="J8" s="215"/>
      <c r="L8" s="47" t="s">
        <v>127</v>
      </c>
      <c r="M8" s="47"/>
      <c r="N8" s="47"/>
    </row>
    <row r="9" spans="1:10" ht="12.75">
      <c r="A9" s="210" t="s">
        <v>124</v>
      </c>
      <c r="B9" s="421">
        <f>REGINFO!B6</f>
        <v>306</v>
      </c>
      <c r="C9" s="220"/>
      <c r="D9" s="220"/>
      <c r="E9" s="228"/>
      <c r="F9" s="212"/>
      <c r="G9" s="137"/>
      <c r="H9" s="218"/>
      <c r="I9" s="183" t="s">
        <v>90</v>
      </c>
      <c r="J9" s="215"/>
    </row>
    <row r="10" spans="1:10" ht="12.75">
      <c r="A10" s="210" t="s">
        <v>253</v>
      </c>
      <c r="B10" s="421">
        <f>REGINFO!B7</f>
        <v>365</v>
      </c>
      <c r="C10" s="220"/>
      <c r="D10" s="220"/>
      <c r="E10" s="228"/>
      <c r="F10" s="212"/>
      <c r="G10" s="229"/>
      <c r="H10" s="218"/>
      <c r="I10" s="230" t="s">
        <v>88</v>
      </c>
      <c r="J10" s="215"/>
    </row>
    <row r="11" spans="1:10" ht="12.75">
      <c r="A11" s="153"/>
      <c r="B11" s="123"/>
      <c r="C11" s="123"/>
      <c r="D11" s="123"/>
      <c r="E11" s="104"/>
      <c r="F11" s="17"/>
      <c r="G11" s="138"/>
      <c r="H11" s="20"/>
      <c r="I11" s="143" t="s">
        <v>89</v>
      </c>
      <c r="J11" s="151"/>
    </row>
    <row r="12" spans="1:10" ht="13.5" thickBot="1">
      <c r="A12" s="153"/>
      <c r="B12" s="220"/>
      <c r="C12" s="217" t="s">
        <v>25</v>
      </c>
      <c r="D12" s="217" t="s">
        <v>25</v>
      </c>
      <c r="E12" s="217" t="s">
        <v>25</v>
      </c>
      <c r="F12" s="212"/>
      <c r="G12" s="217" t="s">
        <v>25</v>
      </c>
      <c r="H12" s="218"/>
      <c r="I12" s="217" t="s">
        <v>25</v>
      </c>
      <c r="J12" s="215"/>
    </row>
    <row r="13" spans="1:10" ht="13.5" thickTop="1">
      <c r="A13" s="150"/>
      <c r="B13" s="221"/>
      <c r="C13" s="221"/>
      <c r="D13" s="221"/>
      <c r="E13" s="222"/>
      <c r="F13" s="223"/>
      <c r="G13" s="224"/>
      <c r="H13" s="225"/>
      <c r="I13" s="226"/>
      <c r="J13" s="227"/>
    </row>
    <row r="14" spans="1:10" ht="12.75">
      <c r="A14" s="154" t="s">
        <v>30</v>
      </c>
      <c r="B14" s="121" t="s">
        <v>102</v>
      </c>
      <c r="C14" s="121"/>
      <c r="D14" s="121"/>
      <c r="E14" s="105"/>
      <c r="F14" s="17"/>
      <c r="G14" s="138"/>
      <c r="H14" s="3"/>
      <c r="I14" s="184"/>
      <c r="J14" s="151"/>
    </row>
    <row r="15" spans="2:10" ht="12.75">
      <c r="B15" s="122"/>
      <c r="C15" s="122"/>
      <c r="D15" s="122"/>
      <c r="E15" s="105"/>
      <c r="F15" s="17"/>
      <c r="G15" s="138"/>
      <c r="H15" s="3"/>
      <c r="I15" s="184"/>
      <c r="J15" s="151"/>
    </row>
    <row r="16" spans="1:10" ht="12.75">
      <c r="A16" s="155" t="s">
        <v>337</v>
      </c>
      <c r="B16" s="125">
        <v>1</v>
      </c>
      <c r="C16" s="256">
        <f>+REGINFO!D60</f>
        <v>5707964</v>
      </c>
      <c r="D16" s="256">
        <f>+REGINFO!E60</f>
        <v>20518002</v>
      </c>
      <c r="E16" s="256">
        <f>REGINFO!G60</f>
        <v>26225966</v>
      </c>
      <c r="F16" s="17"/>
      <c r="G16" s="264">
        <f>I16-E16</f>
        <v>-4005711</v>
      </c>
      <c r="H16" s="3"/>
      <c r="I16" s="264">
        <f>TAXREC!E50</f>
        <v>22220255</v>
      </c>
      <c r="J16" s="151"/>
    </row>
    <row r="17" spans="1:10" ht="12.75">
      <c r="A17" s="152"/>
      <c r="B17" s="125"/>
      <c r="C17" s="106"/>
      <c r="D17" s="106"/>
      <c r="E17" s="106"/>
      <c r="F17" s="17"/>
      <c r="G17" s="139"/>
      <c r="H17" s="3"/>
      <c r="I17" s="139"/>
      <c r="J17" s="151"/>
    </row>
    <row r="18" spans="1:10" ht="12.75">
      <c r="A18" s="152" t="s">
        <v>26</v>
      </c>
      <c r="B18" s="125"/>
      <c r="C18" s="106"/>
      <c r="D18" s="106"/>
      <c r="E18" s="106"/>
      <c r="F18" s="17"/>
      <c r="G18" s="139"/>
      <c r="H18" s="3"/>
      <c r="I18" s="139"/>
      <c r="J18" s="151"/>
    </row>
    <row r="19" spans="1:10" ht="12.75">
      <c r="A19" s="156" t="s">
        <v>206</v>
      </c>
      <c r="B19" s="126"/>
      <c r="C19" s="105"/>
      <c r="D19" s="105"/>
      <c r="E19" s="105"/>
      <c r="F19" s="18"/>
      <c r="G19" s="139"/>
      <c r="H19" s="6"/>
      <c r="I19" s="139"/>
      <c r="J19" s="151"/>
    </row>
    <row r="20" spans="1:10" ht="12.75">
      <c r="A20" s="157" t="s">
        <v>4</v>
      </c>
      <c r="B20" s="127">
        <v>2</v>
      </c>
      <c r="C20" s="258">
        <v>3496843</v>
      </c>
      <c r="D20" s="258">
        <v>11570187</v>
      </c>
      <c r="E20" s="258">
        <f>+C20+D20</f>
        <v>15067030</v>
      </c>
      <c r="F20" s="18"/>
      <c r="G20" s="264">
        <f>I20-E20</f>
        <v>1288511</v>
      </c>
      <c r="H20" s="6"/>
      <c r="I20" s="264">
        <f>TAXREC!E61</f>
        <v>16355541</v>
      </c>
      <c r="J20" s="151"/>
    </row>
    <row r="21" spans="1:10" ht="12.75">
      <c r="A21" s="158" t="s">
        <v>56</v>
      </c>
      <c r="B21" s="127">
        <v>3</v>
      </c>
      <c r="C21" s="258"/>
      <c r="D21" s="258"/>
      <c r="E21" s="258"/>
      <c r="F21" s="18"/>
      <c r="G21" s="264">
        <f>I21-E21</f>
        <v>1284678</v>
      </c>
      <c r="H21" s="6"/>
      <c r="I21" s="264">
        <f>TAXREC!E62</f>
        <v>1284678</v>
      </c>
      <c r="J21" s="151"/>
    </row>
    <row r="22" spans="1:10" ht="12.75">
      <c r="A22" s="158" t="s">
        <v>261</v>
      </c>
      <c r="B22" s="127">
        <v>4</v>
      </c>
      <c r="C22" s="258"/>
      <c r="D22" s="258"/>
      <c r="E22" s="258"/>
      <c r="F22" s="18"/>
      <c r="G22" s="264">
        <f>I22-E22</f>
        <v>350000</v>
      </c>
      <c r="H22" s="6"/>
      <c r="I22" s="264">
        <f>TAXREC!E63</f>
        <v>350000</v>
      </c>
      <c r="J22" s="151"/>
    </row>
    <row r="23" spans="1:10" ht="12.75">
      <c r="A23" s="158" t="s">
        <v>260</v>
      </c>
      <c r="B23" s="127">
        <v>4</v>
      </c>
      <c r="C23" s="258"/>
      <c r="D23" s="258"/>
      <c r="E23" s="258"/>
      <c r="F23" s="18"/>
      <c r="G23" s="264">
        <f>I23-E23</f>
        <v>1472655</v>
      </c>
      <c r="H23" s="6"/>
      <c r="I23" s="264">
        <f>TAXREC!E64</f>
        <v>1472655</v>
      </c>
      <c r="J23" s="151"/>
    </row>
    <row r="24" spans="1:10" ht="12.75">
      <c r="A24" s="158" t="s">
        <v>262</v>
      </c>
      <c r="B24" s="127">
        <v>5</v>
      </c>
      <c r="C24" s="258"/>
      <c r="D24" s="258"/>
      <c r="E24" s="258"/>
      <c r="F24" s="18"/>
      <c r="G24" s="264">
        <f>I24-E24</f>
        <v>0</v>
      </c>
      <c r="H24" s="6"/>
      <c r="I24" s="264">
        <f>TAXREC!E65</f>
        <v>0</v>
      </c>
      <c r="J24" s="151"/>
    </row>
    <row r="25" spans="1:10" ht="12.75">
      <c r="A25" s="158" t="s">
        <v>53</v>
      </c>
      <c r="B25" s="127"/>
      <c r="C25" s="105"/>
      <c r="D25" s="105"/>
      <c r="E25" s="105"/>
      <c r="F25" s="18"/>
      <c r="G25" s="186"/>
      <c r="H25" s="33"/>
      <c r="I25" s="186"/>
      <c r="J25" s="151"/>
    </row>
    <row r="26" spans="1:10" ht="12.75">
      <c r="A26" s="158" t="s">
        <v>154</v>
      </c>
      <c r="B26" s="127">
        <v>6</v>
      </c>
      <c r="C26" s="258"/>
      <c r="D26" s="258"/>
      <c r="E26" s="258"/>
      <c r="F26" s="18"/>
      <c r="G26" s="264">
        <f>I26-E26</f>
        <v>0</v>
      </c>
      <c r="H26" s="6"/>
      <c r="I26" s="264">
        <f>TAXREC!E92</f>
        <v>0</v>
      </c>
      <c r="J26" s="151"/>
    </row>
    <row r="27" spans="1:10" ht="12.75">
      <c r="A27" s="158" t="s">
        <v>157</v>
      </c>
      <c r="B27" s="127">
        <v>6</v>
      </c>
      <c r="C27" s="258"/>
      <c r="D27" s="258"/>
      <c r="E27" s="258"/>
      <c r="F27" s="18"/>
      <c r="G27" s="264">
        <f>I27-E27</f>
        <v>0</v>
      </c>
      <c r="H27" s="6"/>
      <c r="I27" s="264">
        <f>TAXREC!E93</f>
        <v>0</v>
      </c>
      <c r="J27" s="151"/>
    </row>
    <row r="28" spans="1:10" ht="12.75">
      <c r="A28" s="158" t="s">
        <v>156</v>
      </c>
      <c r="B28" s="127">
        <v>6</v>
      </c>
      <c r="C28" s="258"/>
      <c r="D28" s="258"/>
      <c r="E28" s="258"/>
      <c r="F28" s="18"/>
      <c r="G28" s="264">
        <f>I28-E28</f>
        <v>335815</v>
      </c>
      <c r="H28" s="6"/>
      <c r="I28" s="264">
        <f>TAXREC!E67</f>
        <v>335815</v>
      </c>
      <c r="J28" s="151"/>
    </row>
    <row r="29" spans="1:10" ht="12.75">
      <c r="A29" s="158" t="s">
        <v>155</v>
      </c>
      <c r="B29" s="127">
        <v>6</v>
      </c>
      <c r="C29" s="258"/>
      <c r="D29" s="258"/>
      <c r="E29" s="258"/>
      <c r="F29" s="18"/>
      <c r="G29" s="264">
        <f>I29-E29</f>
        <v>0</v>
      </c>
      <c r="H29" s="6"/>
      <c r="I29" s="264">
        <f>TAXREC!E68</f>
        <v>0</v>
      </c>
      <c r="J29" s="151"/>
    </row>
    <row r="30" spans="1:10" ht="15.75">
      <c r="A30" s="473" t="s">
        <v>390</v>
      </c>
      <c r="B30" s="127"/>
      <c r="C30" s="256"/>
      <c r="D30" s="256"/>
      <c r="E30" s="256"/>
      <c r="F30" s="18"/>
      <c r="G30" s="264">
        <f>I30-E30</f>
        <v>1845693</v>
      </c>
      <c r="H30" s="6"/>
      <c r="I30" s="264">
        <f>TAXREC!E66</f>
        <v>1845693</v>
      </c>
      <c r="J30" s="151"/>
    </row>
    <row r="31" spans="1:10" ht="12.75">
      <c r="A31" s="158"/>
      <c r="B31" s="127"/>
      <c r="C31" s="105"/>
      <c r="D31" s="105"/>
      <c r="E31" s="105"/>
      <c r="F31" s="18"/>
      <c r="G31" s="139"/>
      <c r="H31" s="6"/>
      <c r="I31" s="139"/>
      <c r="J31" s="151"/>
    </row>
    <row r="32" spans="1:10" ht="12.75">
      <c r="A32" s="156" t="s">
        <v>338</v>
      </c>
      <c r="B32" s="126"/>
      <c r="C32" s="105"/>
      <c r="D32" s="105"/>
      <c r="E32" s="105"/>
      <c r="F32" s="132"/>
      <c r="G32" s="139"/>
      <c r="H32" s="6"/>
      <c r="I32" s="139"/>
      <c r="J32" s="151"/>
    </row>
    <row r="33" spans="1:10" ht="12.75">
      <c r="A33" s="155" t="s">
        <v>103</v>
      </c>
      <c r="B33" s="127">
        <v>7</v>
      </c>
      <c r="C33" s="258">
        <v>2446091</v>
      </c>
      <c r="D33" s="258">
        <v>8779450</v>
      </c>
      <c r="E33" s="258">
        <f>+C33+D33</f>
        <v>11225541</v>
      </c>
      <c r="F33" s="132"/>
      <c r="G33" s="264">
        <f aca="true" t="shared" si="0" ref="G33:G42">I33-E33</f>
        <v>4257649</v>
      </c>
      <c r="H33" s="6"/>
      <c r="I33" s="264">
        <f>TAXREC!E97+TAXREC!E98</f>
        <v>15483190</v>
      </c>
      <c r="J33" s="151"/>
    </row>
    <row r="34" spans="1:10" ht="12.75">
      <c r="A34" s="158" t="s">
        <v>57</v>
      </c>
      <c r="B34" s="127">
        <v>8</v>
      </c>
      <c r="C34" s="258"/>
      <c r="D34" s="258"/>
      <c r="E34" s="258"/>
      <c r="F34" s="132"/>
      <c r="G34" s="264">
        <f t="shared" si="0"/>
        <v>908725</v>
      </c>
      <c r="H34" s="6"/>
      <c r="I34" s="264">
        <f>TAXREC!E99</f>
        <v>908725</v>
      </c>
      <c r="J34" s="151"/>
    </row>
    <row r="35" spans="1:10" ht="12.75">
      <c r="A35" s="158" t="s">
        <v>45</v>
      </c>
      <c r="B35" s="127">
        <v>9</v>
      </c>
      <c r="C35" s="258"/>
      <c r="D35" s="258"/>
      <c r="E35" s="258"/>
      <c r="F35" s="132"/>
      <c r="G35" s="264">
        <f t="shared" si="0"/>
        <v>0</v>
      </c>
      <c r="H35" s="6"/>
      <c r="I35" s="264">
        <f>TAXREC!E100</f>
        <v>0</v>
      </c>
      <c r="J35" s="151"/>
    </row>
    <row r="36" spans="1:10" ht="12.75">
      <c r="A36" s="158" t="s">
        <v>263</v>
      </c>
      <c r="B36" s="127">
        <v>10</v>
      </c>
      <c r="C36" s="258"/>
      <c r="D36" s="258"/>
      <c r="E36" s="258"/>
      <c r="F36" s="132"/>
      <c r="G36" s="264">
        <f t="shared" si="0"/>
        <v>0</v>
      </c>
      <c r="H36" s="6"/>
      <c r="I36" s="264">
        <f>TAXREC!E102+TAXREC!E103</f>
        <v>0</v>
      </c>
      <c r="J36" s="151"/>
    </row>
    <row r="37" spans="1:10" ht="12.75">
      <c r="A37" s="155" t="s">
        <v>86</v>
      </c>
      <c r="B37" s="125">
        <v>11</v>
      </c>
      <c r="C37" s="257">
        <f>+REGINFO!D68</f>
        <v>2324638.695</v>
      </c>
      <c r="D37" s="257">
        <f>+REGINFO!E68</f>
        <v>9521975.848000001</v>
      </c>
      <c r="E37" s="257">
        <f>+C37+D37</f>
        <v>11846614.543000001</v>
      </c>
      <c r="F37" s="132"/>
      <c r="G37" s="264">
        <f t="shared" si="0"/>
        <v>-4295829.543000001</v>
      </c>
      <c r="H37" s="6"/>
      <c r="I37" s="486">
        <f>TAXREC!E51</f>
        <v>7550785</v>
      </c>
      <c r="J37" s="151"/>
    </row>
    <row r="38" spans="1:10" ht="12.75">
      <c r="A38" s="155" t="s">
        <v>259</v>
      </c>
      <c r="B38" s="125">
        <v>4</v>
      </c>
      <c r="C38" s="258"/>
      <c r="D38" s="258"/>
      <c r="E38" s="258"/>
      <c r="F38" s="132"/>
      <c r="G38" s="264">
        <f t="shared" si="0"/>
        <v>350000</v>
      </c>
      <c r="H38" s="6"/>
      <c r="I38" s="264">
        <f>TAXREC!E104</f>
        <v>350000</v>
      </c>
      <c r="J38" s="151"/>
    </row>
    <row r="39" spans="1:10" ht="12.75">
      <c r="A39" s="155" t="s">
        <v>258</v>
      </c>
      <c r="B39" s="125">
        <v>4</v>
      </c>
      <c r="C39" s="258"/>
      <c r="D39" s="258"/>
      <c r="E39" s="258"/>
      <c r="F39" s="132"/>
      <c r="G39" s="264">
        <f t="shared" si="0"/>
        <v>1040150</v>
      </c>
      <c r="H39" s="6"/>
      <c r="I39" s="264">
        <f>TAXREC!E105</f>
        <v>1040150</v>
      </c>
      <c r="J39" s="151"/>
    </row>
    <row r="40" spans="1:10" ht="12.75">
      <c r="A40" s="155" t="s">
        <v>12</v>
      </c>
      <c r="B40" s="125">
        <v>3</v>
      </c>
      <c r="C40" s="258"/>
      <c r="D40" s="258"/>
      <c r="E40" s="258"/>
      <c r="F40" s="132"/>
      <c r="G40" s="264">
        <f t="shared" si="0"/>
        <v>0</v>
      </c>
      <c r="H40" s="6"/>
      <c r="I40" s="264">
        <f>TAXREC!E106</f>
        <v>0</v>
      </c>
      <c r="J40" s="151"/>
    </row>
    <row r="41" spans="1:10" ht="12.75">
      <c r="A41" s="155" t="s">
        <v>13</v>
      </c>
      <c r="B41" s="125">
        <v>3</v>
      </c>
      <c r="C41" s="258"/>
      <c r="D41" s="258"/>
      <c r="E41" s="258"/>
      <c r="F41" s="132"/>
      <c r="G41" s="264">
        <f t="shared" si="0"/>
        <v>0</v>
      </c>
      <c r="H41" s="6"/>
      <c r="I41" s="264">
        <f>TAXREC!E107</f>
        <v>0</v>
      </c>
      <c r="J41" s="151"/>
    </row>
    <row r="42" spans="1:10" ht="12.75">
      <c r="A42" s="155" t="s">
        <v>182</v>
      </c>
      <c r="B42" s="125">
        <v>11</v>
      </c>
      <c r="C42" s="258"/>
      <c r="D42" s="258"/>
      <c r="E42" s="258"/>
      <c r="F42" s="132"/>
      <c r="G42" s="264">
        <f t="shared" si="0"/>
        <v>0</v>
      </c>
      <c r="H42" s="6"/>
      <c r="I42" s="264">
        <f>TAXREC!E109</f>
        <v>0</v>
      </c>
      <c r="J42" s="151"/>
    </row>
    <row r="43" spans="1:10" ht="12.75">
      <c r="A43" s="158" t="s">
        <v>54</v>
      </c>
      <c r="B43" s="127"/>
      <c r="C43" s="105">
        <v>296409</v>
      </c>
      <c r="D43" s="105">
        <v>700000</v>
      </c>
      <c r="E43" s="105">
        <f>+C43+D43</f>
        <v>996409</v>
      </c>
      <c r="F43" s="132"/>
      <c r="G43" s="139"/>
      <c r="H43" s="6"/>
      <c r="I43" s="139"/>
      <c r="J43" s="151"/>
    </row>
    <row r="44" spans="1:10" ht="12.75">
      <c r="A44" s="158" t="s">
        <v>154</v>
      </c>
      <c r="B44" s="127">
        <v>12</v>
      </c>
      <c r="C44" s="258"/>
      <c r="D44" s="258"/>
      <c r="E44" s="258"/>
      <c r="F44" s="132"/>
      <c r="G44" s="264">
        <f>I44-E44</f>
        <v>14600</v>
      </c>
      <c r="H44" s="6"/>
      <c r="I44" s="248">
        <f>TAXREC!E130</f>
        <v>14600</v>
      </c>
      <c r="J44" s="151"/>
    </row>
    <row r="45" spans="1:10" ht="12.75">
      <c r="A45" s="158" t="s">
        <v>151</v>
      </c>
      <c r="B45" s="127">
        <v>12</v>
      </c>
      <c r="C45" s="258"/>
      <c r="D45" s="258"/>
      <c r="E45" s="258"/>
      <c r="F45" s="132"/>
      <c r="G45" s="264">
        <f>I45-E45</f>
        <v>0</v>
      </c>
      <c r="H45" s="6"/>
      <c r="I45" s="248">
        <f>TAXREC!E131</f>
        <v>0</v>
      </c>
      <c r="J45" s="151"/>
    </row>
    <row r="46" spans="1:10" ht="12.75">
      <c r="A46" s="158" t="s">
        <v>153</v>
      </c>
      <c r="B46" s="127">
        <v>12</v>
      </c>
      <c r="C46" s="258"/>
      <c r="D46" s="258"/>
      <c r="E46" s="258"/>
      <c r="F46" s="132"/>
      <c r="G46" s="264">
        <f>I46-E46</f>
        <v>0</v>
      </c>
      <c r="H46" s="6"/>
      <c r="I46" s="248">
        <f>TAXREC!E110</f>
        <v>0</v>
      </c>
      <c r="J46" s="151"/>
    </row>
    <row r="47" spans="1:10" ht="12.75">
      <c r="A47" s="158" t="s">
        <v>152</v>
      </c>
      <c r="B47" s="127">
        <v>12</v>
      </c>
      <c r="C47" s="258"/>
      <c r="D47" s="258"/>
      <c r="E47" s="258"/>
      <c r="F47" s="132"/>
      <c r="G47" s="264">
        <f>I47-E47</f>
        <v>0</v>
      </c>
      <c r="H47" s="6"/>
      <c r="I47" s="248">
        <f>TAXREC!E111</f>
        <v>0</v>
      </c>
      <c r="J47" s="151"/>
    </row>
    <row r="48" spans="1:10" ht="15.75">
      <c r="A48" s="473" t="s">
        <v>390</v>
      </c>
      <c r="B48" s="127"/>
      <c r="C48" s="256"/>
      <c r="D48" s="256"/>
      <c r="E48" s="256"/>
      <c r="F48" s="132"/>
      <c r="G48" s="264">
        <f>I48-E48</f>
        <v>109257</v>
      </c>
      <c r="H48" s="6"/>
      <c r="I48" s="248">
        <f>TAXREC!E108</f>
        <v>109257</v>
      </c>
      <c r="J48" s="151"/>
    </row>
    <row r="49" spans="1:10" ht="12.75">
      <c r="A49" s="158"/>
      <c r="B49" s="127"/>
      <c r="C49" s="105"/>
      <c r="D49" s="105"/>
      <c r="E49" s="105"/>
      <c r="F49" s="132"/>
      <c r="G49" s="139"/>
      <c r="H49" s="6"/>
      <c r="I49" s="139"/>
      <c r="J49" s="151"/>
    </row>
    <row r="50" spans="1:10" ht="12.75">
      <c r="A50" s="152" t="s">
        <v>324</v>
      </c>
      <c r="B50" s="125"/>
      <c r="C50" s="260">
        <f>C16+SUM(C20:C30)-SUM(C33:C48)</f>
        <v>4137668.3049999997</v>
      </c>
      <c r="D50" s="260">
        <f>D16+SUM(D20:D30)-SUM(D33:D48)</f>
        <v>13086763.151999999</v>
      </c>
      <c r="E50" s="260">
        <f>+C50+D50</f>
        <v>17224431.457</v>
      </c>
      <c r="F50" s="102"/>
      <c r="G50" s="260">
        <f>G16+SUM(G20:G30)-SUM(G33:G48)</f>
        <v>187089.54300000146</v>
      </c>
      <c r="H50" s="423" t="s">
        <v>362</v>
      </c>
      <c r="I50" s="260">
        <f>I16+SUM(I20:I30)-SUM(I33:I48)</f>
        <v>18407930</v>
      </c>
      <c r="J50" s="160"/>
    </row>
    <row r="51" spans="1:11" ht="12.75">
      <c r="A51" s="159"/>
      <c r="B51" s="125"/>
      <c r="C51" s="107"/>
      <c r="D51" s="107"/>
      <c r="E51" s="107"/>
      <c r="F51" s="132"/>
      <c r="G51" s="107"/>
      <c r="H51" s="6"/>
      <c r="I51" s="107"/>
      <c r="J51" s="151"/>
      <c r="K51" s="116"/>
    </row>
    <row r="52" spans="1:10" ht="12.75">
      <c r="A52" s="158" t="s">
        <v>332</v>
      </c>
      <c r="B52" s="127"/>
      <c r="C52" s="108"/>
      <c r="D52" s="108"/>
      <c r="E52" s="108"/>
      <c r="F52" s="132"/>
      <c r="G52" s="139"/>
      <c r="H52" s="6"/>
      <c r="I52" s="139"/>
      <c r="J52" s="151"/>
    </row>
    <row r="53" spans="1:11" ht="12.75">
      <c r="A53" s="158" t="s">
        <v>336</v>
      </c>
      <c r="B53" s="127">
        <v>13</v>
      </c>
      <c r="C53" s="259">
        <f>+E53</f>
        <v>0.3612</v>
      </c>
      <c r="D53" s="259">
        <f>+E53</f>
        <v>0.3612</v>
      </c>
      <c r="E53" s="259">
        <f>IF($E$50&gt;'Tax Rates'!$E$11,'Tax Rates'!$F$16,IF($E$50&gt;'Tax Rates'!$C$11,'Tax Rates'!$E$16,'Tax Rates'!$C$16))</f>
        <v>0.3612</v>
      </c>
      <c r="F53" s="102"/>
      <c r="G53" s="265">
        <f>+I53-E53</f>
        <v>0</v>
      </c>
      <c r="H53" s="114"/>
      <c r="I53" s="464">
        <f>+'Tax Rates'!F52</f>
        <v>0.3612</v>
      </c>
      <c r="J53" s="151"/>
      <c r="K53" s="461"/>
    </row>
    <row r="54" spans="1:10" ht="12.75">
      <c r="A54" s="158"/>
      <c r="B54" s="127"/>
      <c r="C54" s="105"/>
      <c r="D54" s="105"/>
      <c r="E54" s="105"/>
      <c r="F54" s="132"/>
      <c r="G54" s="139"/>
      <c r="H54" s="6"/>
      <c r="I54" s="139"/>
      <c r="J54" s="151"/>
    </row>
    <row r="55" spans="1:10" ht="12.75">
      <c r="A55" s="158" t="s">
        <v>28</v>
      </c>
      <c r="B55" s="127"/>
      <c r="C55" s="261">
        <f>IF(C50&gt;0,C50*C53,0)</f>
        <v>1494525.791766</v>
      </c>
      <c r="D55" s="261">
        <f>IF(D50&gt;0,D50*D53,0)</f>
        <v>4726938.8505024</v>
      </c>
      <c r="E55" s="261">
        <f>IF(E50&gt;0,E50*E53,0)</f>
        <v>6221464.6422684</v>
      </c>
      <c r="F55" s="102"/>
      <c r="G55" s="264">
        <f>I55-E55</f>
        <v>392780.3380794218</v>
      </c>
      <c r="H55" s="423" t="s">
        <v>363</v>
      </c>
      <c r="I55" s="261">
        <f>TAXREC!E144</f>
        <v>6614244.9803478215</v>
      </c>
      <c r="J55" s="161"/>
    </row>
    <row r="56" spans="1:10" ht="12.75">
      <c r="A56" s="158"/>
      <c r="B56" s="127"/>
      <c r="C56" s="105"/>
      <c r="D56" s="105"/>
      <c r="E56" s="105"/>
      <c r="F56" s="132"/>
      <c r="G56" s="139"/>
      <c r="H56" s="114"/>
      <c r="I56" s="139"/>
      <c r="J56" s="151"/>
    </row>
    <row r="57" spans="1:10" ht="12.75">
      <c r="A57" s="158"/>
      <c r="B57" s="127"/>
      <c r="C57" s="105"/>
      <c r="D57" s="105"/>
      <c r="E57" s="105"/>
      <c r="F57" s="132"/>
      <c r="G57" s="139"/>
      <c r="H57" s="6"/>
      <c r="I57" s="139"/>
      <c r="J57" s="151"/>
    </row>
    <row r="58" spans="1:10" ht="12.75">
      <c r="A58" s="158" t="s">
        <v>36</v>
      </c>
      <c r="B58" s="127">
        <v>14</v>
      </c>
      <c r="C58" s="262"/>
      <c r="D58" s="262"/>
      <c r="E58" s="262"/>
      <c r="F58" s="132"/>
      <c r="G58" s="264">
        <f>+I58-E58</f>
        <v>22513</v>
      </c>
      <c r="H58" s="423" t="s">
        <v>363</v>
      </c>
      <c r="I58" s="267">
        <f>TAXREC!E145</f>
        <v>22513</v>
      </c>
      <c r="J58" s="151"/>
    </row>
    <row r="59" spans="1:10" ht="13.5" thickBot="1">
      <c r="A59" s="158"/>
      <c r="B59" s="127"/>
      <c r="C59" s="105"/>
      <c r="D59" s="105"/>
      <c r="E59" s="105"/>
      <c r="F59" s="18"/>
      <c r="G59" s="139"/>
      <c r="H59" s="6"/>
      <c r="I59" s="139"/>
      <c r="J59" s="151"/>
    </row>
    <row r="60" spans="1:10" ht="13.5" thickBot="1">
      <c r="A60" s="150" t="s">
        <v>37</v>
      </c>
      <c r="B60" s="134"/>
      <c r="C60" s="263">
        <f>+C55-C58</f>
        <v>1494525.791766</v>
      </c>
      <c r="D60" s="263">
        <f>+D55-D58</f>
        <v>4726938.8505024</v>
      </c>
      <c r="E60" s="263">
        <f>+E55-E58</f>
        <v>6221464.6422684</v>
      </c>
      <c r="F60" s="133"/>
      <c r="G60" s="266">
        <f>+G55-G58</f>
        <v>370267.3380794218</v>
      </c>
      <c r="H60" s="423" t="s">
        <v>363</v>
      </c>
      <c r="I60" s="266">
        <f>+I55-I58</f>
        <v>6591731.9803478215</v>
      </c>
      <c r="J60" s="135"/>
    </row>
    <row r="61" spans="1:10" ht="12.75">
      <c r="A61" s="158"/>
      <c r="B61" s="127"/>
      <c r="C61" s="105"/>
      <c r="D61" s="105"/>
      <c r="E61" s="105"/>
      <c r="F61" s="18"/>
      <c r="G61" s="139"/>
      <c r="H61" s="6"/>
      <c r="I61" s="139"/>
      <c r="J61" s="151"/>
    </row>
    <row r="62" spans="1:10" ht="12.75">
      <c r="A62" s="158"/>
      <c r="B62" s="123"/>
      <c r="C62" s="105"/>
      <c r="D62" s="105"/>
      <c r="E62" s="105"/>
      <c r="F62" s="18"/>
      <c r="G62" s="139"/>
      <c r="H62" s="6"/>
      <c r="I62" s="139"/>
      <c r="J62" s="151"/>
    </row>
    <row r="63" spans="1:10" ht="12.75">
      <c r="A63" s="154" t="s">
        <v>31</v>
      </c>
      <c r="B63" s="128"/>
      <c r="C63" s="105"/>
      <c r="D63" s="105"/>
      <c r="E63" s="105"/>
      <c r="F63" s="18"/>
      <c r="G63" s="139"/>
      <c r="H63" s="6"/>
      <c r="I63" s="139"/>
      <c r="J63" s="151"/>
    </row>
    <row r="64" spans="1:10" ht="12.75">
      <c r="A64" s="158"/>
      <c r="B64" s="127"/>
      <c r="C64" s="105"/>
      <c r="D64" s="105"/>
      <c r="E64" s="105"/>
      <c r="F64" s="18"/>
      <c r="G64" s="139"/>
      <c r="H64" s="6"/>
      <c r="I64" s="139"/>
      <c r="J64" s="151"/>
    </row>
    <row r="65" spans="1:10" ht="12.75">
      <c r="A65" s="156" t="s">
        <v>29</v>
      </c>
      <c r="B65" s="126"/>
      <c r="C65" s="105"/>
      <c r="D65" s="105"/>
      <c r="E65" s="105"/>
      <c r="F65" s="18"/>
      <c r="G65" s="139"/>
      <c r="H65" s="6"/>
      <c r="I65" s="139"/>
      <c r="J65" s="151"/>
    </row>
    <row r="66" spans="1:11" ht="12.75">
      <c r="A66" s="152" t="s">
        <v>17</v>
      </c>
      <c r="B66" s="125">
        <v>15</v>
      </c>
      <c r="C66" s="261">
        <f>+REGINFO!D37</f>
        <v>64127964</v>
      </c>
      <c r="D66" s="261">
        <f>+REGINFO!E37</f>
        <v>247324048</v>
      </c>
      <c r="E66" s="261">
        <f>+C66+D66</f>
        <v>311452012</v>
      </c>
      <c r="F66" s="102"/>
      <c r="G66" s="264">
        <f>I66-E66</f>
        <v>-17592988</v>
      </c>
      <c r="H66" s="6"/>
      <c r="I66" s="466">
        <v>293859024</v>
      </c>
      <c r="J66" s="151"/>
      <c r="K66" s="467" t="s">
        <v>466</v>
      </c>
    </row>
    <row r="67" spans="1:12" ht="12.75">
      <c r="A67" s="152" t="s">
        <v>355</v>
      </c>
      <c r="B67" s="125">
        <v>16</v>
      </c>
      <c r="C67" s="257">
        <v>7500000</v>
      </c>
      <c r="D67" s="257">
        <v>6375000</v>
      </c>
      <c r="E67" s="534">
        <f>+C67+D67</f>
        <v>13875000</v>
      </c>
      <c r="F67" s="102"/>
      <c r="G67" s="264">
        <f>I67-E67</f>
        <v>-7348388</v>
      </c>
      <c r="H67" s="6"/>
      <c r="I67" s="264">
        <v>6526612</v>
      </c>
      <c r="J67" s="151"/>
      <c r="K67" s="467" t="s">
        <v>466</v>
      </c>
      <c r="L67" s="468"/>
    </row>
    <row r="68" spans="1:10" ht="12.75">
      <c r="A68" s="152" t="s">
        <v>42</v>
      </c>
      <c r="B68" s="125"/>
      <c r="C68" s="261">
        <f>IF((C66-C67)&gt;0,C66-C67,0)</f>
        <v>56627964</v>
      </c>
      <c r="D68" s="261">
        <f>IF((D66-D67)&gt;0,D66-D67,0)</f>
        <v>240949048</v>
      </c>
      <c r="E68" s="534">
        <f>+C68+D68</f>
        <v>297577012</v>
      </c>
      <c r="F68" s="102"/>
      <c r="G68" s="264">
        <f>SUM(G66:G67)</f>
        <v>-24941376</v>
      </c>
      <c r="H68" s="114"/>
      <c r="I68" s="261">
        <f>I66-I67</f>
        <v>287332412</v>
      </c>
      <c r="J68" s="160"/>
    </row>
    <row r="69" spans="1:10" ht="12.75">
      <c r="A69" s="152"/>
      <c r="B69" s="125"/>
      <c r="C69" s="110"/>
      <c r="D69" s="110"/>
      <c r="E69" s="110"/>
      <c r="F69" s="18"/>
      <c r="G69" s="139"/>
      <c r="H69" s="6"/>
      <c r="I69" s="139"/>
      <c r="J69" s="151"/>
    </row>
    <row r="70" spans="1:10" ht="12.75">
      <c r="A70" s="152" t="s">
        <v>356</v>
      </c>
      <c r="B70" s="125">
        <v>17</v>
      </c>
      <c r="C70" s="298">
        <f>+E70</f>
        <v>0.003</v>
      </c>
      <c r="D70" s="298">
        <f>+E70</f>
        <v>0.003</v>
      </c>
      <c r="E70" s="298">
        <f>'Tax Rates'!C18</f>
        <v>0.003</v>
      </c>
      <c r="F70" s="102"/>
      <c r="G70" s="265">
        <f>+I70-E70</f>
        <v>0</v>
      </c>
      <c r="H70" s="6"/>
      <c r="I70" s="298">
        <v>0.003</v>
      </c>
      <c r="J70" s="151"/>
    </row>
    <row r="71" spans="1:10" ht="12.75">
      <c r="A71" s="152"/>
      <c r="B71" s="125"/>
      <c r="C71" s="185"/>
      <c r="D71" s="185"/>
      <c r="E71" s="185"/>
      <c r="F71" s="18"/>
      <c r="G71" s="140"/>
      <c r="H71" s="6"/>
      <c r="I71" s="185"/>
      <c r="J71" s="151"/>
    </row>
    <row r="72" spans="1:10" ht="12.75">
      <c r="A72" s="152" t="s">
        <v>313</v>
      </c>
      <c r="B72" s="125"/>
      <c r="C72" s="261">
        <f>+C68*C70</f>
        <v>169883.892</v>
      </c>
      <c r="D72" s="261">
        <f>+D68*D70</f>
        <v>722847.144</v>
      </c>
      <c r="E72" s="261">
        <f>+C72+D72</f>
        <v>892731.036</v>
      </c>
      <c r="F72" s="101"/>
      <c r="G72" s="264">
        <f>+I72-E72</f>
        <v>-170070.33951780817</v>
      </c>
      <c r="H72" s="469"/>
      <c r="I72" s="261">
        <f>IF(I68&gt;0,I68*I70,0)*REGINFO!$B$6/REGINFO!$B$7</f>
        <v>722660.6964821918</v>
      </c>
      <c r="J72" s="161"/>
    </row>
    <row r="73" spans="1:10" ht="12.75">
      <c r="A73" s="150"/>
      <c r="B73" s="129"/>
      <c r="C73" s="110"/>
      <c r="D73" s="110"/>
      <c r="E73" s="110"/>
      <c r="F73" s="136"/>
      <c r="G73" s="139"/>
      <c r="H73" s="6"/>
      <c r="I73" s="139"/>
      <c r="J73" s="151"/>
    </row>
    <row r="74" spans="1:10" ht="12.75">
      <c r="A74" s="156" t="s">
        <v>216</v>
      </c>
      <c r="B74" s="126"/>
      <c r="C74" s="110"/>
      <c r="D74" s="110"/>
      <c r="E74" s="110"/>
      <c r="F74" s="18"/>
      <c r="G74" s="139"/>
      <c r="H74" s="6"/>
      <c r="I74" s="139"/>
      <c r="J74" s="151"/>
    </row>
    <row r="75" spans="1:11" ht="12.75">
      <c r="A75" s="152" t="s">
        <v>17</v>
      </c>
      <c r="B75" s="125">
        <v>18</v>
      </c>
      <c r="C75" s="261">
        <f>+REGINFO!D37</f>
        <v>64127964</v>
      </c>
      <c r="D75" s="261">
        <f>+REGINFO!E37</f>
        <v>247324048</v>
      </c>
      <c r="E75" s="261">
        <f>Ratebase</f>
        <v>311452012</v>
      </c>
      <c r="F75" s="102"/>
      <c r="G75" s="264">
        <f>+I75-E75</f>
        <v>-19881005</v>
      </c>
      <c r="H75" s="6"/>
      <c r="I75" s="466">
        <v>291571007</v>
      </c>
      <c r="J75" s="151"/>
      <c r="K75" s="467" t="s">
        <v>466</v>
      </c>
    </row>
    <row r="76" spans="1:11" ht="12.75">
      <c r="A76" s="152" t="s">
        <v>355</v>
      </c>
      <c r="B76" s="125">
        <v>19</v>
      </c>
      <c r="C76" s="257">
        <f>IF(E75&gt;0,'Tax Rates'!C22,0)</f>
        <v>50000000</v>
      </c>
      <c r="D76" s="257">
        <f>IF(E75&gt;0,'Tax Rates'!C22,0)</f>
        <v>50000000</v>
      </c>
      <c r="E76" s="257">
        <f>+C76+D76</f>
        <v>100000000</v>
      </c>
      <c r="F76" s="18"/>
      <c r="G76" s="264">
        <f>+I76-E76</f>
        <v>-90000000</v>
      </c>
      <c r="H76" s="6"/>
      <c r="I76" s="264">
        <v>10000000</v>
      </c>
      <c r="J76" s="151"/>
      <c r="K76" s="467" t="s">
        <v>466</v>
      </c>
    </row>
    <row r="77" spans="1:10" ht="12.75">
      <c r="A77" s="152" t="s">
        <v>42</v>
      </c>
      <c r="B77" s="125"/>
      <c r="C77" s="261">
        <f>+C75-C76</f>
        <v>14127964</v>
      </c>
      <c r="D77" s="261">
        <f>+D75-D76</f>
        <v>197324048</v>
      </c>
      <c r="E77" s="261">
        <f>IF((E75-E76)&gt;0,E75-E76,0)</f>
        <v>211452012</v>
      </c>
      <c r="F77" s="19"/>
      <c r="G77" s="264">
        <f>SUM(G75:G76)</f>
        <v>-109881005</v>
      </c>
      <c r="H77" s="114"/>
      <c r="I77" s="261">
        <f>IF(I76&gt;I75,0,I75-I76)</f>
        <v>281571007</v>
      </c>
      <c r="J77" s="160"/>
    </row>
    <row r="78" spans="1:10" ht="12.75">
      <c r="A78" s="152"/>
      <c r="B78" s="125"/>
      <c r="C78" s="110"/>
      <c r="D78" s="110"/>
      <c r="E78" s="110"/>
      <c r="F78" s="18"/>
      <c r="G78" s="139"/>
      <c r="H78" s="6"/>
      <c r="I78" s="139"/>
      <c r="J78" s="151"/>
    </row>
    <row r="79" spans="1:10" ht="12.75">
      <c r="A79" s="152" t="s">
        <v>356</v>
      </c>
      <c r="B79" s="125">
        <v>20</v>
      </c>
      <c r="C79" s="298">
        <f>'Tax Rates'!C19</f>
        <v>0.00175</v>
      </c>
      <c r="D79" s="298">
        <f>'Tax Rates'!C19</f>
        <v>0.00175</v>
      </c>
      <c r="E79" s="298">
        <f>'Tax Rates'!C19</f>
        <v>0.00175</v>
      </c>
      <c r="F79" s="102"/>
      <c r="G79" s="265">
        <f>I79-E79</f>
        <v>0</v>
      </c>
      <c r="H79" s="6"/>
      <c r="I79" s="265">
        <f>+'Tax Rates'!C19</f>
        <v>0.00175</v>
      </c>
      <c r="J79" s="151"/>
    </row>
    <row r="80" spans="1:10" ht="12.75">
      <c r="A80" s="152"/>
      <c r="B80" s="125"/>
      <c r="C80" s="110"/>
      <c r="D80" s="110"/>
      <c r="E80" s="110"/>
      <c r="F80" s="18"/>
      <c r="G80" s="139"/>
      <c r="H80" s="6"/>
      <c r="I80" s="139"/>
      <c r="J80" s="151"/>
    </row>
    <row r="81" spans="1:10" ht="12.75">
      <c r="A81" s="152" t="s">
        <v>314</v>
      </c>
      <c r="B81" s="125"/>
      <c r="C81" s="261">
        <f>+C77*C79</f>
        <v>24723.937</v>
      </c>
      <c r="D81" s="261">
        <f>+D77*D79</f>
        <v>345317.08400000003</v>
      </c>
      <c r="E81" s="261">
        <f>+E77*E79</f>
        <v>370041.021</v>
      </c>
      <c r="F81" s="102"/>
      <c r="G81" s="264">
        <f>+I81-E81</f>
        <v>43058.360502739786</v>
      </c>
      <c r="H81" s="6"/>
      <c r="I81" s="261">
        <f>I77*I79*$B9/$B10</f>
        <v>413099.3815027398</v>
      </c>
      <c r="J81" s="151"/>
    </row>
    <row r="82" spans="1:10" ht="12.75">
      <c r="A82" s="152" t="s">
        <v>315</v>
      </c>
      <c r="B82" s="125">
        <v>21</v>
      </c>
      <c r="C82" s="297">
        <f>MIN(C81,IF(C77&gt;0,IF(C60&gt;0,C50*'Tax Rates'!$C20,0),0))</f>
        <v>24723.937</v>
      </c>
      <c r="D82" s="297">
        <f>MIN(D81,IF(D77&gt;0,IF(D60&gt;0,D50*'Tax Rates'!$C20,0),0))</f>
        <v>146571.74730239998</v>
      </c>
      <c r="E82" s="297">
        <f>MIN(E81,IF(E77&gt;0,IF(E60&gt;0,E50*'Tax Rates'!$C20,0),0))</f>
        <v>192913.6323184</v>
      </c>
      <c r="F82" s="102"/>
      <c r="G82" s="264">
        <f>+I82-E82</f>
        <v>13255.1836816</v>
      </c>
      <c r="H82" s="6"/>
      <c r="I82" s="297">
        <f>IF(I77&gt;0,IF(I60&gt;0,I50*'Tax Rates'!$C20,0),0)</f>
        <v>206168.816</v>
      </c>
      <c r="J82" s="151"/>
    </row>
    <row r="83" spans="1:10" ht="12.75">
      <c r="A83" s="152"/>
      <c r="B83" s="125"/>
      <c r="C83" s="110"/>
      <c r="D83" s="110"/>
      <c r="E83" s="110"/>
      <c r="F83" s="18"/>
      <c r="G83" s="139"/>
      <c r="H83" s="6"/>
      <c r="I83" s="139"/>
      <c r="J83" s="151"/>
    </row>
    <row r="84" spans="1:14" ht="12.75">
      <c r="A84" s="152" t="s">
        <v>32</v>
      </c>
      <c r="B84" s="125"/>
      <c r="C84" s="261">
        <f>+C81-C82</f>
        <v>0</v>
      </c>
      <c r="D84" s="261">
        <f>+D81-D82</f>
        <v>198745.33669760005</v>
      </c>
      <c r="E84" s="261">
        <f>+C84+D84</f>
        <v>198745.33669760005</v>
      </c>
      <c r="F84" s="16"/>
      <c r="G84" s="264">
        <f>G81-G82</f>
        <v>29803.176821139787</v>
      </c>
      <c r="H84" s="103"/>
      <c r="I84" s="261">
        <f>I81-I82</f>
        <v>206930.5655027398</v>
      </c>
      <c r="J84" s="161"/>
      <c r="N84" s="22"/>
    </row>
    <row r="85" spans="1:14" ht="12.75">
      <c r="A85" s="152"/>
      <c r="B85" s="125"/>
      <c r="C85" s="105"/>
      <c r="D85" s="105"/>
      <c r="E85" s="105"/>
      <c r="F85" s="11"/>
      <c r="G85" s="115"/>
      <c r="H85" s="3"/>
      <c r="I85" s="123"/>
      <c r="J85" s="533"/>
      <c r="N85" s="22"/>
    </row>
    <row r="86" spans="1:10" ht="12.75">
      <c r="A86" s="154" t="s">
        <v>512</v>
      </c>
      <c r="B86" s="128"/>
      <c r="C86" s="105"/>
      <c r="D86" s="105"/>
      <c r="E86" s="105"/>
      <c r="F86" s="11"/>
      <c r="G86" s="115"/>
      <c r="H86" s="3"/>
      <c r="I86" s="123"/>
      <c r="J86" s="151"/>
    </row>
    <row r="87" spans="1:10" ht="12.75">
      <c r="A87" s="154"/>
      <c r="B87" s="128"/>
      <c r="C87" s="105"/>
      <c r="D87" s="105"/>
      <c r="E87" s="105"/>
      <c r="F87" s="11"/>
      <c r="G87" s="114"/>
      <c r="H87" s="6"/>
      <c r="I87" s="198"/>
      <c r="J87" s="151"/>
    </row>
    <row r="88" spans="1:10" ht="12.75">
      <c r="A88" s="152" t="s">
        <v>225</v>
      </c>
      <c r="B88" s="125"/>
      <c r="C88" s="259">
        <f>IF($E$50&gt;'Tax Rates'!$E$11,'Tax Rates'!$F$16,IF(AND($E$50&gt;='Tax Rates'!$C$11,$E$50&lt;='Tax Rates'!$E$11),'Tax Rates'!$E$16,'Tax Rates'!$C$16))</f>
        <v>0.3612</v>
      </c>
      <c r="D88" s="259">
        <f>IF($E$50&gt;'Tax Rates'!$E$11,'Tax Rates'!$F$16,IF(AND($E$50&gt;='Tax Rates'!$C$11,$E$50&lt;='Tax Rates'!$E$11),'Tax Rates'!$E$16,'Tax Rates'!$C$16))</f>
        <v>0.3612</v>
      </c>
      <c r="E88" s="259">
        <f>IF($E$50&gt;'Tax Rates'!$E$11,'Tax Rates'!$F$16,IF(AND($E$50&gt;='Tax Rates'!$C$11,$E$50&lt;='Tax Rates'!$E$11),'Tax Rates'!$E$16,'Tax Rates'!$C$16))</f>
        <v>0.3612</v>
      </c>
      <c r="F88" s="11"/>
      <c r="G88" s="114"/>
      <c r="H88" s="6"/>
      <c r="I88" s="198"/>
      <c r="J88" s="151"/>
    </row>
    <row r="89" spans="1:10" ht="12.75">
      <c r="A89" s="150"/>
      <c r="B89" s="129"/>
      <c r="C89" s="110"/>
      <c r="D89" s="110"/>
      <c r="E89" s="110"/>
      <c r="F89" s="11"/>
      <c r="G89" s="114"/>
      <c r="H89" s="6"/>
      <c r="I89" s="198"/>
      <c r="J89" s="151"/>
    </row>
    <row r="90" spans="1:10" ht="12.75">
      <c r="A90" s="158" t="s">
        <v>364</v>
      </c>
      <c r="B90" s="127">
        <v>22</v>
      </c>
      <c r="C90" s="261">
        <f>(C60/(1-C88))</f>
        <v>2339583.2682623668</v>
      </c>
      <c r="D90" s="261">
        <f>(D60/(1-D88))</f>
        <v>7399716.422201627</v>
      </c>
      <c r="E90" s="261">
        <f>(E60/(1-E100))</f>
        <v>9739299.690463994</v>
      </c>
      <c r="F90" s="20"/>
      <c r="G90" s="139"/>
      <c r="H90" s="422" t="s">
        <v>484</v>
      </c>
      <c r="I90" s="267">
        <f>TAXREC!E144</f>
        <v>6614244.9803478215</v>
      </c>
      <c r="J90" s="151"/>
    </row>
    <row r="91" spans="1:10" ht="12.75">
      <c r="A91" s="158" t="s">
        <v>365</v>
      </c>
      <c r="B91" s="127">
        <v>23</v>
      </c>
      <c r="C91" s="261">
        <f>C84/(1-C100)</f>
        <v>0</v>
      </c>
      <c r="D91" s="261">
        <f>D84/(1-D88)</f>
        <v>311122.9441102067</v>
      </c>
      <c r="E91" s="261">
        <f>E84/(1-E100)</f>
        <v>311122.9441102067</v>
      </c>
      <c r="F91" s="20"/>
      <c r="G91" s="139"/>
      <c r="H91" s="422" t="s">
        <v>484</v>
      </c>
      <c r="I91" s="267">
        <f>TAXREC!E146</f>
        <v>6591731.9803478215</v>
      </c>
      <c r="J91" s="151"/>
    </row>
    <row r="92" spans="1:10" ht="12.75">
      <c r="A92" s="158" t="s">
        <v>343</v>
      </c>
      <c r="B92" s="127">
        <v>24</v>
      </c>
      <c r="C92" s="261">
        <f>+C72</f>
        <v>169883.892</v>
      </c>
      <c r="D92" s="261">
        <f>+D72</f>
        <v>722847.144</v>
      </c>
      <c r="E92" s="261">
        <f>+E72</f>
        <v>892731.036</v>
      </c>
      <c r="F92" s="20"/>
      <c r="G92" s="139"/>
      <c r="H92" s="422" t="s">
        <v>484</v>
      </c>
      <c r="I92" s="267">
        <f>TAXREC!E145</f>
        <v>22513</v>
      </c>
      <c r="J92" s="151"/>
    </row>
    <row r="93" spans="1:10" ht="12.75">
      <c r="A93" s="158"/>
      <c r="B93" s="127"/>
      <c r="C93" s="110"/>
      <c r="D93" s="110"/>
      <c r="E93" s="110"/>
      <c r="F93" s="11"/>
      <c r="G93" s="139"/>
      <c r="H93" s="6"/>
      <c r="I93" s="139"/>
      <c r="J93" s="151"/>
    </row>
    <row r="94" spans="1:10" ht="13.5" thickBot="1">
      <c r="A94" s="158"/>
      <c r="B94" s="127"/>
      <c r="C94" s="110"/>
      <c r="D94" s="110"/>
      <c r="E94" s="110"/>
      <c r="F94" s="11"/>
      <c r="G94" s="139"/>
      <c r="H94" s="6"/>
      <c r="I94" s="139"/>
      <c r="J94" s="151"/>
    </row>
    <row r="95" spans="1:11" ht="13.5" thickBot="1">
      <c r="A95" s="156" t="s">
        <v>485</v>
      </c>
      <c r="B95" s="125">
        <v>25</v>
      </c>
      <c r="C95" s="266">
        <f>SUM(C90:C93)</f>
        <v>2509467.1602623668</v>
      </c>
      <c r="D95" s="266">
        <f>SUM(D90:D93)</f>
        <v>8433686.510311833</v>
      </c>
      <c r="E95" s="266">
        <f>SUM(E90:E93)</f>
        <v>10943153.670574201</v>
      </c>
      <c r="F95" s="6"/>
      <c r="G95" s="139"/>
      <c r="H95" s="422" t="s">
        <v>484</v>
      </c>
      <c r="I95" s="409">
        <f>SUM(I90:I94)</f>
        <v>13228489.960695643</v>
      </c>
      <c r="J95" s="164"/>
      <c r="K95" s="489" t="s">
        <v>495</v>
      </c>
    </row>
    <row r="96" spans="1:22" ht="12.75">
      <c r="A96" s="535" t="s">
        <v>305</v>
      </c>
      <c r="B96" s="125"/>
      <c r="C96" s="125"/>
      <c r="D96" s="125"/>
      <c r="E96" s="105"/>
      <c r="F96" s="6"/>
      <c r="G96" s="109"/>
      <c r="H96" s="6"/>
      <c r="I96" s="139"/>
      <c r="J96" s="164"/>
      <c r="P96" s="496" t="s">
        <v>499</v>
      </c>
      <c r="Q96" s="496"/>
      <c r="R96" s="496"/>
      <c r="T96" s="92" t="s">
        <v>526</v>
      </c>
      <c r="U96" s="92" t="s">
        <v>527</v>
      </c>
      <c r="V96" s="92" t="s">
        <v>532</v>
      </c>
    </row>
    <row r="97" spans="1:23" ht="12.75">
      <c r="A97" s="152"/>
      <c r="B97" s="125"/>
      <c r="C97" s="105"/>
      <c r="D97" s="105"/>
      <c r="E97" s="105"/>
      <c r="F97" s="11"/>
      <c r="G97" s="141"/>
      <c r="H97" s="6"/>
      <c r="I97" s="141"/>
      <c r="J97" s="163"/>
      <c r="P97" s="494" t="s">
        <v>525</v>
      </c>
      <c r="Q97" s="494"/>
      <c r="R97" s="494"/>
      <c r="T97" s="92" t="s">
        <v>528</v>
      </c>
      <c r="U97" s="92" t="s">
        <v>529</v>
      </c>
      <c r="V97" s="92" t="s">
        <v>530</v>
      </c>
      <c r="W97" s="92"/>
    </row>
    <row r="98" spans="1:23" ht="12.75">
      <c r="A98" s="154" t="s">
        <v>513</v>
      </c>
      <c r="B98" s="128"/>
      <c r="C98" s="105"/>
      <c r="D98" s="105"/>
      <c r="E98" s="105"/>
      <c r="F98" s="11"/>
      <c r="G98" s="115"/>
      <c r="H98" s="3"/>
      <c r="I98" s="123"/>
      <c r="J98" s="151"/>
      <c r="O98" s="491"/>
      <c r="P98" s="495" t="s">
        <v>497</v>
      </c>
      <c r="Q98" s="495" t="s">
        <v>498</v>
      </c>
      <c r="R98" s="495" t="s">
        <v>104</v>
      </c>
      <c r="T98" s="497" t="s">
        <v>500</v>
      </c>
      <c r="U98" s="497" t="s">
        <v>500</v>
      </c>
      <c r="V98" s="497" t="s">
        <v>501</v>
      </c>
      <c r="W98" s="497" t="s">
        <v>104</v>
      </c>
    </row>
    <row r="99" spans="1:23" ht="12.75">
      <c r="A99" s="154"/>
      <c r="B99" s="128"/>
      <c r="C99" s="105"/>
      <c r="D99" s="105"/>
      <c r="E99" s="105"/>
      <c r="F99" s="11"/>
      <c r="G99" s="114"/>
      <c r="H99" s="6"/>
      <c r="I99" s="198"/>
      <c r="J99" s="151"/>
      <c r="T99" s="488"/>
      <c r="U99" s="488"/>
      <c r="V99" s="488"/>
      <c r="W99" s="488"/>
    </row>
    <row r="100" spans="1:23" ht="12.75">
      <c r="A100" s="152" t="s">
        <v>225</v>
      </c>
      <c r="B100" s="125"/>
      <c r="C100" s="259">
        <f>IF($E$50&gt;'Tax Rates'!$E$11,'Tax Rates'!$F$16,IF(AND($E$50&gt;='Tax Rates'!$C$11,$E$50&lt;='Tax Rates'!$E$11),'Tax Rates'!$E$16,'Tax Rates'!$C$16))</f>
        <v>0.3612</v>
      </c>
      <c r="D100" s="259">
        <f>IF($E$50&gt;'Tax Rates'!$E$11,'Tax Rates'!$F$16,IF(AND($E$50&gt;='Tax Rates'!$C$11,$E$50&lt;='Tax Rates'!$E$11),'Tax Rates'!$E$16,'Tax Rates'!$C$16))</f>
        <v>0.3612</v>
      </c>
      <c r="E100" s="259">
        <f>IF($E$50&gt;'Tax Rates'!$E$11,'Tax Rates'!$F$16,IF(AND($E$50&gt;='Tax Rates'!$C$11,$E$50&lt;='Tax Rates'!$E$11),'Tax Rates'!$E$16,'Tax Rates'!$C$16))</f>
        <v>0.3612</v>
      </c>
      <c r="F100" s="11"/>
      <c r="G100" s="114"/>
      <c r="H100" s="6"/>
      <c r="I100" s="198"/>
      <c r="J100" s="151"/>
      <c r="O100" s="490" t="s">
        <v>364</v>
      </c>
      <c r="P100" s="544">
        <v>7399716</v>
      </c>
      <c r="Q100" s="544">
        <v>2339583</v>
      </c>
      <c r="R100" s="544">
        <f>+P100+Q100</f>
        <v>9739299</v>
      </c>
      <c r="S100" s="544"/>
      <c r="T100" s="544">
        <f>1196119-1</f>
        <v>1196118</v>
      </c>
      <c r="U100" s="544">
        <v>378179</v>
      </c>
      <c r="V100" s="544">
        <f>+E102</f>
        <v>8165001.932279403</v>
      </c>
      <c r="W100" s="544">
        <f>SUM(T100:V100)</f>
        <v>9739298.932279404</v>
      </c>
    </row>
    <row r="101" spans="1:23" ht="12.75">
      <c r="A101" s="150"/>
      <c r="B101" s="129"/>
      <c r="C101" s="110"/>
      <c r="D101" s="110"/>
      <c r="E101" s="110"/>
      <c r="F101" s="11"/>
      <c r="G101" s="114"/>
      <c r="H101" s="6"/>
      <c r="I101" s="198"/>
      <c r="J101" s="151"/>
      <c r="O101" s="490" t="s">
        <v>365</v>
      </c>
      <c r="P101" s="546">
        <v>311123</v>
      </c>
      <c r="Q101" s="546">
        <v>0</v>
      </c>
      <c r="R101" s="546">
        <f>+P101+Q101</f>
        <v>311123</v>
      </c>
      <c r="S101" s="546"/>
      <c r="T101" s="546">
        <v>50291</v>
      </c>
      <c r="U101" s="546">
        <v>0</v>
      </c>
      <c r="V101" s="546">
        <f>+E103</f>
        <v>260831.8380759541</v>
      </c>
      <c r="W101" s="546">
        <f>SUM(T101:V101)</f>
        <v>311122.8380759541</v>
      </c>
    </row>
    <row r="102" spans="1:23" ht="12.75">
      <c r="A102" s="158" t="s">
        <v>364</v>
      </c>
      <c r="B102" s="127">
        <v>22</v>
      </c>
      <c r="C102" s="261">
        <f aca="true" t="shared" si="1" ref="C102:E104">+C90*($B$9/$B$10)</f>
        <v>1961404.055036395</v>
      </c>
      <c r="D102" s="261">
        <f t="shared" si="1"/>
        <v>6203597.8772430075</v>
      </c>
      <c r="E102" s="261">
        <f t="shared" si="1"/>
        <v>8165001.932279403</v>
      </c>
      <c r="F102" s="20"/>
      <c r="G102" s="139"/>
      <c r="H102" s="422" t="s">
        <v>484</v>
      </c>
      <c r="I102" s="267">
        <f>TAXREC!E156</f>
        <v>6591731.9803478215</v>
      </c>
      <c r="J102" s="151"/>
      <c r="O102" s="492" t="s">
        <v>343</v>
      </c>
      <c r="P102" s="547">
        <v>722847</v>
      </c>
      <c r="Q102" s="547">
        <v>169884</v>
      </c>
      <c r="R102" s="547">
        <f>+P102+Q102</f>
        <v>892731</v>
      </c>
      <c r="S102" s="546"/>
      <c r="T102" s="547">
        <v>116844</v>
      </c>
      <c r="U102" s="547">
        <v>27461</v>
      </c>
      <c r="V102" s="547">
        <f>+E104</f>
        <v>748426.5671671232</v>
      </c>
      <c r="W102" s="547">
        <f>SUM(T102:V102)</f>
        <v>892731.5671671232</v>
      </c>
    </row>
    <row r="103" spans="1:23" ht="12.75">
      <c r="A103" s="158" t="s">
        <v>365</v>
      </c>
      <c r="B103" s="127">
        <v>23</v>
      </c>
      <c r="C103" s="261">
        <f t="shared" si="1"/>
        <v>0</v>
      </c>
      <c r="D103" s="261">
        <f t="shared" si="1"/>
        <v>260831.8380759541</v>
      </c>
      <c r="E103" s="261">
        <f t="shared" si="1"/>
        <v>260831.8380759541</v>
      </c>
      <c r="F103" s="20"/>
      <c r="G103" s="139"/>
      <c r="H103" s="422" t="s">
        <v>484</v>
      </c>
      <c r="I103" s="267">
        <f>TAXREC!E158</f>
        <v>129630</v>
      </c>
      <c r="J103" s="151"/>
      <c r="P103" s="488"/>
      <c r="Q103" s="488"/>
      <c r="R103" s="488"/>
      <c r="T103" s="488"/>
      <c r="U103" s="488"/>
      <c r="V103" s="488"/>
      <c r="W103" s="488"/>
    </row>
    <row r="104" spans="1:23" ht="13.5" thickBot="1">
      <c r="A104" s="158" t="s">
        <v>343</v>
      </c>
      <c r="B104" s="127">
        <v>24</v>
      </c>
      <c r="C104" s="261">
        <f t="shared" si="1"/>
        <v>142423.20808767123</v>
      </c>
      <c r="D104" s="261">
        <f t="shared" si="1"/>
        <v>606003.359079452</v>
      </c>
      <c r="E104" s="261">
        <f t="shared" si="1"/>
        <v>748426.5671671232</v>
      </c>
      <c r="F104" s="20"/>
      <c r="G104" s="139"/>
      <c r="H104" s="422" t="s">
        <v>484</v>
      </c>
      <c r="I104" s="267">
        <f>TAXREC!E157</f>
        <v>712315</v>
      </c>
      <c r="J104" s="151"/>
      <c r="O104" s="493" t="s">
        <v>531</v>
      </c>
      <c r="P104" s="545">
        <f>SUM(P100:P102)</f>
        <v>8433686</v>
      </c>
      <c r="Q104" s="545">
        <f>SUM(Q100:Q102)</f>
        <v>2509467</v>
      </c>
      <c r="R104" s="545">
        <f>SUM(R100:R102)</f>
        <v>10943153</v>
      </c>
      <c r="S104" s="544"/>
      <c r="T104" s="545">
        <f>SUM(T100:T102)</f>
        <v>1363253</v>
      </c>
      <c r="U104" s="545">
        <f>SUM(U100:U102)</f>
        <v>405640</v>
      </c>
      <c r="V104" s="545">
        <f>SUM(V100:V102)</f>
        <v>9174260.33752248</v>
      </c>
      <c r="W104" s="545">
        <f>SUM(W100:W102)</f>
        <v>10943153.337522482</v>
      </c>
    </row>
    <row r="105" spans="1:10" ht="12.75">
      <c r="A105" s="158"/>
      <c r="B105" s="127"/>
      <c r="C105" s="110"/>
      <c r="D105" s="110"/>
      <c r="E105" s="110"/>
      <c r="F105" s="11"/>
      <c r="G105" s="139"/>
      <c r="H105" s="6"/>
      <c r="I105" s="139"/>
      <c r="J105" s="151"/>
    </row>
    <row r="106" spans="1:10" ht="13.5" thickBot="1">
      <c r="A106" s="158"/>
      <c r="B106" s="127"/>
      <c r="C106" s="110"/>
      <c r="D106" s="110"/>
      <c r="E106" s="110"/>
      <c r="F106" s="11"/>
      <c r="G106" s="139"/>
      <c r="H106" s="6"/>
      <c r="I106" s="139"/>
      <c r="J106" s="151"/>
    </row>
    <row r="107" spans="1:11" ht="13.5" thickBot="1">
      <c r="A107" s="156" t="s">
        <v>514</v>
      </c>
      <c r="B107" s="125">
        <v>25</v>
      </c>
      <c r="C107" s="266">
        <f>SUM(C102:C105)</f>
        <v>2103827.2631240664</v>
      </c>
      <c r="D107" s="266">
        <f>SUM(D102:D105)</f>
        <v>7070433.074398414</v>
      </c>
      <c r="E107" s="266">
        <f>SUM(E102:E105)</f>
        <v>9174260.33752248</v>
      </c>
      <c r="F107" s="6"/>
      <c r="G107" s="139"/>
      <c r="H107" s="422" t="s">
        <v>484</v>
      </c>
      <c r="I107" s="409">
        <f>SUM(I102:I106)</f>
        <v>7433676.9803478215</v>
      </c>
      <c r="J107" s="164"/>
      <c r="K107" s="489" t="s">
        <v>495</v>
      </c>
    </row>
    <row r="108" spans="1:10" ht="12.75">
      <c r="A108" s="535" t="s">
        <v>515</v>
      </c>
      <c r="B108" s="125"/>
      <c r="C108" s="125"/>
      <c r="D108" s="125"/>
      <c r="E108" s="105"/>
      <c r="F108" s="6"/>
      <c r="G108" s="109"/>
      <c r="H108" s="6"/>
      <c r="I108" s="139"/>
      <c r="J108" s="164"/>
    </row>
    <row r="109" spans="1:10" ht="12.75">
      <c r="A109" s="535"/>
      <c r="B109" s="125"/>
      <c r="C109" s="125"/>
      <c r="D109" s="125"/>
      <c r="E109" s="105"/>
      <c r="F109" s="6"/>
      <c r="G109" s="109"/>
      <c r="H109" s="6"/>
      <c r="I109" s="139"/>
      <c r="J109" s="164"/>
    </row>
    <row r="110" spans="1:10" ht="13.5" thickBot="1">
      <c r="A110" s="537" t="s">
        <v>517</v>
      </c>
      <c r="B110" s="125"/>
      <c r="C110" s="125"/>
      <c r="D110" s="125"/>
      <c r="E110" s="105"/>
      <c r="F110" s="6"/>
      <c r="G110" s="109"/>
      <c r="H110" s="6"/>
      <c r="I110" s="139"/>
      <c r="J110" s="164"/>
    </row>
    <row r="111" spans="1:10" ht="13.5" thickBot="1">
      <c r="A111" s="537" t="s">
        <v>518</v>
      </c>
      <c r="B111" s="125"/>
      <c r="C111" s="125"/>
      <c r="D111" s="125"/>
      <c r="E111" s="266">
        <f>+E84*B9/B10</f>
        <v>166619.3781629195</v>
      </c>
      <c r="F111" s="6"/>
      <c r="G111" s="109"/>
      <c r="H111" s="6"/>
      <c r="I111" s="139"/>
      <c r="J111" s="164"/>
    </row>
    <row r="112" spans="1:10" ht="13.5" thickBot="1">
      <c r="A112" s="152"/>
      <c r="B112" s="125"/>
      <c r="C112" s="125"/>
      <c r="D112" s="125"/>
      <c r="E112" s="105"/>
      <c r="F112" s="6"/>
      <c r="G112" s="109"/>
      <c r="H112" s="6"/>
      <c r="I112" s="139"/>
      <c r="J112" s="182"/>
    </row>
    <row r="113" spans="1:10" ht="13.5" thickTop="1">
      <c r="A113" s="165"/>
      <c r="B113" s="124"/>
      <c r="C113" s="124"/>
      <c r="D113" s="124"/>
      <c r="E113" s="111"/>
      <c r="F113" s="7"/>
      <c r="G113" s="142"/>
      <c r="H113" s="7"/>
      <c r="I113" s="199"/>
      <c r="J113" s="164"/>
    </row>
    <row r="114" spans="1:10" ht="12.75">
      <c r="A114" s="156" t="s">
        <v>302</v>
      </c>
      <c r="B114" s="123"/>
      <c r="C114" s="123"/>
      <c r="D114" s="123"/>
      <c r="E114" s="112"/>
      <c r="F114" s="3"/>
      <c r="G114" s="112"/>
      <c r="H114" s="3"/>
      <c r="I114" s="200"/>
      <c r="J114" s="164"/>
    </row>
    <row r="115" spans="1:10" ht="15">
      <c r="A115" s="166" t="s">
        <v>245</v>
      </c>
      <c r="B115" s="123"/>
      <c r="C115" s="123"/>
      <c r="D115" s="123"/>
      <c r="E115" s="112"/>
      <c r="F115" s="3"/>
      <c r="G115" s="143" t="s">
        <v>247</v>
      </c>
      <c r="H115" s="37"/>
      <c r="I115" s="200"/>
      <c r="J115" s="164"/>
    </row>
    <row r="116" spans="1:10" ht="12.75">
      <c r="A116" s="156" t="s">
        <v>342</v>
      </c>
      <c r="B116" s="123"/>
      <c r="C116" s="123"/>
      <c r="D116" s="123"/>
      <c r="E116" s="112"/>
      <c r="F116" s="3"/>
      <c r="G116" s="112"/>
      <c r="H116" s="37"/>
      <c r="I116" s="200"/>
      <c r="J116" s="164"/>
    </row>
    <row r="117" spans="1:10" ht="12.75">
      <c r="A117" s="158" t="s">
        <v>56</v>
      </c>
      <c r="B117" s="127">
        <v>3</v>
      </c>
      <c r="C117" s="127"/>
      <c r="D117" s="127"/>
      <c r="E117" s="112"/>
      <c r="F117" s="3"/>
      <c r="G117" s="248">
        <f>G21</f>
        <v>1284678</v>
      </c>
      <c r="H117" s="37"/>
      <c r="I117" s="201"/>
      <c r="J117" s="164"/>
    </row>
    <row r="118" spans="1:10" ht="12.75">
      <c r="A118" s="158" t="s">
        <v>10</v>
      </c>
      <c r="B118" s="127">
        <v>4</v>
      </c>
      <c r="C118" s="127"/>
      <c r="D118" s="127"/>
      <c r="E118" s="112"/>
      <c r="F118" s="3"/>
      <c r="G118" s="248">
        <f>G22</f>
        <v>350000</v>
      </c>
      <c r="H118" s="37"/>
      <c r="I118" s="201"/>
      <c r="J118" s="164"/>
    </row>
    <row r="119" spans="1:10" ht="12.75">
      <c r="A119" s="158" t="s">
        <v>100</v>
      </c>
      <c r="B119" s="127">
        <v>4</v>
      </c>
      <c r="C119" s="127"/>
      <c r="D119" s="127"/>
      <c r="E119" s="112"/>
      <c r="F119" s="3"/>
      <c r="G119" s="248">
        <f>G23</f>
        <v>1472655</v>
      </c>
      <c r="H119" s="37"/>
      <c r="I119" s="201"/>
      <c r="J119" s="164"/>
    </row>
    <row r="120" spans="1:10" ht="12.75">
      <c r="A120" s="158" t="s">
        <v>44</v>
      </c>
      <c r="B120" s="127">
        <v>5</v>
      </c>
      <c r="C120" s="127"/>
      <c r="D120" s="127"/>
      <c r="E120" s="112"/>
      <c r="F120" s="3"/>
      <c r="G120" s="248">
        <f>G24</f>
        <v>0</v>
      </c>
      <c r="H120" s="37"/>
      <c r="I120" s="201"/>
      <c r="J120" s="164"/>
    </row>
    <row r="121" spans="1:10" ht="12.75">
      <c r="A121" s="158" t="s">
        <v>358</v>
      </c>
      <c r="B121" s="127">
        <v>6</v>
      </c>
      <c r="C121" s="127"/>
      <c r="D121" s="127"/>
      <c r="E121" s="112"/>
      <c r="F121" s="3"/>
      <c r="G121" s="248">
        <f>G26</f>
        <v>0</v>
      </c>
      <c r="H121" s="37"/>
      <c r="I121" s="201"/>
      <c r="J121" s="164"/>
    </row>
    <row r="122" spans="1:10" ht="12.75">
      <c r="A122" s="158" t="s">
        <v>359</v>
      </c>
      <c r="B122" s="127">
        <v>6</v>
      </c>
      <c r="C122" s="127"/>
      <c r="D122" s="127"/>
      <c r="E122" s="112"/>
      <c r="F122" s="3"/>
      <c r="G122" s="248">
        <f>G28</f>
        <v>335815</v>
      </c>
      <c r="H122" s="37"/>
      <c r="I122" s="201"/>
      <c r="J122" s="164"/>
    </row>
    <row r="123" spans="1:10" ht="12.75">
      <c r="A123" s="156" t="s">
        <v>357</v>
      </c>
      <c r="B123" s="127"/>
      <c r="C123" s="127"/>
      <c r="D123" s="127"/>
      <c r="E123" s="112"/>
      <c r="F123" s="3"/>
      <c r="G123" s="30"/>
      <c r="H123" s="37"/>
      <c r="I123" s="201"/>
      <c r="J123" s="164"/>
    </row>
    <row r="124" spans="1:10" ht="12.75">
      <c r="A124" s="158" t="s">
        <v>57</v>
      </c>
      <c r="B124" s="127">
        <v>8</v>
      </c>
      <c r="C124" s="127"/>
      <c r="D124" s="127"/>
      <c r="E124" s="112"/>
      <c r="F124" s="3"/>
      <c r="G124" s="248">
        <f>G34</f>
        <v>908725</v>
      </c>
      <c r="H124" s="37"/>
      <c r="I124" s="201"/>
      <c r="J124" s="164"/>
    </row>
    <row r="125" spans="1:10" ht="12.75">
      <c r="A125" s="158" t="s">
        <v>45</v>
      </c>
      <c r="B125" s="127">
        <v>9</v>
      </c>
      <c r="C125" s="127"/>
      <c r="D125" s="127"/>
      <c r="E125" s="112"/>
      <c r="F125" s="3"/>
      <c r="G125" s="248">
        <f>G35</f>
        <v>0</v>
      </c>
      <c r="H125" s="37"/>
      <c r="I125" s="201"/>
      <c r="J125" s="164"/>
    </row>
    <row r="126" spans="1:10" ht="12.75">
      <c r="A126" s="158" t="s">
        <v>44</v>
      </c>
      <c r="B126" s="127">
        <v>10</v>
      </c>
      <c r="C126" s="127"/>
      <c r="D126" s="127"/>
      <c r="E126" s="112"/>
      <c r="F126" s="3"/>
      <c r="G126" s="248">
        <f>G36</f>
        <v>0</v>
      </c>
      <c r="H126" s="37"/>
      <c r="I126" s="201"/>
      <c r="J126" s="164"/>
    </row>
    <row r="127" spans="1:10" ht="12.75">
      <c r="A127" s="155" t="s">
        <v>471</v>
      </c>
      <c r="B127" s="127">
        <v>11</v>
      </c>
      <c r="C127" s="127"/>
      <c r="D127" s="127"/>
      <c r="E127" s="112"/>
      <c r="F127" s="3"/>
      <c r="G127" s="463">
        <f>G221</f>
        <v>0</v>
      </c>
      <c r="H127" s="187"/>
      <c r="I127" s="201"/>
      <c r="J127" s="164"/>
    </row>
    <row r="128" spans="1:10" ht="12.75">
      <c r="A128" s="155" t="s">
        <v>15</v>
      </c>
      <c r="B128" s="125">
        <v>4</v>
      </c>
      <c r="C128" s="125"/>
      <c r="D128" s="125"/>
      <c r="E128" s="112"/>
      <c r="F128" s="3"/>
      <c r="G128" s="248">
        <f>G38</f>
        <v>350000</v>
      </c>
      <c r="H128" s="37"/>
      <c r="I128" s="201"/>
      <c r="J128" s="164"/>
    </row>
    <row r="129" spans="1:10" ht="12.75">
      <c r="A129" s="155" t="s">
        <v>101</v>
      </c>
      <c r="B129" s="125">
        <v>4</v>
      </c>
      <c r="C129" s="125"/>
      <c r="D129" s="125"/>
      <c r="E129" s="112"/>
      <c r="F129" s="3"/>
      <c r="G129" s="248">
        <f>G39</f>
        <v>1040150</v>
      </c>
      <c r="H129" s="37"/>
      <c r="I129" s="201"/>
      <c r="J129" s="164"/>
    </row>
    <row r="130" spans="1:10" ht="12.75">
      <c r="A130" s="155" t="s">
        <v>12</v>
      </c>
      <c r="B130" s="125">
        <v>3</v>
      </c>
      <c r="C130" s="125"/>
      <c r="D130" s="125"/>
      <c r="E130" s="112"/>
      <c r="F130" s="3"/>
      <c r="G130" s="248">
        <f>G40</f>
        <v>0</v>
      </c>
      <c r="H130" s="37"/>
      <c r="I130" s="201"/>
      <c r="J130" s="164"/>
    </row>
    <row r="131" spans="1:10" ht="12.75">
      <c r="A131" s="155" t="s">
        <v>13</v>
      </c>
      <c r="B131" s="125">
        <v>3</v>
      </c>
      <c r="C131" s="125"/>
      <c r="D131" s="125"/>
      <c r="E131" s="112"/>
      <c r="F131" s="3"/>
      <c r="G131" s="248">
        <f>G41</f>
        <v>0</v>
      </c>
      <c r="H131" s="37"/>
      <c r="I131" s="201"/>
      <c r="J131" s="164"/>
    </row>
    <row r="132" spans="1:10" ht="12.75">
      <c r="A132" s="158" t="s">
        <v>360</v>
      </c>
      <c r="B132" s="127">
        <v>12</v>
      </c>
      <c r="C132" s="127"/>
      <c r="D132" s="127"/>
      <c r="E132" s="112"/>
      <c r="F132" s="3"/>
      <c r="G132" s="248">
        <f>G44</f>
        <v>14600</v>
      </c>
      <c r="H132" s="37"/>
      <c r="I132" s="201"/>
      <c r="J132" s="164"/>
    </row>
    <row r="133" spans="1:10" ht="12.75">
      <c r="A133" s="158" t="s">
        <v>361</v>
      </c>
      <c r="B133" s="127">
        <v>12</v>
      </c>
      <c r="C133" s="127"/>
      <c r="D133" s="127"/>
      <c r="E133" s="112"/>
      <c r="F133" s="3"/>
      <c r="G133" s="248">
        <f>G46</f>
        <v>0</v>
      </c>
      <c r="H133" s="37"/>
      <c r="I133" s="201"/>
      <c r="J133" s="164"/>
    </row>
    <row r="134" spans="1:10" ht="12.75">
      <c r="A134" s="158"/>
      <c r="B134" s="127"/>
      <c r="C134" s="127"/>
      <c r="D134" s="127"/>
      <c r="E134" s="112"/>
      <c r="F134" s="3"/>
      <c r="G134" s="110"/>
      <c r="H134" s="37"/>
      <c r="I134" s="201"/>
      <c r="J134" s="164"/>
    </row>
    <row r="135" spans="1:10" ht="12.75">
      <c r="A135" s="152" t="s">
        <v>218</v>
      </c>
      <c r="B135" s="127">
        <v>26</v>
      </c>
      <c r="C135" s="127"/>
      <c r="D135" s="127"/>
      <c r="E135" s="112"/>
      <c r="F135" s="117" t="s">
        <v>187</v>
      </c>
      <c r="G135" s="261">
        <f>SUM(G117:G122)-SUM(G124:G133)</f>
        <v>1129673</v>
      </c>
      <c r="H135" s="37"/>
      <c r="I135" s="201"/>
      <c r="J135" s="164"/>
    </row>
    <row r="136" spans="1:10" ht="12.75">
      <c r="A136" s="152"/>
      <c r="B136" s="127"/>
      <c r="C136" s="127"/>
      <c r="D136" s="127"/>
      <c r="E136" s="112"/>
      <c r="F136" s="117"/>
      <c r="G136" s="110"/>
      <c r="H136" s="37"/>
      <c r="I136" s="201"/>
      <c r="J136" s="164"/>
    </row>
    <row r="137" spans="1:10" ht="12.75">
      <c r="A137" s="157" t="s">
        <v>487</v>
      </c>
      <c r="B137" s="127"/>
      <c r="C137" s="127"/>
      <c r="D137" s="127"/>
      <c r="E137" s="112"/>
      <c r="F137" s="3" t="s">
        <v>229</v>
      </c>
      <c r="G137" s="460">
        <f>+'Tax Rates'!F52</f>
        <v>0.3612</v>
      </c>
      <c r="H137" s="461"/>
      <c r="I137" s="201" t="s">
        <v>102</v>
      </c>
      <c r="J137" s="164"/>
    </row>
    <row r="138" spans="1:10" ht="12.75">
      <c r="A138" s="158"/>
      <c r="B138" s="127"/>
      <c r="C138" s="127"/>
      <c r="D138" s="127"/>
      <c r="E138" s="112"/>
      <c r="F138" s="3"/>
      <c r="G138" s="110"/>
      <c r="H138" s="37"/>
      <c r="I138" s="201" t="s">
        <v>102</v>
      </c>
      <c r="J138" s="164"/>
    </row>
    <row r="139" spans="1:10" ht="12.75">
      <c r="A139" s="158" t="s">
        <v>244</v>
      </c>
      <c r="B139" s="127"/>
      <c r="C139" s="127"/>
      <c r="D139" s="127"/>
      <c r="E139" s="112"/>
      <c r="F139" s="3" t="s">
        <v>187</v>
      </c>
      <c r="G139" s="261">
        <f>G135*G137</f>
        <v>408037.8876</v>
      </c>
      <c r="H139" s="37"/>
      <c r="I139" s="201"/>
      <c r="J139" s="164"/>
    </row>
    <row r="140" spans="1:10" ht="12.75">
      <c r="A140" s="158"/>
      <c r="B140" s="127"/>
      <c r="C140" s="127"/>
      <c r="D140" s="127"/>
      <c r="E140" s="112"/>
      <c r="F140" s="3"/>
      <c r="G140" s="110"/>
      <c r="H140" s="37"/>
      <c r="I140" s="201"/>
      <c r="J140" s="164"/>
    </row>
    <row r="141" spans="1:10" ht="12.75">
      <c r="A141" s="158" t="s">
        <v>113</v>
      </c>
      <c r="B141" s="127">
        <v>14</v>
      </c>
      <c r="C141" s="127"/>
      <c r="D141" s="127"/>
      <c r="E141" s="112"/>
      <c r="F141" s="3"/>
      <c r="G141" s="261">
        <f>G58*(1-G137)</f>
        <v>14381.3044</v>
      </c>
      <c r="H141" s="37"/>
      <c r="I141" s="201"/>
      <c r="J141" s="164"/>
    </row>
    <row r="142" spans="1:10" ht="12.75">
      <c r="A142" s="158"/>
      <c r="B142" s="127"/>
      <c r="C142" s="127"/>
      <c r="D142" s="127"/>
      <c r="E142" s="112"/>
      <c r="F142" s="3"/>
      <c r="G142" s="110"/>
      <c r="H142" s="37"/>
      <c r="I142" s="201"/>
      <c r="J142" s="164"/>
    </row>
    <row r="143" spans="1:10" ht="12.75">
      <c r="A143" s="158" t="s">
        <v>116</v>
      </c>
      <c r="B143" s="127"/>
      <c r="C143" s="127"/>
      <c r="D143" s="127"/>
      <c r="E143" s="112"/>
      <c r="F143" s="3"/>
      <c r="G143" s="261">
        <f>G139-G141</f>
        <v>393656.5832</v>
      </c>
      <c r="H143" s="37"/>
      <c r="I143" s="201"/>
      <c r="J143" s="164"/>
    </row>
    <row r="144" spans="1:10" ht="12.75">
      <c r="A144" s="167"/>
      <c r="B144" s="127"/>
      <c r="C144" s="127"/>
      <c r="D144" s="127"/>
      <c r="E144" s="112"/>
      <c r="F144" s="3"/>
      <c r="G144" s="110"/>
      <c r="H144" s="37"/>
      <c r="I144" s="201"/>
      <c r="J144" s="164"/>
    </row>
    <row r="145" spans="1:10" ht="12.75">
      <c r="A145" s="152" t="s">
        <v>194</v>
      </c>
      <c r="B145" s="127"/>
      <c r="C145" s="127"/>
      <c r="D145" s="127"/>
      <c r="E145" s="112"/>
      <c r="F145" s="3"/>
      <c r="G145" s="309">
        <f>IF((G135+E50)&gt;'Tax Rates'!$E$47,'Tax Rates'!$F$52-1.12%,IF((G135+E50)&gt;'Tax Rates'!$D$47,'Tax Rates'!$E$52-1.12%,IF((G135+E50)&gt;'Tax Rates'!$C$47,'Tax Rates'!$D$52-1.12%,'Tax Rates'!$C$52-1.12%)))</f>
        <v>0.35000000000000003</v>
      </c>
      <c r="H145" s="37"/>
      <c r="I145" s="201"/>
      <c r="J145" s="164"/>
    </row>
    <row r="146" spans="1:10" ht="12.75">
      <c r="A146" s="150"/>
      <c r="B146" s="127"/>
      <c r="C146" s="127"/>
      <c r="D146" s="127"/>
      <c r="E146" s="112"/>
      <c r="F146" s="3"/>
      <c r="G146" s="110"/>
      <c r="H146" s="37"/>
      <c r="I146" s="201"/>
      <c r="J146" s="164"/>
    </row>
    <row r="147" spans="1:10" ht="12.75">
      <c r="A147" s="168" t="s">
        <v>347</v>
      </c>
      <c r="B147" s="130"/>
      <c r="C147" s="130"/>
      <c r="D147" s="130"/>
      <c r="E147" s="112"/>
      <c r="F147" s="3"/>
      <c r="G147" s="477">
        <f>G143/(1-G145)</f>
        <v>605625.5126153847</v>
      </c>
      <c r="H147" s="37"/>
      <c r="I147" s="201"/>
      <c r="J147" s="164"/>
    </row>
    <row r="148" spans="1:10" ht="12.75">
      <c r="A148" s="168"/>
      <c r="B148" s="130"/>
      <c r="C148" s="130"/>
      <c r="D148" s="130"/>
      <c r="E148" s="112"/>
      <c r="F148" s="3"/>
      <c r="G148" s="107"/>
      <c r="H148" s="37"/>
      <c r="I148" s="201"/>
      <c r="J148" s="164"/>
    </row>
    <row r="149" spans="1:10" ht="30">
      <c r="A149" s="169" t="s">
        <v>350</v>
      </c>
      <c r="B149" s="130"/>
      <c r="C149" s="130"/>
      <c r="D149" s="130"/>
      <c r="E149" s="112"/>
      <c r="F149" s="3"/>
      <c r="G149" s="107"/>
      <c r="H149" s="37"/>
      <c r="I149" s="201"/>
      <c r="J149" s="164"/>
    </row>
    <row r="150" spans="1:10" ht="12.75">
      <c r="A150" s="170"/>
      <c r="B150" s="130"/>
      <c r="C150" s="130"/>
      <c r="D150" s="130"/>
      <c r="E150" s="112"/>
      <c r="F150" s="3"/>
      <c r="G150" s="107"/>
      <c r="H150" s="37"/>
      <c r="I150" s="201"/>
      <c r="J150" s="164"/>
    </row>
    <row r="151" spans="1:10" ht="25.5">
      <c r="A151" s="171" t="s">
        <v>233</v>
      </c>
      <c r="B151" s="130"/>
      <c r="C151" s="130"/>
      <c r="D151" s="130"/>
      <c r="E151" s="112"/>
      <c r="F151" s="118" t="s">
        <v>187</v>
      </c>
      <c r="G151" s="299">
        <f>E50</f>
        <v>17224431.457</v>
      </c>
      <c r="H151" s="37"/>
      <c r="I151" s="201"/>
      <c r="J151" s="164"/>
    </row>
    <row r="152" spans="1:10" ht="12.75">
      <c r="A152" s="171"/>
      <c r="B152" s="130"/>
      <c r="C152" s="130"/>
      <c r="D152" s="130"/>
      <c r="E152" s="112"/>
      <c r="F152" s="119"/>
      <c r="G152" s="145"/>
      <c r="H152" s="37"/>
      <c r="I152" s="201"/>
      <c r="J152" s="164"/>
    </row>
    <row r="153" spans="1:10" ht="12.75">
      <c r="A153" s="171" t="s">
        <v>235</v>
      </c>
      <c r="B153" s="130"/>
      <c r="C153" s="130"/>
      <c r="D153" s="130"/>
      <c r="E153" s="112"/>
      <c r="F153" s="119" t="s">
        <v>229</v>
      </c>
      <c r="G153" s="309">
        <f>IF((G135+G151)&gt;'Tax Rates'!E47,'Tax Rates'!F52,IF((G135+G151)&gt;'Tax Rates'!D47,'Tax Rates'!E52,IF((G135+G151)&gt;'Tax Rates'!C47,'Tax Rates'!D52,'Tax Rates'!C52)))</f>
        <v>0.3612</v>
      </c>
      <c r="H153" s="197" t="s">
        <v>102</v>
      </c>
      <c r="I153" s="201"/>
      <c r="J153" s="164"/>
    </row>
    <row r="154" spans="1:10" ht="12.75">
      <c r="A154" s="171"/>
      <c r="B154" s="130"/>
      <c r="C154" s="130"/>
      <c r="D154" s="130"/>
      <c r="E154" s="112"/>
      <c r="F154" s="119"/>
      <c r="G154" s="144"/>
      <c r="H154" s="37"/>
      <c r="I154" s="201"/>
      <c r="J154" s="164"/>
    </row>
    <row r="155" spans="1:10" ht="12.75">
      <c r="A155" s="171" t="s">
        <v>227</v>
      </c>
      <c r="B155" s="130"/>
      <c r="C155" s="130"/>
      <c r="D155" s="130"/>
      <c r="E155" s="112"/>
      <c r="F155" s="118" t="s">
        <v>187</v>
      </c>
      <c r="G155" s="300">
        <f>IF(G151&gt;0,G151*G153,0)</f>
        <v>6221464.6422684</v>
      </c>
      <c r="H155" s="37"/>
      <c r="I155" s="201"/>
      <c r="J155" s="164"/>
    </row>
    <row r="156" spans="1:10" ht="12.75">
      <c r="A156" s="171"/>
      <c r="B156" s="130"/>
      <c r="C156" s="130"/>
      <c r="D156" s="130"/>
      <c r="E156" s="112"/>
      <c r="F156" s="119"/>
      <c r="G156" s="144"/>
      <c r="H156" s="37"/>
      <c r="I156" s="201"/>
      <c r="J156" s="164"/>
    </row>
    <row r="157" spans="1:10" ht="12.75">
      <c r="A157" s="171" t="s">
        <v>236</v>
      </c>
      <c r="B157" s="130"/>
      <c r="C157" s="130"/>
      <c r="D157" s="130"/>
      <c r="E157" s="112"/>
      <c r="F157" s="118" t="s">
        <v>186</v>
      </c>
      <c r="G157" s="301">
        <f>TAXREC!E145*(1-G137)</f>
        <v>14381.3044</v>
      </c>
      <c r="H157" s="37"/>
      <c r="I157" s="201"/>
      <c r="J157" s="164"/>
    </row>
    <row r="158" spans="1:10" ht="12.75">
      <c r="A158" s="171"/>
      <c r="B158" s="130"/>
      <c r="C158" s="130"/>
      <c r="D158" s="130"/>
      <c r="E158" s="112"/>
      <c r="F158" s="119"/>
      <c r="G158" s="144"/>
      <c r="H158" s="37"/>
      <c r="I158" s="201"/>
      <c r="J158" s="164"/>
    </row>
    <row r="159" spans="1:10" ht="12.75">
      <c r="A159" s="171" t="s">
        <v>228</v>
      </c>
      <c r="B159" s="130"/>
      <c r="C159" s="130"/>
      <c r="D159" s="130"/>
      <c r="E159" s="112"/>
      <c r="F159" s="119" t="s">
        <v>187</v>
      </c>
      <c r="G159" s="299">
        <f>G155-G157</f>
        <v>6207083.3378684</v>
      </c>
      <c r="H159" s="37"/>
      <c r="I159" s="201"/>
      <c r="J159" s="164"/>
    </row>
    <row r="160" spans="1:10" ht="12.75">
      <c r="A160" s="171"/>
      <c r="B160" s="130"/>
      <c r="C160" s="130"/>
      <c r="D160" s="130"/>
      <c r="E160" s="112"/>
      <c r="F160" s="119"/>
      <c r="G160" s="144"/>
      <c r="H160" s="37"/>
      <c r="I160" s="201"/>
      <c r="J160" s="164"/>
    </row>
    <row r="161" spans="1:10" ht="25.5">
      <c r="A161" s="171" t="s">
        <v>237</v>
      </c>
      <c r="B161" s="130"/>
      <c r="C161" s="130"/>
      <c r="D161" s="130"/>
      <c r="E161" s="112"/>
      <c r="F161" s="118" t="s">
        <v>186</v>
      </c>
      <c r="G161" s="299">
        <f>E60</f>
        <v>6221464.6422684</v>
      </c>
      <c r="H161" s="37"/>
      <c r="I161" s="201"/>
      <c r="J161" s="164"/>
    </row>
    <row r="162" spans="1:10" ht="12.75">
      <c r="A162" s="171"/>
      <c r="B162" s="130"/>
      <c r="C162" s="130"/>
      <c r="D162" s="130"/>
      <c r="E162" s="112"/>
      <c r="F162" s="119"/>
      <c r="G162" s="144"/>
      <c r="H162" s="37"/>
      <c r="I162" s="201"/>
      <c r="J162" s="164"/>
    </row>
    <row r="163" spans="1:10" ht="12.75">
      <c r="A163" s="171" t="s">
        <v>230</v>
      </c>
      <c r="B163" s="130"/>
      <c r="C163" s="130"/>
      <c r="D163" s="130"/>
      <c r="E163" s="112"/>
      <c r="F163" s="118" t="s">
        <v>187</v>
      </c>
      <c r="G163" s="299">
        <f>G159-G161</f>
        <v>-14381.30439999979</v>
      </c>
      <c r="H163" s="37"/>
      <c r="I163" s="201"/>
      <c r="J163" s="164"/>
    </row>
    <row r="164" spans="1:10" ht="12.75">
      <c r="A164" s="171"/>
      <c r="B164" s="130"/>
      <c r="C164" s="130"/>
      <c r="D164" s="130"/>
      <c r="E164" s="112"/>
      <c r="F164" s="119"/>
      <c r="G164" s="144"/>
      <c r="H164" s="37"/>
      <c r="I164" s="201"/>
      <c r="J164" s="164"/>
    </row>
    <row r="165" spans="1:10" ht="12.75">
      <c r="A165" s="384" t="s">
        <v>20</v>
      </c>
      <c r="B165" s="130"/>
      <c r="C165" s="130"/>
      <c r="D165" s="130"/>
      <c r="E165" s="112"/>
      <c r="F165" s="119"/>
      <c r="G165" s="472"/>
      <c r="H165" s="37"/>
      <c r="I165" s="201"/>
      <c r="J165" s="164"/>
    </row>
    <row r="166" spans="1:10" ht="12.75">
      <c r="A166" s="171" t="s">
        <v>17</v>
      </c>
      <c r="B166" s="130"/>
      <c r="C166" s="130"/>
      <c r="D166" s="130"/>
      <c r="E166" s="112"/>
      <c r="F166" s="119" t="s">
        <v>187</v>
      </c>
      <c r="G166" s="299">
        <f>E66</f>
        <v>311452012</v>
      </c>
      <c r="H166" s="37"/>
      <c r="I166" s="201"/>
      <c r="J166" s="164"/>
    </row>
    <row r="167" spans="1:10" ht="12.75">
      <c r="A167" s="171" t="s">
        <v>353</v>
      </c>
      <c r="B167" s="130"/>
      <c r="C167" s="130"/>
      <c r="D167" s="130"/>
      <c r="E167" s="112"/>
      <c r="F167" s="118" t="s">
        <v>186</v>
      </c>
      <c r="G167" s="302">
        <f>IF(G166&gt;0,'Tax Rates'!C39,0)</f>
        <v>7500000</v>
      </c>
      <c r="H167" s="37"/>
      <c r="I167" s="201"/>
      <c r="J167" s="164"/>
    </row>
    <row r="168" spans="1:10" ht="12.75">
      <c r="A168" s="171" t="s">
        <v>231</v>
      </c>
      <c r="B168" s="130"/>
      <c r="C168" s="130"/>
      <c r="D168" s="130"/>
      <c r="E168" s="112"/>
      <c r="F168" s="118" t="s">
        <v>187</v>
      </c>
      <c r="G168" s="299">
        <f>G166-G167</f>
        <v>303952012</v>
      </c>
      <c r="H168" s="37"/>
      <c r="I168" s="201"/>
      <c r="J168" s="164"/>
    </row>
    <row r="169" spans="1:10" ht="12.75">
      <c r="A169" s="171"/>
      <c r="B169" s="130"/>
      <c r="C169" s="130"/>
      <c r="D169" s="130"/>
      <c r="E169" s="112"/>
      <c r="F169" s="119"/>
      <c r="G169" s="144"/>
      <c r="H169" s="37"/>
      <c r="I169" s="201"/>
      <c r="J169" s="164"/>
    </row>
    <row r="170" spans="1:10" ht="12.75">
      <c r="A170" s="171" t="s">
        <v>354</v>
      </c>
      <c r="B170" s="130"/>
      <c r="C170" s="130"/>
      <c r="D170" s="130"/>
      <c r="E170" s="112"/>
      <c r="F170" s="119" t="s">
        <v>229</v>
      </c>
      <c r="G170" s="303">
        <f>'Tax Rates'!C54</f>
        <v>0.003</v>
      </c>
      <c r="H170" s="37"/>
      <c r="I170" s="201"/>
      <c r="J170" s="164"/>
    </row>
    <row r="171" spans="1:10" ht="12.75">
      <c r="A171" s="171"/>
      <c r="B171" s="130"/>
      <c r="C171" s="130"/>
      <c r="D171" s="130"/>
      <c r="E171" s="112"/>
      <c r="F171" s="119"/>
      <c r="G171" s="144"/>
      <c r="H171" s="37"/>
      <c r="I171" s="201"/>
      <c r="J171" s="164"/>
    </row>
    <row r="172" spans="1:10" ht="12.75">
      <c r="A172" s="171" t="s">
        <v>232</v>
      </c>
      <c r="B172" s="130"/>
      <c r="C172" s="130"/>
      <c r="D172" s="130"/>
      <c r="E172" s="112"/>
      <c r="F172" s="119" t="s">
        <v>187</v>
      </c>
      <c r="G172" s="299">
        <f>IF(G168&gt;0,G168*G170*B9/B10,0)</f>
        <v>764460.1288109588</v>
      </c>
      <c r="H172" s="37"/>
      <c r="I172" s="201"/>
      <c r="J172" s="164"/>
    </row>
    <row r="173" spans="1:10" ht="25.5">
      <c r="A173" s="536" t="s">
        <v>516</v>
      </c>
      <c r="B173" s="130"/>
      <c r="C173" s="130"/>
      <c r="D173" s="130"/>
      <c r="E173" s="112"/>
      <c r="F173" s="118" t="s">
        <v>186</v>
      </c>
      <c r="G173" s="302">
        <f>+E104</f>
        <v>748426.5671671232</v>
      </c>
      <c r="H173" s="37"/>
      <c r="I173" s="201"/>
      <c r="J173" s="164"/>
    </row>
    <row r="174" spans="1:10" ht="12.75" customHeight="1">
      <c r="A174" s="172" t="s">
        <v>242</v>
      </c>
      <c r="B174" s="130"/>
      <c r="C174" s="130"/>
      <c r="D174" s="130"/>
      <c r="E174" s="112"/>
      <c r="F174" s="118" t="s">
        <v>187</v>
      </c>
      <c r="G174" s="465">
        <f>G172-G173</f>
        <v>16033.561643835623</v>
      </c>
      <c r="H174" s="37"/>
      <c r="I174" s="201"/>
      <c r="J174" s="164"/>
    </row>
    <row r="175" spans="1:10" ht="12.75">
      <c r="A175" s="171"/>
      <c r="B175" s="130"/>
      <c r="C175" s="130"/>
      <c r="D175" s="130"/>
      <c r="E175" s="112"/>
      <c r="F175" s="119"/>
      <c r="G175" s="144"/>
      <c r="H175" s="37"/>
      <c r="I175" s="201"/>
      <c r="J175" s="164"/>
    </row>
    <row r="176" spans="1:10" ht="12.75">
      <c r="A176" s="384" t="s">
        <v>234</v>
      </c>
      <c r="B176" s="130"/>
      <c r="C176" s="130"/>
      <c r="D176" s="130"/>
      <c r="E176" s="112"/>
      <c r="F176" s="119"/>
      <c r="G176" s="301"/>
      <c r="H176" s="37"/>
      <c r="I176" s="201"/>
      <c r="J176" s="164"/>
    </row>
    <row r="177" spans="1:10" ht="12.75">
      <c r="A177" s="171" t="s">
        <v>17</v>
      </c>
      <c r="B177" s="130"/>
      <c r="C177" s="130"/>
      <c r="D177" s="130"/>
      <c r="E177" s="112"/>
      <c r="F177" s="119"/>
      <c r="G177" s="299">
        <f>E75</f>
        <v>311452012</v>
      </c>
      <c r="H177" s="37"/>
      <c r="I177" s="201"/>
      <c r="J177" s="164"/>
    </row>
    <row r="178" spans="1:10" ht="12.75">
      <c r="A178" s="171" t="s">
        <v>352</v>
      </c>
      <c r="B178" s="130"/>
      <c r="C178" s="130"/>
      <c r="D178" s="130"/>
      <c r="E178" s="112"/>
      <c r="F178" s="118" t="s">
        <v>186</v>
      </c>
      <c r="G178" s="302">
        <f>IF(G177&gt;0,'Tax Rates'!C40,0)</f>
        <v>50000000</v>
      </c>
      <c r="H178" s="37"/>
      <c r="I178" s="201"/>
      <c r="J178" s="164"/>
    </row>
    <row r="179" spans="1:10" ht="12.75">
      <c r="A179" s="171" t="s">
        <v>238</v>
      </c>
      <c r="B179" s="130"/>
      <c r="C179" s="130"/>
      <c r="D179" s="130"/>
      <c r="E179" s="112"/>
      <c r="F179" s="119" t="s">
        <v>187</v>
      </c>
      <c r="G179" s="299">
        <f>G177-G178</f>
        <v>261452012</v>
      </c>
      <c r="H179" s="37"/>
      <c r="I179" s="201"/>
      <c r="J179" s="164"/>
    </row>
    <row r="180" spans="1:10" ht="12.75">
      <c r="A180" s="171"/>
      <c r="B180" s="130"/>
      <c r="C180" s="130"/>
      <c r="D180" s="130"/>
      <c r="E180" s="112"/>
      <c r="F180" s="119"/>
      <c r="G180" s="144"/>
      <c r="H180" s="37"/>
      <c r="I180" s="201"/>
      <c r="J180" s="164"/>
    </row>
    <row r="181" spans="1:10" ht="12.75">
      <c r="A181" s="171" t="s">
        <v>306</v>
      </c>
      <c r="B181" s="130"/>
      <c r="C181" s="130"/>
      <c r="D181" s="130"/>
      <c r="E181" s="112"/>
      <c r="F181" s="119"/>
      <c r="G181" s="303">
        <f>'Tax Rates'!C19</f>
        <v>0.00175</v>
      </c>
      <c r="H181" s="37"/>
      <c r="I181" s="201"/>
      <c r="J181" s="164"/>
    </row>
    <row r="182" spans="1:10" ht="12.75">
      <c r="A182" s="171"/>
      <c r="B182" s="130"/>
      <c r="C182" s="130"/>
      <c r="D182" s="130"/>
      <c r="E182" s="112"/>
      <c r="F182" s="119"/>
      <c r="G182" s="144"/>
      <c r="H182" s="37"/>
      <c r="I182" s="201"/>
      <c r="J182" s="164"/>
    </row>
    <row r="183" spans="1:10" ht="12.75">
      <c r="A183" s="171" t="s">
        <v>239</v>
      </c>
      <c r="B183" s="130"/>
      <c r="C183" s="130"/>
      <c r="D183" s="130"/>
      <c r="E183" s="112"/>
      <c r="F183" s="119"/>
      <c r="G183" s="299">
        <f>IF(G179&gt;0,G179*G181*B9/B10,0)</f>
        <v>383582.33541369863</v>
      </c>
      <c r="H183" s="37"/>
      <c r="I183" s="201"/>
      <c r="J183" s="164"/>
    </row>
    <row r="184" spans="1:10" ht="12.75">
      <c r="A184" s="171" t="s">
        <v>316</v>
      </c>
      <c r="B184" s="130"/>
      <c r="C184" s="130"/>
      <c r="D184" s="130"/>
      <c r="E184" s="112"/>
      <c r="F184" s="118" t="s">
        <v>186</v>
      </c>
      <c r="G184" s="304">
        <f>IF(G179&gt;0,IF(G159&gt;0,G151*'Tax Rates'!C56,0),0)</f>
        <v>192913.6323184</v>
      </c>
      <c r="H184" s="37"/>
      <c r="I184" s="201"/>
      <c r="J184" s="164"/>
    </row>
    <row r="185" spans="1:10" ht="12.75">
      <c r="A185" s="171" t="s">
        <v>240</v>
      </c>
      <c r="B185" s="130"/>
      <c r="C185" s="130"/>
      <c r="D185" s="130"/>
      <c r="E185" s="112"/>
      <c r="F185" s="119" t="s">
        <v>187</v>
      </c>
      <c r="G185" s="299">
        <f>G183-G184</f>
        <v>190668.70309529864</v>
      </c>
      <c r="H185" s="37"/>
      <c r="I185" s="201"/>
      <c r="J185" s="164"/>
    </row>
    <row r="186" spans="1:10" ht="12.75">
      <c r="A186" s="171"/>
      <c r="B186" s="130"/>
      <c r="C186" s="130"/>
      <c r="D186" s="130"/>
      <c r="E186" s="112"/>
      <c r="F186" s="119"/>
      <c r="G186" s="238"/>
      <c r="H186" s="37"/>
      <c r="I186" s="201"/>
      <c r="J186" s="164"/>
    </row>
    <row r="187" spans="1:10" ht="12.75">
      <c r="A187" s="536" t="s">
        <v>519</v>
      </c>
      <c r="B187" s="130"/>
      <c r="C187" s="130"/>
      <c r="D187" s="130"/>
      <c r="E187" s="112"/>
      <c r="F187" s="118" t="s">
        <v>186</v>
      </c>
      <c r="G187" s="302">
        <f>+E111</f>
        <v>166619.3781629195</v>
      </c>
      <c r="H187" s="37"/>
      <c r="I187" s="201"/>
      <c r="J187" s="164"/>
    </row>
    <row r="188" spans="1:10" ht="12.75">
      <c r="A188" s="155" t="s">
        <v>243</v>
      </c>
      <c r="B188" s="130"/>
      <c r="C188" s="130"/>
      <c r="D188" s="130"/>
      <c r="E188" s="112"/>
      <c r="F188" s="119" t="s">
        <v>187</v>
      </c>
      <c r="G188" s="465">
        <f>G185-G187</f>
        <v>24049.324932379153</v>
      </c>
      <c r="H188" s="37"/>
      <c r="I188" s="201"/>
      <c r="J188" s="164"/>
    </row>
    <row r="189" spans="1:10" ht="12.75">
      <c r="A189" s="155"/>
      <c r="B189" s="130"/>
      <c r="C189" s="130"/>
      <c r="D189" s="130"/>
      <c r="E189" s="112"/>
      <c r="F189" s="119"/>
      <c r="G189" s="144"/>
      <c r="H189" s="37"/>
      <c r="I189" s="201"/>
      <c r="J189" s="164"/>
    </row>
    <row r="190" spans="1:10" ht="12.75">
      <c r="A190" s="155" t="s">
        <v>341</v>
      </c>
      <c r="B190" s="130"/>
      <c r="C190" s="130"/>
      <c r="D190" s="130"/>
      <c r="E190" s="112"/>
      <c r="F190" s="119"/>
      <c r="G190" s="460">
        <f>IF((G135+I50)&gt;'Tax Rates'!E47,'Tax Rates'!F52-1.12%,IF((G135+I50)&gt;'Tax Rates'!D47,'Tax Rates'!E52-1.12%,IF((G135+I50)&gt;'Tax Rates'!C47,'Tax Rates'!D52,'Tax Rates'!C52-1.12%)))</f>
        <v>0.35000000000000003</v>
      </c>
      <c r="H190" s="461"/>
      <c r="I190" s="201"/>
      <c r="J190" s="164"/>
    </row>
    <row r="191" spans="1:10" ht="12.75">
      <c r="A191" s="155"/>
      <c r="B191" s="130"/>
      <c r="C191" s="130"/>
      <c r="D191" s="130"/>
      <c r="E191" s="112"/>
      <c r="F191" s="119"/>
      <c r="G191" s="144"/>
      <c r="H191" s="37"/>
      <c r="I191" s="201"/>
      <c r="J191" s="164"/>
    </row>
    <row r="192" spans="1:10" ht="12.75">
      <c r="A192" s="168" t="s">
        <v>241</v>
      </c>
      <c r="B192" s="130"/>
      <c r="C192" s="130"/>
      <c r="D192" s="130"/>
      <c r="E192" s="112"/>
      <c r="F192" s="119" t="s">
        <v>185</v>
      </c>
      <c r="G192" s="299">
        <f>G163/(1-G190)</f>
        <v>-22125.083692307373</v>
      </c>
      <c r="H192" s="37"/>
      <c r="I192" s="201"/>
      <c r="J192" s="164"/>
    </row>
    <row r="193" spans="1:10" ht="12.75">
      <c r="A193" s="168" t="s">
        <v>33</v>
      </c>
      <c r="B193" s="130"/>
      <c r="C193" s="130"/>
      <c r="D193" s="130"/>
      <c r="E193" s="112"/>
      <c r="F193" s="119" t="s">
        <v>185</v>
      </c>
      <c r="G193" s="299">
        <f>IF(G179&gt;0,G188/(1-G190),-E103)</f>
        <v>36998.961434429475</v>
      </c>
      <c r="H193" s="37"/>
      <c r="I193" s="201"/>
      <c r="J193" s="164"/>
    </row>
    <row r="194" spans="1:10" ht="12.75">
      <c r="A194" s="168" t="s">
        <v>20</v>
      </c>
      <c r="B194" s="130"/>
      <c r="C194" s="130"/>
      <c r="D194" s="130"/>
      <c r="E194" s="112"/>
      <c r="F194" s="119" t="s">
        <v>185</v>
      </c>
      <c r="G194" s="299">
        <f>G174</f>
        <v>16033.561643835623</v>
      </c>
      <c r="H194" s="37"/>
      <c r="I194" s="201"/>
      <c r="J194" s="164"/>
    </row>
    <row r="195" spans="1:10" ht="12.75">
      <c r="A195" s="155"/>
      <c r="B195" s="130"/>
      <c r="C195" s="130"/>
      <c r="D195" s="130"/>
      <c r="E195" s="112"/>
      <c r="F195" s="119"/>
      <c r="G195" s="144"/>
      <c r="H195" s="37"/>
      <c r="I195" s="201"/>
      <c r="J195" s="164"/>
    </row>
    <row r="196" spans="1:10" ht="12.75">
      <c r="A196" s="168" t="s">
        <v>348</v>
      </c>
      <c r="B196" s="130"/>
      <c r="C196" s="130"/>
      <c r="D196" s="130"/>
      <c r="E196" s="112"/>
      <c r="F196" s="119" t="s">
        <v>187</v>
      </c>
      <c r="G196" s="476">
        <f>SUM(G192:G194)</f>
        <v>30907.439385957725</v>
      </c>
      <c r="H196" s="37"/>
      <c r="I196" s="201"/>
      <c r="J196" s="164"/>
    </row>
    <row r="197" spans="1:10" ht="12.75">
      <c r="A197" s="155"/>
      <c r="B197" s="130"/>
      <c r="C197" s="130"/>
      <c r="D197" s="130"/>
      <c r="E197" s="112"/>
      <c r="F197" s="119"/>
      <c r="G197" s="144"/>
      <c r="H197" s="37"/>
      <c r="I197" s="201"/>
      <c r="J197" s="164"/>
    </row>
    <row r="198" spans="1:10" ht="12.75">
      <c r="A198" s="168" t="s">
        <v>520</v>
      </c>
      <c r="B198" s="130"/>
      <c r="C198" s="130"/>
      <c r="D198" s="130"/>
      <c r="E198" s="112"/>
      <c r="F198" s="119" t="s">
        <v>185</v>
      </c>
      <c r="G198" s="476">
        <f>G147</f>
        <v>605625.5126153847</v>
      </c>
      <c r="H198" s="37" t="s">
        <v>102</v>
      </c>
      <c r="I198" s="201"/>
      <c r="J198" s="164"/>
    </row>
    <row r="199" spans="1:10" ht="12.75">
      <c r="A199" s="168"/>
      <c r="B199" s="130"/>
      <c r="C199" s="130"/>
      <c r="D199" s="130"/>
      <c r="E199" s="112"/>
      <c r="F199" s="119"/>
      <c r="G199" s="144"/>
      <c r="H199" s="37"/>
      <c r="I199" s="201"/>
      <c r="J199" s="164"/>
    </row>
    <row r="200" spans="1:10" ht="15">
      <c r="A200" s="173" t="s">
        <v>349</v>
      </c>
      <c r="B200" s="130"/>
      <c r="C200" s="130"/>
      <c r="D200" s="130"/>
      <c r="E200" s="112"/>
      <c r="F200" s="119" t="s">
        <v>187</v>
      </c>
      <c r="G200" s="476">
        <f>G196+G198</f>
        <v>636532.9520013423</v>
      </c>
      <c r="H200" s="37"/>
      <c r="I200" s="201"/>
      <c r="J200" s="164"/>
    </row>
    <row r="201" spans="1:10" ht="12.75">
      <c r="A201" s="162" t="s">
        <v>246</v>
      </c>
      <c r="B201" s="127"/>
      <c r="C201" s="127"/>
      <c r="D201" s="127"/>
      <c r="E201" s="112"/>
      <c r="F201" s="119"/>
      <c r="G201" s="146"/>
      <c r="H201" s="37"/>
      <c r="I201" s="201"/>
      <c r="J201" s="164"/>
    </row>
    <row r="202" spans="1:10" ht="12.75" customHeight="1" thickBot="1">
      <c r="A202" s="162"/>
      <c r="B202" s="127"/>
      <c r="C202" s="127"/>
      <c r="D202" s="127"/>
      <c r="E202" s="112"/>
      <c r="F202" s="119"/>
      <c r="G202" s="147"/>
      <c r="H202" s="37"/>
      <c r="I202" s="201"/>
      <c r="J202" s="164"/>
    </row>
    <row r="203" spans="1:10" ht="12.75" customHeight="1" hidden="1" thickBot="1">
      <c r="A203" s="150"/>
      <c r="B203" s="127"/>
      <c r="C203" s="127"/>
      <c r="D203" s="127"/>
      <c r="E203" s="112"/>
      <c r="F203" s="119"/>
      <c r="G203" s="147"/>
      <c r="H203" s="37"/>
      <c r="I203" s="201"/>
      <c r="J203" s="164"/>
    </row>
    <row r="204" spans="1:10" ht="13.5" thickTop="1">
      <c r="A204" s="174"/>
      <c r="B204" s="131"/>
      <c r="C204" s="131"/>
      <c r="D204" s="131"/>
      <c r="E204" s="113"/>
      <c r="F204" s="99"/>
      <c r="G204" s="148"/>
      <c r="H204" s="7"/>
      <c r="I204" s="124"/>
      <c r="J204" s="175"/>
    </row>
    <row r="205" spans="1:10" ht="12.75">
      <c r="A205" s="168" t="s">
        <v>58</v>
      </c>
      <c r="B205" s="127"/>
      <c r="C205" s="127"/>
      <c r="D205" s="127"/>
      <c r="E205" s="114"/>
      <c r="F205" s="119"/>
      <c r="G205" s="146"/>
      <c r="H205" s="3"/>
      <c r="I205" s="123"/>
      <c r="J205" s="164"/>
    </row>
    <row r="206" spans="1:10" ht="12.75">
      <c r="A206" s="154" t="s">
        <v>83</v>
      </c>
      <c r="B206" s="123"/>
      <c r="C206" s="123"/>
      <c r="D206" s="123"/>
      <c r="E206" s="115"/>
      <c r="F206" s="119"/>
      <c r="G206" s="147"/>
      <c r="H206" s="3"/>
      <c r="I206" s="123"/>
      <c r="J206" s="164"/>
    </row>
    <row r="207" spans="1:10" ht="12.75">
      <c r="A207" s="154"/>
      <c r="B207" s="123"/>
      <c r="C207" s="123"/>
      <c r="D207" s="123"/>
      <c r="E207" s="115"/>
      <c r="F207" s="119"/>
      <c r="G207" s="147"/>
      <c r="H207" s="3"/>
      <c r="I207" s="123"/>
      <c r="J207" s="164"/>
    </row>
    <row r="208" spans="1:10" ht="12.75">
      <c r="A208" s="155" t="s">
        <v>222</v>
      </c>
      <c r="B208" s="127"/>
      <c r="C208" s="127"/>
      <c r="D208" s="127"/>
      <c r="E208" s="112"/>
      <c r="F208" s="120"/>
      <c r="G208" s="305">
        <f>REGINFO!F68</f>
        <v>11846614.543000001</v>
      </c>
      <c r="H208" s="3"/>
      <c r="I208" s="123"/>
      <c r="J208" s="164"/>
    </row>
    <row r="209" spans="1:10" ht="12.75">
      <c r="A209" s="538" t="s">
        <v>521</v>
      </c>
      <c r="B209" s="127"/>
      <c r="C209" s="127"/>
      <c r="D209" s="127"/>
      <c r="E209" s="112"/>
      <c r="F209" s="120"/>
      <c r="G209" s="305">
        <f>REGINFO!F72</f>
        <v>8636708.965619566</v>
      </c>
      <c r="H209" s="3"/>
      <c r="I209" s="123"/>
      <c r="J209" s="164"/>
    </row>
    <row r="210" spans="1:10" ht="12.75">
      <c r="A210" s="155"/>
      <c r="B210" s="127"/>
      <c r="C210" s="127"/>
      <c r="D210" s="127"/>
      <c r="E210" s="112"/>
      <c r="F210" s="120"/>
      <c r="G210" s="149"/>
      <c r="H210" s="3"/>
      <c r="I210" s="123"/>
      <c r="J210" s="164"/>
    </row>
    <row r="211" spans="1:10" ht="12.75">
      <c r="A211" s="155" t="s">
        <v>339</v>
      </c>
      <c r="B211" s="127"/>
      <c r="C211" s="127"/>
      <c r="D211" s="127"/>
      <c r="E211" s="112"/>
      <c r="F211" s="120"/>
      <c r="G211" s="305">
        <f>G208-G209</f>
        <v>3209905.5773804355</v>
      </c>
      <c r="H211" s="3"/>
      <c r="I211" s="123"/>
      <c r="J211" s="164"/>
    </row>
    <row r="212" spans="1:10" ht="12.75">
      <c r="A212" s="155" t="s">
        <v>340</v>
      </c>
      <c r="B212" s="127"/>
      <c r="C212" s="127"/>
      <c r="D212" s="127"/>
      <c r="E212" s="112"/>
      <c r="F212" s="120"/>
      <c r="G212" s="147"/>
      <c r="H212" s="3"/>
      <c r="I212" s="123"/>
      <c r="J212" s="164"/>
    </row>
    <row r="213" spans="1:10" ht="12.75">
      <c r="A213" s="155"/>
      <c r="B213" s="127"/>
      <c r="C213" s="127"/>
      <c r="D213" s="127"/>
      <c r="E213" s="112"/>
      <c r="F213" s="120"/>
      <c r="G213" s="147"/>
      <c r="H213" s="3"/>
      <c r="I213" s="123"/>
      <c r="J213" s="164"/>
    </row>
    <row r="214" spans="1:10" ht="12.75">
      <c r="A214" s="168" t="s">
        <v>254</v>
      </c>
      <c r="B214" s="127"/>
      <c r="C214" s="127"/>
      <c r="D214" s="127"/>
      <c r="E214" s="112"/>
      <c r="F214" s="120"/>
      <c r="G214" s="147"/>
      <c r="H214" s="3"/>
      <c r="I214" s="483"/>
      <c r="J214" s="164"/>
    </row>
    <row r="215" spans="1:10" ht="12.75">
      <c r="A215" s="176" t="s">
        <v>85</v>
      </c>
      <c r="B215" s="127"/>
      <c r="C215" s="127"/>
      <c r="D215" s="127"/>
      <c r="E215" s="112"/>
      <c r="F215" s="120"/>
      <c r="G215" s="147"/>
      <c r="H215" s="3"/>
      <c r="I215" s="483"/>
      <c r="J215" s="164"/>
    </row>
    <row r="216" spans="1:10" ht="12.75">
      <c r="A216" s="155" t="s">
        <v>249</v>
      </c>
      <c r="B216" s="127"/>
      <c r="C216" s="127"/>
      <c r="D216" s="127"/>
      <c r="E216" s="112"/>
      <c r="F216" s="120"/>
      <c r="G216" s="305">
        <f>I37+I42</f>
        <v>7550785</v>
      </c>
      <c r="H216" s="3"/>
      <c r="I216" s="483"/>
      <c r="J216" s="164"/>
    </row>
    <row r="217" spans="1:10" ht="12.75">
      <c r="A217" s="155" t="s">
        <v>488</v>
      </c>
      <c r="B217" s="127"/>
      <c r="C217" s="127"/>
      <c r="D217" s="127"/>
      <c r="E217" s="112"/>
      <c r="F217" s="120"/>
      <c r="G217" s="482">
        <v>7550785</v>
      </c>
      <c r="H217" s="3"/>
      <c r="I217" s="123"/>
      <c r="J217" s="164"/>
    </row>
    <row r="218" spans="1:10" ht="12.75">
      <c r="A218" s="155"/>
      <c r="B218" s="127"/>
      <c r="C218" s="127"/>
      <c r="D218" s="127"/>
      <c r="E218" s="112"/>
      <c r="F218" s="120"/>
      <c r="G218" s="149"/>
      <c r="H218" s="3"/>
      <c r="I218" s="123"/>
      <c r="J218" s="164"/>
    </row>
    <row r="219" spans="1:10" ht="12.75">
      <c r="A219" s="155" t="s">
        <v>84</v>
      </c>
      <c r="B219" s="127"/>
      <c r="C219" s="127"/>
      <c r="D219" s="127"/>
      <c r="E219" s="112"/>
      <c r="F219" s="120"/>
      <c r="G219" s="300">
        <f>IF((G216-G217)&gt;0,G216-G217,0)</f>
        <v>0</v>
      </c>
      <c r="H219" s="3"/>
      <c r="I219" s="123"/>
      <c r="J219" s="164"/>
    </row>
    <row r="220" spans="1:10" ht="12.75">
      <c r="A220" s="155"/>
      <c r="B220" s="127"/>
      <c r="C220" s="127"/>
      <c r="D220" s="127"/>
      <c r="E220" s="112"/>
      <c r="F220" s="120"/>
      <c r="G220" s="149"/>
      <c r="H220" s="3"/>
      <c r="I220" s="123"/>
      <c r="J220" s="164"/>
    </row>
    <row r="221" spans="1:10" ht="12.75">
      <c r="A221" s="168" t="s">
        <v>522</v>
      </c>
      <c r="B221" s="127"/>
      <c r="C221" s="127"/>
      <c r="D221" s="127"/>
      <c r="E221" s="112"/>
      <c r="F221" s="120"/>
      <c r="G221" s="462">
        <f>IF((G216-G217)&gt;0,G216-G217,0)</f>
        <v>0</v>
      </c>
      <c r="H221" s="3"/>
      <c r="I221" s="123"/>
      <c r="J221" s="164"/>
    </row>
    <row r="222" spans="1:10" ht="12.75">
      <c r="A222" s="155"/>
      <c r="B222" s="127"/>
      <c r="C222" s="127"/>
      <c r="D222" s="127"/>
      <c r="E222" s="112"/>
      <c r="F222" s="120"/>
      <c r="G222" s="149"/>
      <c r="H222" s="3"/>
      <c r="I222" s="123"/>
      <c r="J222" s="164"/>
    </row>
    <row r="223" spans="1:10" ht="13.5" thickBot="1">
      <c r="A223" s="177" t="s">
        <v>223</v>
      </c>
      <c r="B223" s="178"/>
      <c r="C223" s="178"/>
      <c r="D223" s="178"/>
      <c r="E223" s="179"/>
      <c r="F223" s="180"/>
      <c r="G223" s="306">
        <f>+G211-G219</f>
        <v>3209905.5773804355</v>
      </c>
      <c r="H223" s="74"/>
      <c r="I223" s="202"/>
      <c r="J223" s="181"/>
    </row>
    <row r="224" spans="1:7" ht="12.75">
      <c r="A224" s="35"/>
      <c r="B224" s="8"/>
      <c r="C224" s="8"/>
      <c r="D224" s="8"/>
      <c r="E224" s="22"/>
      <c r="F224" s="100"/>
      <c r="G224" s="96"/>
    </row>
    <row r="225" spans="2:8" ht="12.75">
      <c r="B225" s="22"/>
      <c r="C225" s="22"/>
      <c r="D225" s="22"/>
      <c r="E225" s="22"/>
      <c r="F225" s="22"/>
      <c r="G225" s="22"/>
      <c r="H225" s="22"/>
    </row>
    <row r="226" spans="2:7" ht="12.75">
      <c r="B226" s="8"/>
      <c r="C226" s="8"/>
      <c r="D226" s="8"/>
      <c r="E226" s="22"/>
      <c r="F226" s="22"/>
      <c r="G226" s="95"/>
    </row>
    <row r="227" spans="2:7" ht="12.75">
      <c r="B227" s="8"/>
      <c r="C227" s="8"/>
      <c r="D227" s="8"/>
      <c r="E227" s="22"/>
      <c r="F227" s="100"/>
      <c r="G227" s="95"/>
    </row>
    <row r="228" spans="2:7" ht="12.75">
      <c r="B228" s="8"/>
      <c r="C228" s="8"/>
      <c r="D228" s="8"/>
      <c r="E228" s="5"/>
      <c r="F228" s="85"/>
      <c r="G228" s="97"/>
    </row>
    <row r="229" spans="2:7" ht="12.75">
      <c r="B229" s="8"/>
      <c r="C229" s="8"/>
      <c r="D229" s="8"/>
      <c r="E229" s="6"/>
      <c r="F229" s="85"/>
      <c r="G229" s="94"/>
    </row>
    <row r="230" spans="2:7" ht="12.75">
      <c r="B230" s="8"/>
      <c r="C230" s="8"/>
      <c r="D230" s="8"/>
      <c r="E230" s="5"/>
      <c r="F230" s="85"/>
      <c r="G230" s="93"/>
    </row>
    <row r="231" spans="2:7" ht="12.75">
      <c r="B231" s="8"/>
      <c r="C231" s="8"/>
      <c r="D231" s="8"/>
      <c r="E231" s="5"/>
      <c r="F231" s="85"/>
      <c r="G231" s="97"/>
    </row>
    <row r="232" spans="2:7" ht="12.75">
      <c r="B232" s="8"/>
      <c r="C232" s="8"/>
      <c r="D232" s="8"/>
      <c r="E232" s="5"/>
      <c r="F232" s="85"/>
      <c r="G232" s="93"/>
    </row>
    <row r="233" spans="6:7" ht="12.75">
      <c r="F233" s="85"/>
      <c r="G233" s="98"/>
    </row>
    <row r="234" spans="6:7" ht="12.75">
      <c r="F234" s="85"/>
      <c r="G234" s="72"/>
    </row>
    <row r="235" spans="6:7" ht="12.75">
      <c r="F235" s="85"/>
      <c r="G235" s="72"/>
    </row>
    <row r="236" spans="5:7" ht="12.75">
      <c r="E236" t="s">
        <v>102</v>
      </c>
      <c r="F236" s="85"/>
      <c r="G236" s="72"/>
    </row>
    <row r="237" spans="5:7" ht="12.75">
      <c r="E237" t="s">
        <v>102</v>
      </c>
      <c r="F237" s="85"/>
      <c r="G237" s="72"/>
    </row>
    <row r="238" spans="5:7" ht="12.75">
      <c r="E238" t="s">
        <v>102</v>
      </c>
      <c r="F238" s="85"/>
      <c r="G238" s="72"/>
    </row>
    <row r="239" spans="6:7" ht="12.75">
      <c r="F239" s="85"/>
      <c r="G239" s="72"/>
    </row>
    <row r="240" spans="6:7" ht="12.75">
      <c r="F240" s="85"/>
      <c r="G240" s="72"/>
    </row>
    <row r="241" spans="6:7" ht="12.75">
      <c r="F241" s="85"/>
      <c r="G241" s="72"/>
    </row>
    <row r="242" spans="6:7" ht="12.75">
      <c r="F242" s="85"/>
      <c r="G242" s="72"/>
    </row>
    <row r="243" spans="6:7" ht="12.75">
      <c r="F243" s="85"/>
      <c r="G243" s="72"/>
    </row>
    <row r="244" spans="6:7" ht="12.75">
      <c r="F244" s="85"/>
      <c r="G244" s="72"/>
    </row>
    <row r="245" spans="6:7" ht="12.75">
      <c r="F245" s="85"/>
      <c r="G245" s="72"/>
    </row>
    <row r="246" spans="6:7" ht="12.75">
      <c r="F246" s="85"/>
      <c r="G246" s="72"/>
    </row>
    <row r="247" spans="6:7" ht="12.75">
      <c r="F247" s="85"/>
      <c r="G247" s="72"/>
    </row>
    <row r="248" spans="6:7" ht="12.75">
      <c r="F248" s="85"/>
      <c r="G248" s="72"/>
    </row>
    <row r="249" spans="6:7" ht="12.75">
      <c r="F249" s="85"/>
      <c r="G249" s="72"/>
    </row>
    <row r="250" spans="6:7" ht="12.75">
      <c r="F250" s="85"/>
      <c r="G250" s="72"/>
    </row>
    <row r="251" spans="6:7" ht="12.75">
      <c r="F251" s="85"/>
      <c r="G251" s="72"/>
    </row>
    <row r="252" spans="6:7" ht="12.75">
      <c r="F252" s="85"/>
      <c r="G252" s="72"/>
    </row>
    <row r="253" spans="6:7" ht="12.75">
      <c r="F253" s="85"/>
      <c r="G253" s="72"/>
    </row>
    <row r="254" spans="6:7" ht="12.75">
      <c r="F254" s="85"/>
      <c r="G254" s="72"/>
    </row>
    <row r="255" spans="6:7" ht="12.75">
      <c r="F255" s="85"/>
      <c r="G255" s="72"/>
    </row>
    <row r="256" spans="6:7" ht="12.75">
      <c r="F256" s="85"/>
      <c r="G256" s="72"/>
    </row>
    <row r="257" spans="6:7" ht="12.75">
      <c r="F257" s="85"/>
      <c r="G257" s="72"/>
    </row>
    <row r="258" spans="6:7" ht="12.75">
      <c r="F258" s="85"/>
      <c r="G258" s="72"/>
    </row>
    <row r="259" spans="6:7" ht="12.75">
      <c r="F259" s="85"/>
      <c r="G259" s="72"/>
    </row>
    <row r="260" spans="6:7" ht="12.75">
      <c r="F260" s="85"/>
      <c r="G260" s="72"/>
    </row>
    <row r="261" spans="6:7" ht="12.75">
      <c r="F261" s="85"/>
      <c r="G261" s="72"/>
    </row>
    <row r="262" spans="6:7" ht="12.75">
      <c r="F262" s="85"/>
      <c r="G262" s="72"/>
    </row>
    <row r="263" spans="6:7" ht="12.75">
      <c r="F263" s="85"/>
      <c r="G263" s="72"/>
    </row>
    <row r="264" spans="6:7" ht="12.75">
      <c r="F264" s="85"/>
      <c r="G264" s="72"/>
    </row>
    <row r="265" spans="6:7" ht="12.75">
      <c r="F265" s="85"/>
      <c r="G265" s="72"/>
    </row>
  </sheetData>
  <sheetProtection/>
  <printOptions gridLines="1" headings="1"/>
  <pageMargins left="0.35433070866141736" right="0.03937007874015748" top="0.9055118110236221" bottom="0.35433070866141736" header="0.2755905511811024" footer="0"/>
  <pageSetup fitToHeight="3" horizontalDpi="600" verticalDpi="600" orientation="portrait" scale="76" r:id="rId3"/>
  <headerFooter alignWithMargins="0">
    <oddHeader>&amp;R&amp;8Horizon Utilities Corp.
Disposition of Account 1562 Deferred PILS
EB-2012-0005
Appendix C-1
Filed:  March 28, 2012&amp;10
</oddHeader>
    <oddFooter>&amp;R&amp;"Arial,Bold"&amp;9&amp;A</oddFooter>
  </headerFooter>
  <rowBreaks count="3" manualBreakCount="3">
    <brk id="97" max="7" man="1"/>
    <brk id="112" max="255" man="1"/>
    <brk id="22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33.281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/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REGINFO!G2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REGINFO!G1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176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  Horizon Utilities Corporation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 (306 days December 31st)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120</v>
      </c>
      <c r="B11" s="20"/>
      <c r="C11" s="437">
        <f>REGINFO!B6</f>
        <v>306</v>
      </c>
      <c r="D11" s="37" t="s">
        <v>125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479">
        <v>0</v>
      </c>
      <c r="D13" s="83" t="s">
        <v>184</v>
      </c>
      <c r="E13" s="25"/>
      <c r="F13" s="20"/>
      <c r="G13" s="3"/>
      <c r="H13" s="3"/>
      <c r="I13" s="3"/>
    </row>
    <row r="14" spans="1:9" ht="12.75">
      <c r="A14" s="2" t="s">
        <v>118</v>
      </c>
      <c r="B14" s="20" t="s">
        <v>64</v>
      </c>
      <c r="C14" s="8" t="s">
        <v>490</v>
      </c>
      <c r="D14" s="25"/>
      <c r="E14" s="25"/>
      <c r="F14" s="20"/>
      <c r="G14" s="3"/>
      <c r="H14" s="3"/>
      <c r="I14" s="3"/>
    </row>
    <row r="15" spans="1:9" ht="12.75">
      <c r="A15" s="2" t="s">
        <v>119</v>
      </c>
      <c r="B15" s="20" t="s">
        <v>64</v>
      </c>
      <c r="C15" s="8" t="s">
        <v>491</v>
      </c>
      <c r="D15" s="25"/>
      <c r="E15" s="25"/>
      <c r="F15" s="20"/>
      <c r="G15" s="3"/>
      <c r="H15" s="3"/>
      <c r="I15" s="3"/>
    </row>
    <row r="16" spans="1:9" ht="12.75">
      <c r="A16" s="296" t="s">
        <v>226</v>
      </c>
      <c r="B16" s="20" t="s">
        <v>64</v>
      </c>
      <c r="C16" s="8" t="s">
        <v>491</v>
      </c>
      <c r="D16" s="25"/>
      <c r="E16" s="25"/>
      <c r="F16" s="20"/>
      <c r="G16" s="3"/>
      <c r="H16" s="3"/>
      <c r="I16" s="3"/>
    </row>
    <row r="17" spans="1:6" ht="12.75">
      <c r="A17" s="2" t="s">
        <v>282</v>
      </c>
      <c r="B17" s="20" t="s">
        <v>64</v>
      </c>
      <c r="C17" s="8" t="s">
        <v>490</v>
      </c>
      <c r="E17" s="26"/>
      <c r="F17" s="8"/>
    </row>
    <row r="18" spans="1:6" ht="12.75">
      <c r="A18" s="55" t="s">
        <v>255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147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148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6" t="s">
        <v>322</v>
      </c>
      <c r="B23" s="397"/>
      <c r="C23" s="398"/>
      <c r="D23" s="399"/>
      <c r="E23" s="28"/>
      <c r="F23" s="11"/>
      <c r="G23" s="11"/>
      <c r="H23" s="6"/>
      <c r="I23" s="6"/>
    </row>
    <row r="24" spans="1:9" ht="12.75">
      <c r="A24" s="396" t="s">
        <v>256</v>
      </c>
      <c r="B24" s="397"/>
      <c r="C24" s="398"/>
      <c r="D24" s="399"/>
      <c r="E24" s="28"/>
      <c r="F24" s="11"/>
      <c r="G24" s="11"/>
      <c r="H24" s="6"/>
      <c r="I24" s="6"/>
    </row>
    <row r="25" spans="1:9" ht="12.75">
      <c r="A25" s="396" t="s">
        <v>221</v>
      </c>
      <c r="B25" s="397"/>
      <c r="C25" s="398"/>
      <c r="D25" s="399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6" t="s">
        <v>320</v>
      </c>
      <c r="B27" s="397"/>
      <c r="C27" s="398"/>
      <c r="D27" s="399"/>
      <c r="E27" s="28"/>
      <c r="F27" s="11"/>
      <c r="G27" s="11"/>
      <c r="H27" s="6"/>
      <c r="I27" s="6"/>
    </row>
    <row r="28" spans="1:9" ht="12.75">
      <c r="A28" s="396" t="s">
        <v>321</v>
      </c>
      <c r="B28" s="397"/>
      <c r="C28" s="398"/>
      <c r="D28" s="399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177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5" t="s">
        <v>271</v>
      </c>
      <c r="B31" s="23" t="s">
        <v>185</v>
      </c>
      <c r="C31" s="282"/>
      <c r="D31" s="283"/>
      <c r="E31" s="281">
        <f>C31-D31</f>
        <v>0</v>
      </c>
      <c r="F31" s="11"/>
      <c r="G31" s="11"/>
      <c r="H31" s="6"/>
      <c r="I31" s="6"/>
    </row>
    <row r="32" spans="1:9" ht="12.75">
      <c r="A32" s="4" t="s">
        <v>219</v>
      </c>
      <c r="B32" s="23" t="s">
        <v>185</v>
      </c>
      <c r="C32" s="282">
        <v>67382744</v>
      </c>
      <c r="D32" s="283"/>
      <c r="E32" s="281">
        <f>C32-D32</f>
        <v>67382744</v>
      </c>
      <c r="F32" s="11"/>
      <c r="G32" s="11"/>
      <c r="H32" s="6"/>
      <c r="I32" s="6"/>
    </row>
    <row r="33" spans="1:9" ht="12.75">
      <c r="A33" s="4" t="s">
        <v>209</v>
      </c>
      <c r="B33" s="23" t="s">
        <v>185</v>
      </c>
      <c r="C33" s="282">
        <v>13372733</v>
      </c>
      <c r="D33" s="283">
        <v>3813928</v>
      </c>
      <c r="E33" s="281">
        <f>C33-D33</f>
        <v>9558805</v>
      </c>
      <c r="F33" s="11"/>
      <c r="G33" s="11"/>
      <c r="H33" s="6"/>
      <c r="I33" s="6"/>
    </row>
    <row r="34" spans="1:9" ht="12.75">
      <c r="A34" s="4" t="s">
        <v>224</v>
      </c>
      <c r="B34" s="23" t="s">
        <v>185</v>
      </c>
      <c r="C34" s="282"/>
      <c r="D34" s="283"/>
      <c r="E34" s="281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185</v>
      </c>
      <c r="C35" s="282"/>
      <c r="D35" s="283"/>
      <c r="E35" s="281">
        <f>C35-D35</f>
        <v>0</v>
      </c>
      <c r="F35" s="11"/>
      <c r="G35" s="11"/>
      <c r="H35" s="6"/>
      <c r="I35" s="6"/>
    </row>
    <row r="36" spans="1:9" ht="12.75">
      <c r="A36" s="57" t="s">
        <v>179</v>
      </c>
      <c r="B36" s="23"/>
      <c r="C36" s="42"/>
      <c r="D36" s="42"/>
      <c r="E36" s="231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283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207</v>
      </c>
      <c r="B39" s="23" t="s">
        <v>186</v>
      </c>
      <c r="C39" s="282"/>
      <c r="D39" s="283"/>
      <c r="E39" s="281">
        <f>C39-D39</f>
        <v>0</v>
      </c>
      <c r="F39" s="11"/>
      <c r="G39" s="11"/>
      <c r="H39" s="6"/>
      <c r="I39" s="6"/>
    </row>
    <row r="40" spans="1:9" ht="12.75">
      <c r="A40" s="46" t="s">
        <v>208</v>
      </c>
      <c r="B40" s="23" t="s">
        <v>186</v>
      </c>
      <c r="C40" s="282"/>
      <c r="D40" s="283"/>
      <c r="E40" s="281">
        <f aca="true" t="shared" si="0" ref="E40:E48">C40-D40</f>
        <v>0</v>
      </c>
      <c r="F40" s="11"/>
      <c r="G40" s="478"/>
      <c r="H40" s="6"/>
      <c r="I40" s="6"/>
    </row>
    <row r="41" spans="1:9" ht="12.75">
      <c r="A41" s="4" t="s">
        <v>272</v>
      </c>
      <c r="B41" s="23" t="s">
        <v>186</v>
      </c>
      <c r="C41" s="282"/>
      <c r="D41" s="283"/>
      <c r="E41" s="281">
        <f t="shared" si="0"/>
        <v>0</v>
      </c>
      <c r="F41" s="11"/>
      <c r="G41" s="11"/>
      <c r="H41" s="6"/>
      <c r="I41" s="6"/>
    </row>
    <row r="42" spans="1:9" ht="12.75">
      <c r="A42" s="4" t="s">
        <v>273</v>
      </c>
      <c r="B42" s="23" t="s">
        <v>186</v>
      </c>
      <c r="C42" s="282">
        <v>39469278</v>
      </c>
      <c r="D42" s="283">
        <v>1958852</v>
      </c>
      <c r="E42" s="281">
        <f t="shared" si="0"/>
        <v>37510426</v>
      </c>
      <c r="F42" s="11"/>
      <c r="G42" s="11"/>
      <c r="H42" s="6"/>
      <c r="I42" s="6"/>
    </row>
    <row r="43" spans="1:9" ht="12.75">
      <c r="A43" s="4" t="s">
        <v>274</v>
      </c>
      <c r="B43" s="23" t="s">
        <v>186</v>
      </c>
      <c r="C43" s="282">
        <v>16116033</v>
      </c>
      <c r="D43" s="283">
        <v>189465</v>
      </c>
      <c r="E43" s="281">
        <f t="shared" si="0"/>
        <v>15926568</v>
      </c>
      <c r="F43" s="11"/>
      <c r="G43" s="11"/>
      <c r="H43" s="6"/>
      <c r="I43" s="6"/>
    </row>
    <row r="44" spans="1:9" ht="12.75">
      <c r="A44" s="4" t="s">
        <v>275</v>
      </c>
      <c r="B44" s="23" t="s">
        <v>186</v>
      </c>
      <c r="C44" s="282">
        <v>720256</v>
      </c>
      <c r="D44" s="283"/>
      <c r="E44" s="281">
        <f t="shared" si="0"/>
        <v>720256</v>
      </c>
      <c r="F44" s="11"/>
      <c r="G44" s="11"/>
      <c r="H44" s="6"/>
      <c r="I44" s="6"/>
    </row>
    <row r="45" spans="1:11" ht="12.75">
      <c r="A45" s="4" t="s">
        <v>475</v>
      </c>
      <c r="B45" s="23" t="s">
        <v>186</v>
      </c>
      <c r="C45" s="282"/>
      <c r="D45" s="283"/>
      <c r="E45" s="281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486</v>
      </c>
      <c r="B46" s="23" t="s">
        <v>186</v>
      </c>
      <c r="C46" s="282"/>
      <c r="D46" s="283"/>
      <c r="E46" s="281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 t="s">
        <v>492</v>
      </c>
      <c r="B47" s="23" t="s">
        <v>186</v>
      </c>
      <c r="C47" s="282">
        <v>564044</v>
      </c>
      <c r="D47" s="283"/>
      <c r="E47" s="281">
        <f t="shared" si="0"/>
        <v>564044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186</v>
      </c>
      <c r="C48" s="282"/>
      <c r="D48" s="283"/>
      <c r="E48" s="281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187</v>
      </c>
      <c r="C50" s="278">
        <f>SUM(C31:C36)-SUM(C39:C49)</f>
        <v>23885866</v>
      </c>
      <c r="D50" s="278">
        <f>SUM(D31:D36)-SUM(D39:D49)</f>
        <v>1665611</v>
      </c>
      <c r="E50" s="278">
        <f>SUM(E31:E35)-SUM(E39:E48)</f>
        <v>22220255</v>
      </c>
      <c r="F50" s="11"/>
      <c r="G50" s="11"/>
      <c r="H50" s="6"/>
      <c r="I50" s="6"/>
    </row>
    <row r="51" spans="1:9" ht="12.75">
      <c r="A51" s="4" t="s">
        <v>91</v>
      </c>
      <c r="B51" s="23" t="s">
        <v>186</v>
      </c>
      <c r="C51" s="282">
        <v>7577785</v>
      </c>
      <c r="D51" s="282">
        <v>27000</v>
      </c>
      <c r="E51" s="279">
        <f>+C51-D51</f>
        <v>7550785</v>
      </c>
      <c r="F51" s="11"/>
      <c r="G51" s="11"/>
      <c r="H51" s="6"/>
      <c r="I51" s="6"/>
    </row>
    <row r="52" spans="1:7" ht="12.75">
      <c r="A52" t="s">
        <v>180</v>
      </c>
      <c r="B52" s="8" t="s">
        <v>186</v>
      </c>
      <c r="C52" s="282">
        <v>5367997</v>
      </c>
      <c r="D52" s="282">
        <v>591866</v>
      </c>
      <c r="E52" s="280">
        <f>+C52-D52</f>
        <v>4776131</v>
      </c>
      <c r="F52" s="8"/>
      <c r="G52" s="410" t="s">
        <v>470</v>
      </c>
    </row>
    <row r="53" spans="1:6" ht="12.75">
      <c r="A53" s="2" t="s">
        <v>129</v>
      </c>
      <c r="B53" s="8" t="s">
        <v>187</v>
      </c>
      <c r="C53" s="278">
        <f>C50-C51-C52</f>
        <v>10940084</v>
      </c>
      <c r="D53" s="278">
        <f>D50-D51-D52</f>
        <v>1046745</v>
      </c>
      <c r="E53" s="278">
        <f>E50-E51-E52</f>
        <v>9893339</v>
      </c>
      <c r="F53" s="8"/>
    </row>
    <row r="54" spans="1:6" ht="36">
      <c r="A54" s="87" t="s">
        <v>212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175</v>
      </c>
      <c r="B56" s="8"/>
      <c r="C56" s="29"/>
      <c r="D56" s="29"/>
      <c r="E56" s="29"/>
      <c r="F56" s="8"/>
    </row>
    <row r="57" spans="1:6" ht="12.75">
      <c r="A57" s="15" t="s">
        <v>163</v>
      </c>
      <c r="B57" s="8"/>
      <c r="C57" s="29"/>
      <c r="D57" s="29"/>
      <c r="E57" s="29"/>
      <c r="F57" s="8"/>
    </row>
    <row r="58" spans="1:6" ht="12.75">
      <c r="A58" s="2" t="s">
        <v>164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185</v>
      </c>
      <c r="C59" s="284">
        <f>C52</f>
        <v>5367997</v>
      </c>
      <c r="D59" s="284">
        <f>D52</f>
        <v>591866</v>
      </c>
      <c r="E59" s="269">
        <f>+C59-D59</f>
        <v>4776131</v>
      </c>
      <c r="F59" s="8"/>
      <c r="G59" s="410" t="s">
        <v>470</v>
      </c>
    </row>
    <row r="60" spans="1:6" ht="12.75">
      <c r="A60" s="4" t="s">
        <v>323</v>
      </c>
      <c r="B60" s="8" t="s">
        <v>185</v>
      </c>
      <c r="C60" s="315">
        <v>0</v>
      </c>
      <c r="D60" s="315"/>
      <c r="E60" s="269">
        <f>+C60-D60</f>
        <v>0</v>
      </c>
      <c r="F60" s="8"/>
    </row>
    <row r="61" spans="1:7" ht="12.75">
      <c r="A61" t="s">
        <v>4</v>
      </c>
      <c r="B61" s="8" t="s">
        <v>185</v>
      </c>
      <c r="C61" s="284">
        <f>16545006</f>
        <v>16545006</v>
      </c>
      <c r="D61" s="284">
        <f>D43</f>
        <v>189465</v>
      </c>
      <c r="E61" s="269">
        <f>+C61-D61</f>
        <v>16355541</v>
      </c>
      <c r="F61" s="8"/>
      <c r="G61" s="410"/>
    </row>
    <row r="62" spans="1:6" ht="12.75">
      <c r="A62" t="s">
        <v>6</v>
      </c>
      <c r="B62" s="8" t="s">
        <v>185</v>
      </c>
      <c r="C62" s="315">
        <f>1182833+17618+107726</f>
        <v>1308177</v>
      </c>
      <c r="D62" s="284">
        <f>9665+13834</f>
        <v>23499</v>
      </c>
      <c r="E62" s="269">
        <f>+C62-D62</f>
        <v>1284678</v>
      </c>
      <c r="F62" s="8"/>
    </row>
    <row r="63" spans="1:6" ht="12.75">
      <c r="A63" s="31" t="s">
        <v>276</v>
      </c>
      <c r="B63" s="8" t="s">
        <v>185</v>
      </c>
      <c r="C63" s="313">
        <f>'Tax Reserves'!C22</f>
        <v>350000</v>
      </c>
      <c r="D63" s="314">
        <f>'Tax Reserves'!D22</f>
        <v>0</v>
      </c>
      <c r="E63" s="269">
        <f>C63-D63</f>
        <v>350000</v>
      </c>
      <c r="F63" s="8"/>
    </row>
    <row r="64" spans="1:6" ht="12.75">
      <c r="A64" s="4" t="s">
        <v>52</v>
      </c>
      <c r="B64" s="8" t="s">
        <v>185</v>
      </c>
      <c r="C64" s="313">
        <f>'Tax Reserves'!C63</f>
        <v>1472655</v>
      </c>
      <c r="D64" s="314">
        <f>'Tax Reserves'!D63</f>
        <v>0</v>
      </c>
      <c r="E64" s="269">
        <f>+C64-D64</f>
        <v>1472655</v>
      </c>
      <c r="F64" s="8"/>
    </row>
    <row r="65" spans="1:6" ht="12.75">
      <c r="A65" t="s">
        <v>439</v>
      </c>
      <c r="B65" s="8" t="s">
        <v>185</v>
      </c>
      <c r="C65" s="283"/>
      <c r="D65" s="283"/>
      <c r="E65" s="269">
        <f>+C65-D65</f>
        <v>0</v>
      </c>
      <c r="F65" s="8"/>
    </row>
    <row r="66" spans="1:6" ht="15">
      <c r="A66" s="458" t="s">
        <v>390</v>
      </c>
      <c r="B66" s="8"/>
      <c r="C66" s="438">
        <f>'TAXREC 3 No True-up'!C47</f>
        <v>1845693</v>
      </c>
      <c r="D66" s="438">
        <f>'TAXREC 3 No True-up'!D47</f>
        <v>0</v>
      </c>
      <c r="E66" s="269">
        <f>+C66-D66</f>
        <v>1845693</v>
      </c>
      <c r="F66" s="8"/>
    </row>
    <row r="67" spans="1:6" ht="12.75">
      <c r="A67" t="s">
        <v>158</v>
      </c>
      <c r="B67" s="8" t="s">
        <v>185</v>
      </c>
      <c r="C67" s="248">
        <f>'TAXREC 2'!C77</f>
        <v>335815</v>
      </c>
      <c r="D67" s="248">
        <f>'TAXREC 2'!D77</f>
        <v>0</v>
      </c>
      <c r="E67" s="269">
        <f>+C67-D67</f>
        <v>335815</v>
      </c>
      <c r="F67" s="8"/>
    </row>
    <row r="68" spans="1:11" ht="12.75">
      <c r="A68" t="s">
        <v>159</v>
      </c>
      <c r="B68" s="8" t="s">
        <v>185</v>
      </c>
      <c r="C68" s="248">
        <f>'TAXREC 2'!C78</f>
        <v>0</v>
      </c>
      <c r="D68" s="248">
        <f>'TAXREC 2'!D78</f>
        <v>0</v>
      </c>
      <c r="E68" s="269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4"/>
      <c r="F69" s="8"/>
      <c r="G69" s="45"/>
      <c r="H69" s="45"/>
      <c r="I69" s="23"/>
      <c r="J69" s="23"/>
      <c r="K69" s="75"/>
    </row>
    <row r="70" spans="1:11" ht="12.75">
      <c r="A70" s="10" t="s">
        <v>105</v>
      </c>
      <c r="B70" s="8"/>
      <c r="C70" s="269">
        <f>SUM(C59:C68)</f>
        <v>27225343</v>
      </c>
      <c r="D70" s="269">
        <f>SUM(D59:D68)</f>
        <v>804830</v>
      </c>
      <c r="E70" s="269">
        <f>SUM(E59:E68)</f>
        <v>26420513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185</v>
      </c>
      <c r="C73" s="291"/>
      <c r="D73" s="291"/>
      <c r="E73" s="269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146</v>
      </c>
      <c r="B74" s="8" t="s">
        <v>185</v>
      </c>
      <c r="C74" s="291"/>
      <c r="D74" s="291"/>
      <c r="E74" s="269">
        <f t="shared" si="1"/>
        <v>0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185</v>
      </c>
      <c r="C75" s="291"/>
      <c r="D75" s="291"/>
      <c r="E75" s="269">
        <f t="shared" si="1"/>
        <v>0</v>
      </c>
      <c r="F75" s="8"/>
      <c r="G75" s="76"/>
      <c r="H75" s="77"/>
      <c r="I75" s="78"/>
      <c r="J75" s="77"/>
      <c r="K75" s="77"/>
    </row>
    <row r="76" spans="1:11" ht="12.75">
      <c r="A76" s="65"/>
      <c r="B76" s="8" t="s">
        <v>185</v>
      </c>
      <c r="C76" s="474">
        <v>0</v>
      </c>
      <c r="D76" s="291"/>
      <c r="E76" s="470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185</v>
      </c>
      <c r="C77" s="291"/>
      <c r="D77" s="291"/>
      <c r="E77" s="269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185</v>
      </c>
      <c r="C78" s="291"/>
      <c r="D78" s="291"/>
      <c r="E78" s="269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185</v>
      </c>
      <c r="C79" s="291"/>
      <c r="D79" s="291"/>
      <c r="E79" s="269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187</v>
      </c>
      <c r="C80" s="248">
        <f>SUM(C73:C79)</f>
        <v>0</v>
      </c>
      <c r="D80" s="248">
        <f>SUM(D73:D79)</f>
        <v>0</v>
      </c>
      <c r="E80" s="248">
        <f>SUM(E73:E79)</f>
        <v>0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187</v>
      </c>
      <c r="C82" s="248">
        <f>C70+C80</f>
        <v>27225343</v>
      </c>
      <c r="D82" s="248">
        <f>D70+D80</f>
        <v>804830</v>
      </c>
      <c r="E82" s="248">
        <f>E70+E80</f>
        <v>26420513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77" t="s">
        <v>173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5" t="str">
        <f aca="true" t="shared" si="2" ref="A85:A91">IF($E73&gt;$C$13,A73," ")</f>
        <v> </v>
      </c>
      <c r="B85" s="270"/>
      <c r="C85" s="287">
        <f aca="true" t="shared" si="3" ref="C85:E89">IF($E73&gt;$C$13,C73,)</f>
        <v>0</v>
      </c>
      <c r="D85" s="287">
        <f t="shared" si="3"/>
        <v>0</v>
      </c>
      <c r="E85" s="287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5" t="str">
        <f t="shared" si="2"/>
        <v> </v>
      </c>
      <c r="B86" s="270"/>
      <c r="C86" s="287">
        <f t="shared" si="3"/>
        <v>0</v>
      </c>
      <c r="D86" s="287">
        <f t="shared" si="3"/>
        <v>0</v>
      </c>
      <c r="E86" s="287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5" t="str">
        <f t="shared" si="2"/>
        <v> </v>
      </c>
      <c r="B87" s="270"/>
      <c r="C87" s="287">
        <f t="shared" si="3"/>
        <v>0</v>
      </c>
      <c r="D87" s="287">
        <f t="shared" si="3"/>
        <v>0</v>
      </c>
      <c r="E87" s="287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5" t="str">
        <f t="shared" si="2"/>
        <v> </v>
      </c>
      <c r="B88" s="270"/>
      <c r="C88" s="287">
        <f t="shared" si="3"/>
        <v>0</v>
      </c>
      <c r="D88" s="287">
        <f t="shared" si="3"/>
        <v>0</v>
      </c>
      <c r="E88" s="287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5" t="str">
        <f t="shared" si="2"/>
        <v> </v>
      </c>
      <c r="B89" s="270"/>
      <c r="C89" s="287">
        <f t="shared" si="3"/>
        <v>0</v>
      </c>
      <c r="D89" s="287">
        <f t="shared" si="3"/>
        <v>0</v>
      </c>
      <c r="E89" s="287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5" t="str">
        <f t="shared" si="2"/>
        <v> </v>
      </c>
      <c r="B90" s="270"/>
      <c r="C90" s="287">
        <f aca="true" t="shared" si="4" ref="C90:E91">IF($E78&gt;$C$13,C78,)</f>
        <v>0</v>
      </c>
      <c r="D90" s="287">
        <f t="shared" si="4"/>
        <v>0</v>
      </c>
      <c r="E90" s="287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5" t="str">
        <f t="shared" si="2"/>
        <v> </v>
      </c>
      <c r="B91" s="270"/>
      <c r="C91" s="287">
        <f t="shared" si="4"/>
        <v>0</v>
      </c>
      <c r="D91" s="287">
        <f t="shared" si="4"/>
        <v>0</v>
      </c>
      <c r="E91" s="287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6" t="s">
        <v>149</v>
      </c>
      <c r="B92" s="270"/>
      <c r="C92" s="276">
        <f>SUM(C85:C91)</f>
        <v>0</v>
      </c>
      <c r="D92" s="276">
        <f>SUM(D85:D91)</f>
        <v>0</v>
      </c>
      <c r="E92" s="276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0" t="s">
        <v>427</v>
      </c>
      <c r="B93" s="270"/>
      <c r="C93" s="248">
        <f>C80-C92</f>
        <v>0</v>
      </c>
      <c r="D93" s="248">
        <f>D80-D92</f>
        <v>0</v>
      </c>
      <c r="E93" s="248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0" t="s">
        <v>195</v>
      </c>
      <c r="B94" s="270"/>
      <c r="C94" s="248">
        <f>C92+C93</f>
        <v>0</v>
      </c>
      <c r="D94" s="248">
        <f>D92+D93</f>
        <v>0</v>
      </c>
      <c r="E94" s="248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186</v>
      </c>
      <c r="C97" s="291">
        <v>14734806</v>
      </c>
      <c r="D97" s="291">
        <v>189465</v>
      </c>
      <c r="E97" s="269">
        <f>+C97-D97</f>
        <v>14545341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186</v>
      </c>
      <c r="C98" s="291">
        <v>937849</v>
      </c>
      <c r="D98" s="291"/>
      <c r="E98" s="269">
        <f>+C98-D98</f>
        <v>937849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186</v>
      </c>
      <c r="C99" s="291">
        <f>900801+7924</f>
        <v>908725</v>
      </c>
      <c r="D99" s="291"/>
      <c r="E99" s="269">
        <f>+C99-D99</f>
        <v>908725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186</v>
      </c>
      <c r="C100" s="291"/>
      <c r="D100" s="291"/>
      <c r="E100" s="269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186</v>
      </c>
      <c r="C101" s="291"/>
      <c r="D101" s="291"/>
      <c r="E101" s="284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186</v>
      </c>
      <c r="C102" s="291"/>
      <c r="D102" s="291"/>
      <c r="E102" s="269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186</v>
      </c>
      <c r="C103" s="291"/>
      <c r="D103" s="291"/>
      <c r="E103" s="280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259</v>
      </c>
      <c r="B104" s="8" t="s">
        <v>186</v>
      </c>
      <c r="C104" s="316">
        <f>'Tax Reserves'!C35</f>
        <v>350000</v>
      </c>
      <c r="D104" s="316">
        <f>'Tax Reserves'!D35</f>
        <v>0</v>
      </c>
      <c r="E104" s="269">
        <f t="shared" si="5"/>
        <v>350000</v>
      </c>
      <c r="F104" s="8"/>
      <c r="G104" s="45"/>
      <c r="H104" s="45"/>
      <c r="I104" s="45"/>
      <c r="J104" s="45"/>
      <c r="K104" s="45"/>
    </row>
    <row r="105" spans="1:11" ht="12.75">
      <c r="A105" s="10" t="s">
        <v>277</v>
      </c>
      <c r="B105" s="8" t="s">
        <v>186</v>
      </c>
      <c r="C105" s="316">
        <f>'Tax Reserves'!C50</f>
        <v>1040150</v>
      </c>
      <c r="D105" s="316">
        <f>'Tax Reserves'!D50</f>
        <v>0</v>
      </c>
      <c r="E105" s="279">
        <f t="shared" si="5"/>
        <v>1040150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186</v>
      </c>
      <c r="C106" s="291"/>
      <c r="D106" s="291"/>
      <c r="E106" s="269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186</v>
      </c>
      <c r="C107" s="291"/>
      <c r="D107" s="291"/>
      <c r="E107" s="269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8" t="s">
        <v>390</v>
      </c>
      <c r="B108" s="8"/>
      <c r="C108" s="251">
        <f>'TAXREC 3 No True-up'!C73</f>
        <v>109257</v>
      </c>
      <c r="D108" s="251">
        <f>'TAXREC 3 No True-up'!D73</f>
        <v>0</v>
      </c>
      <c r="E108" s="269">
        <f t="shared" si="5"/>
        <v>109257</v>
      </c>
      <c r="F108" s="8"/>
      <c r="G108" s="45"/>
      <c r="H108" s="45"/>
      <c r="I108" s="45"/>
      <c r="J108" s="45"/>
      <c r="K108" s="45"/>
    </row>
    <row r="109" spans="1:11" ht="12.75">
      <c r="A109" s="31" t="s">
        <v>181</v>
      </c>
      <c r="B109" s="8" t="s">
        <v>186</v>
      </c>
      <c r="C109" s="291"/>
      <c r="D109" s="291"/>
      <c r="E109" s="280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160</v>
      </c>
      <c r="B110" s="8" t="s">
        <v>186</v>
      </c>
      <c r="C110" s="248">
        <f>'TAXREC 2'!C119</f>
        <v>0</v>
      </c>
      <c r="D110" s="248">
        <f>'TAXREC 2'!D119</f>
        <v>0</v>
      </c>
      <c r="E110" s="248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161</v>
      </c>
      <c r="B111" s="8" t="s">
        <v>186</v>
      </c>
      <c r="C111" s="248">
        <f>'TAXREC 2'!C120</f>
        <v>0</v>
      </c>
      <c r="D111" s="248">
        <f>'TAXREC 2'!D120</f>
        <v>0</v>
      </c>
      <c r="E111" s="248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3"/>
      <c r="F112" s="8"/>
      <c r="G112" s="45"/>
      <c r="H112" s="45"/>
      <c r="I112" s="23"/>
      <c r="J112" s="45"/>
      <c r="K112" s="75"/>
    </row>
    <row r="113" spans="1:11" ht="12.75">
      <c r="A113" s="4" t="s">
        <v>162</v>
      </c>
      <c r="B113" s="8" t="s">
        <v>187</v>
      </c>
      <c r="C113" s="248">
        <f>SUM(C97:C111)</f>
        <v>18080787</v>
      </c>
      <c r="D113" s="248">
        <f>SUM(D97:D111)</f>
        <v>189465</v>
      </c>
      <c r="E113" s="248">
        <f>SUM(E97:E111)</f>
        <v>17891322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186</v>
      </c>
      <c r="C115" s="291">
        <v>14600</v>
      </c>
      <c r="D115" s="291"/>
      <c r="E115" s="269">
        <f>+C115-D115</f>
        <v>14600</v>
      </c>
      <c r="F115" s="8"/>
      <c r="G115" s="76"/>
      <c r="H115" s="77"/>
      <c r="I115" s="78"/>
      <c r="J115" s="78"/>
      <c r="K115" s="78"/>
    </row>
    <row r="116" spans="1:11" ht="12.75">
      <c r="A116" s="68" t="s">
        <v>220</v>
      </c>
      <c r="B116" s="8" t="s">
        <v>186</v>
      </c>
      <c r="C116" s="291"/>
      <c r="D116" s="291"/>
      <c r="E116" s="269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186</v>
      </c>
      <c r="C117" s="291"/>
      <c r="D117" s="291"/>
      <c r="E117" s="269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1"/>
      <c r="D118" s="291"/>
      <c r="E118" s="269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186</v>
      </c>
      <c r="C119" s="291"/>
      <c r="D119" s="291"/>
      <c r="E119" s="269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187</v>
      </c>
      <c r="C120" s="248">
        <f>SUM(C114:C119)</f>
        <v>14600</v>
      </c>
      <c r="D120" s="248">
        <f>SUM(D114:D119)</f>
        <v>0</v>
      </c>
      <c r="E120" s="248">
        <f>SUM(E114:E119)</f>
        <v>14600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187</v>
      </c>
      <c r="C122" s="248">
        <f>C113+C120</f>
        <v>18095387</v>
      </c>
      <c r="D122" s="248">
        <f>D113+D120</f>
        <v>189465</v>
      </c>
      <c r="E122" s="248">
        <f>+E113+E120</f>
        <v>17905922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8" t="s">
        <v>174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5" t="str">
        <f>IF($E115&gt;$C$13,A115," ")</f>
        <v>Charitable donations - tax basis</v>
      </c>
      <c r="B125" s="270"/>
      <c r="C125" s="287">
        <f aca="true" t="shared" si="6" ref="C125:E129">IF($E115&gt;$C$13,C115,)</f>
        <v>14600</v>
      </c>
      <c r="D125" s="287">
        <f>IF($E115&gt;$C$13,D115,)</f>
        <v>0</v>
      </c>
      <c r="E125" s="287">
        <f>IF($E115&gt;$C$13,E115,)</f>
        <v>14600</v>
      </c>
      <c r="F125" s="8"/>
      <c r="G125" s="45"/>
      <c r="H125" s="45"/>
      <c r="I125" s="45"/>
      <c r="J125" s="45"/>
      <c r="K125" s="45"/>
    </row>
    <row r="126" spans="1:11" ht="12.75">
      <c r="A126" s="285" t="str">
        <f>IF($E116&gt;$C$13,A116," ")</f>
        <v> </v>
      </c>
      <c r="B126" s="270"/>
      <c r="C126" s="287">
        <f t="shared" si="6"/>
        <v>0</v>
      </c>
      <c r="D126" s="287">
        <f>IF($E116&gt;$C$13,D116,)</f>
        <v>0</v>
      </c>
      <c r="E126" s="287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5" t="str">
        <f>IF($E117&gt;$C$13,A117," ")</f>
        <v> </v>
      </c>
      <c r="B127" s="270"/>
      <c r="C127" s="287">
        <f t="shared" si="6"/>
        <v>0</v>
      </c>
      <c r="D127" s="287">
        <f t="shared" si="6"/>
        <v>0</v>
      </c>
      <c r="E127" s="287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5"/>
      <c r="B128" s="270"/>
      <c r="C128" s="287">
        <f t="shared" si="6"/>
        <v>0</v>
      </c>
      <c r="D128" s="287">
        <f t="shared" si="6"/>
        <v>0</v>
      </c>
      <c r="E128" s="287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5" t="str">
        <f>IF($E119&gt;$C$13,A119," ")</f>
        <v> </v>
      </c>
      <c r="B129" s="270"/>
      <c r="C129" s="287">
        <f t="shared" si="6"/>
        <v>0</v>
      </c>
      <c r="D129" s="287">
        <f t="shared" si="6"/>
        <v>0</v>
      </c>
      <c r="E129" s="287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6" t="s">
        <v>197</v>
      </c>
      <c r="B130" s="270"/>
      <c r="C130" s="248">
        <f>SUM(C125:C129)</f>
        <v>14600</v>
      </c>
      <c r="D130" s="248">
        <f>SUM(D125:D129)</f>
        <v>0</v>
      </c>
      <c r="E130" s="248">
        <f>SUM(E125:E129)</f>
        <v>14600</v>
      </c>
      <c r="F130" s="8"/>
      <c r="G130" s="45"/>
      <c r="H130" s="45"/>
      <c r="I130" s="45"/>
      <c r="J130" s="45"/>
      <c r="K130" s="45"/>
    </row>
    <row r="131" spans="1:11" ht="12.75">
      <c r="A131" s="270" t="s">
        <v>198</v>
      </c>
      <c r="B131" s="270"/>
      <c r="C131" s="248">
        <f>C120-C130</f>
        <v>0</v>
      </c>
      <c r="D131" s="248">
        <f>D120-D130</f>
        <v>0</v>
      </c>
      <c r="E131" s="248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0" t="s">
        <v>196</v>
      </c>
      <c r="B132" s="270"/>
      <c r="C132" s="248">
        <f>C130+C131</f>
        <v>14600</v>
      </c>
      <c r="D132" s="248">
        <f>D130+D131</f>
        <v>0</v>
      </c>
      <c r="E132" s="248">
        <f>E130+E131</f>
        <v>14600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187</v>
      </c>
      <c r="C134" s="248">
        <f>+C53+C82-C122</f>
        <v>20070040</v>
      </c>
      <c r="D134" s="248">
        <f>D53+D82-D122</f>
        <v>1662110</v>
      </c>
      <c r="E134" s="248">
        <f>E53+E82-E122</f>
        <v>18407930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370</v>
      </c>
      <c r="B136" s="8" t="s">
        <v>186</v>
      </c>
      <c r="C136" s="291">
        <v>0</v>
      </c>
      <c r="D136" s="291"/>
      <c r="E136" s="261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371</v>
      </c>
      <c r="B137" s="8" t="s">
        <v>186</v>
      </c>
      <c r="C137" s="307"/>
      <c r="D137" s="307"/>
      <c r="E137" s="391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7"/>
      <c r="D138" s="307"/>
      <c r="E138" s="391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187</v>
      </c>
      <c r="C139" s="249">
        <f>C134-C136-C137-C138</f>
        <v>20070040</v>
      </c>
      <c r="D139" s="249">
        <f>D134-D136-D137-D138</f>
        <v>1662110</v>
      </c>
      <c r="E139" s="249">
        <f>E134-E136-E137-E138</f>
        <v>18407930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17" t="s">
        <v>303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319</v>
      </c>
      <c r="B142" s="8" t="s">
        <v>185</v>
      </c>
      <c r="C142" s="295">
        <v>4446686</v>
      </c>
      <c r="D142" s="295">
        <f>D139*C149</f>
        <v>368254.436336948</v>
      </c>
      <c r="E142" s="249">
        <f>C142-D142</f>
        <v>4078431.563663052</v>
      </c>
      <c r="F142" s="8"/>
      <c r="G142" s="45"/>
      <c r="H142" s="45"/>
      <c r="I142" s="45"/>
      <c r="J142" s="45"/>
      <c r="K142" s="45"/>
    </row>
    <row r="143" spans="1:11" ht="12.75">
      <c r="A143" s="46" t="s">
        <v>318</v>
      </c>
      <c r="B143" s="8" t="s">
        <v>185</v>
      </c>
      <c r="C143" s="295">
        <f>2787293-22513</f>
        <v>2764780</v>
      </c>
      <c r="D143" s="295">
        <f>D139*C150</f>
        <v>228966.58331523003</v>
      </c>
      <c r="E143" s="289">
        <f>C143-D143</f>
        <v>2535813.41668477</v>
      </c>
      <c r="F143" s="8"/>
      <c r="G143" s="45"/>
      <c r="H143" s="45"/>
      <c r="I143" s="45"/>
      <c r="J143" s="45"/>
      <c r="K143" s="45"/>
    </row>
    <row r="144" spans="1:11" ht="12.75">
      <c r="A144" s="46" t="s">
        <v>171</v>
      </c>
      <c r="B144" s="8" t="s">
        <v>187</v>
      </c>
      <c r="C144" s="249">
        <f>C142+C143</f>
        <v>7211466</v>
      </c>
      <c r="D144" s="249">
        <f>D142+D143</f>
        <v>597221.019652178</v>
      </c>
      <c r="E144" s="249">
        <f>E142+E143</f>
        <v>6614244.9803478215</v>
      </c>
      <c r="F144" s="8"/>
      <c r="G144" s="45"/>
      <c r="H144" s="45"/>
      <c r="I144" s="45"/>
      <c r="J144" s="45"/>
      <c r="K144" s="45"/>
    </row>
    <row r="145" spans="1:11" ht="12.75">
      <c r="A145" s="46" t="s">
        <v>330</v>
      </c>
      <c r="B145" s="8" t="s">
        <v>186</v>
      </c>
      <c r="C145" s="295">
        <v>22513</v>
      </c>
      <c r="D145" s="295"/>
      <c r="E145" s="290">
        <f>C145-D145</f>
        <v>22513</v>
      </c>
      <c r="F145" s="8"/>
      <c r="G145" s="45"/>
      <c r="H145" s="45"/>
      <c r="I145" s="45"/>
      <c r="J145" s="45"/>
      <c r="K145" s="45"/>
    </row>
    <row r="146" spans="1:11" ht="12.75">
      <c r="A146" s="317" t="s">
        <v>99</v>
      </c>
      <c r="B146" s="8" t="s">
        <v>187</v>
      </c>
      <c r="C146" s="249">
        <f>C144-C145</f>
        <v>7188953</v>
      </c>
      <c r="D146" s="249">
        <f>D144-D145</f>
        <v>597221.019652178</v>
      </c>
      <c r="E146" s="249">
        <f>E144-E145</f>
        <v>6591731.9803478215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7" t="s">
        <v>303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325</v>
      </c>
      <c r="B149" s="8"/>
      <c r="C149" s="400">
        <f>C142/C139</f>
        <v>0.22155840247453418</v>
      </c>
      <c r="D149" s="5"/>
      <c r="E149" s="401">
        <f>C149</f>
        <v>0.22155840247453418</v>
      </c>
      <c r="F149" s="8"/>
      <c r="G149" s="475" t="s">
        <v>463</v>
      </c>
      <c r="H149" s="45"/>
      <c r="I149" s="45"/>
      <c r="J149" s="45"/>
      <c r="K149" s="45"/>
    </row>
    <row r="150" spans="1:11" ht="12.75">
      <c r="A150" s="46" t="s">
        <v>326</v>
      </c>
      <c r="B150" s="8"/>
      <c r="C150" s="400">
        <f>C143/C139</f>
        <v>0.13775657646920483</v>
      </c>
      <c r="D150" s="5"/>
      <c r="E150" s="401">
        <f>C150</f>
        <v>0.13775657646920483</v>
      </c>
      <c r="F150" s="8"/>
      <c r="G150" s="475" t="s">
        <v>464</v>
      </c>
      <c r="H150" s="45"/>
      <c r="I150" s="45"/>
      <c r="J150" s="45"/>
      <c r="K150" s="45"/>
    </row>
    <row r="151" spans="1:11" ht="12.75">
      <c r="A151" t="s">
        <v>327</v>
      </c>
      <c r="B151" s="8"/>
      <c r="C151" s="401">
        <f>SUM(C149:C150)</f>
        <v>0.359314978943739</v>
      </c>
      <c r="D151" s="5"/>
      <c r="E151" s="401">
        <f>SUM(E149:E150)</f>
        <v>0.359314978943739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351</v>
      </c>
      <c r="B153" s="8"/>
    </row>
    <row r="154" spans="1:2" ht="12.75">
      <c r="A154" s="14"/>
      <c r="B154" s="8"/>
    </row>
    <row r="155" spans="1:2" ht="12.75">
      <c r="A155" s="2" t="s">
        <v>469</v>
      </c>
      <c r="B155" s="8"/>
    </row>
    <row r="156" spans="1:5" ht="12.75">
      <c r="A156" t="s">
        <v>217</v>
      </c>
      <c r="B156" s="86" t="s">
        <v>185</v>
      </c>
      <c r="C156" s="248">
        <f>C146</f>
        <v>7188953</v>
      </c>
      <c r="D156" s="248">
        <f>D146</f>
        <v>597221.019652178</v>
      </c>
      <c r="E156" s="248">
        <f>E146</f>
        <v>6591731.9803478215</v>
      </c>
    </row>
    <row r="157" spans="1:5" ht="12.75">
      <c r="A157" t="s">
        <v>20</v>
      </c>
      <c r="B157" s="86" t="s">
        <v>185</v>
      </c>
      <c r="C157" s="471">
        <v>722661</v>
      </c>
      <c r="D157" s="248">
        <v>-10346</v>
      </c>
      <c r="E157" s="248">
        <f>C157+D157</f>
        <v>712315</v>
      </c>
    </row>
    <row r="158" spans="1:5" ht="12.75">
      <c r="A158" t="s">
        <v>216</v>
      </c>
      <c r="B158" s="86" t="s">
        <v>185</v>
      </c>
      <c r="C158" s="471">
        <v>129630</v>
      </c>
      <c r="D158" s="248">
        <v>0</v>
      </c>
      <c r="E158" s="248">
        <f>C158+D158</f>
        <v>129630</v>
      </c>
    </row>
    <row r="159" ht="12.75">
      <c r="B159" s="8"/>
    </row>
    <row r="160" spans="1:5" ht="12.75">
      <c r="A160" s="2" t="s">
        <v>300</v>
      </c>
      <c r="B160" s="66" t="s">
        <v>187</v>
      </c>
      <c r="C160" s="248">
        <f>C156+C157+C158</f>
        <v>8041244</v>
      </c>
      <c r="D160" s="248">
        <f>D156+D157+D158</f>
        <v>586875.019652178</v>
      </c>
      <c r="E160" s="248">
        <f>E156+E157+E158</f>
        <v>7433676.9803478215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/>
  <pageMargins left="0.35433070866141736" right="0.03937007874015748" top="0.9055118110236221" bottom="0.35433070866141736" header="0.2755905511811024" footer="0"/>
  <pageSetup fitToHeight="2" horizontalDpi="600" verticalDpi="600" orientation="portrait" scale="76" r:id="rId3"/>
  <headerFooter alignWithMargins="0">
    <oddHeader>&amp;R&amp;8Horizon Utilities Corp.
Disposition of Account 1562 Deferred PILS
EB-2012-0005
Appendix C-1
Filed:  March 28, 2012&amp;10
</oddHeader>
    <oddFooter>&amp;R&amp;"Arial,Bold"&amp;9&amp;A</oddFooter>
  </headerFooter>
  <rowBreaks count="1" manualBreakCount="1">
    <brk id="95" max="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298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299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REGINFO!G2</f>
        <v>0</v>
      </c>
      <c r="B5" s="8"/>
      <c r="C5" s="8"/>
      <c r="D5" s="8"/>
      <c r="E5" s="92" t="str">
        <f>REGINFO!G1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  Horizon Utilities Corporation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 (306 days December 31st)</v>
      </c>
      <c r="B8" s="20"/>
      <c r="C8" s="25"/>
      <c r="D8" s="25"/>
      <c r="E8" s="25"/>
      <c r="F8" s="20"/>
    </row>
    <row r="10" ht="12.75">
      <c r="A10" s="2" t="s">
        <v>128</v>
      </c>
    </row>
    <row r="11" ht="12.75">
      <c r="A11" s="2"/>
    </row>
    <row r="12" spans="1:5" ht="12.75">
      <c r="A12" s="244" t="s">
        <v>270</v>
      </c>
      <c r="B12" s="61"/>
      <c r="C12" s="308"/>
      <c r="D12" s="308"/>
      <c r="E12" s="61"/>
    </row>
    <row r="13" spans="1:5" ht="12.75">
      <c r="A13" s="61"/>
      <c r="B13" s="61"/>
      <c r="C13" s="291"/>
      <c r="D13" s="291"/>
      <c r="E13" s="248">
        <f>C13-D13</f>
        <v>0</v>
      </c>
    </row>
    <row r="14" spans="1:5" ht="12.75">
      <c r="A14" s="61" t="s">
        <v>278</v>
      </c>
      <c r="B14" s="61"/>
      <c r="C14" s="291">
        <v>350000</v>
      </c>
      <c r="D14" s="291"/>
      <c r="E14" s="248">
        <f aca="true" t="shared" si="0" ref="E14:E21">C14-D14</f>
        <v>350000</v>
      </c>
    </row>
    <row r="15" spans="1:5" ht="12.75">
      <c r="A15" s="61" t="s">
        <v>279</v>
      </c>
      <c r="B15" s="61"/>
      <c r="C15" s="291"/>
      <c r="D15" s="291"/>
      <c r="E15" s="248">
        <f t="shared" si="0"/>
        <v>0</v>
      </c>
    </row>
    <row r="16" spans="1:5" ht="12.75">
      <c r="A16" s="61" t="s">
        <v>280</v>
      </c>
      <c r="B16" s="61"/>
      <c r="C16" s="291"/>
      <c r="D16" s="291"/>
      <c r="E16" s="248">
        <f t="shared" si="0"/>
        <v>0</v>
      </c>
    </row>
    <row r="17" spans="1:5" ht="12.75">
      <c r="A17" s="61" t="s">
        <v>281</v>
      </c>
      <c r="B17" s="61"/>
      <c r="C17" s="291"/>
      <c r="D17" s="291"/>
      <c r="E17" s="248">
        <f t="shared" si="0"/>
        <v>0</v>
      </c>
    </row>
    <row r="18" spans="1:5" ht="12.75">
      <c r="A18" s="61" t="s">
        <v>444</v>
      </c>
      <c r="B18" s="61"/>
      <c r="C18" s="291"/>
      <c r="D18" s="291"/>
      <c r="E18" s="248">
        <f t="shared" si="0"/>
        <v>0</v>
      </c>
    </row>
    <row r="19" spans="1:5" ht="12.75">
      <c r="A19" s="61" t="s">
        <v>444</v>
      </c>
      <c r="B19" s="61"/>
      <c r="C19" s="291"/>
      <c r="D19" s="291"/>
      <c r="E19" s="248">
        <f t="shared" si="0"/>
        <v>0</v>
      </c>
    </row>
    <row r="20" spans="1:5" ht="12.75">
      <c r="A20" s="61"/>
      <c r="B20" s="61"/>
      <c r="C20" s="291"/>
      <c r="D20" s="291"/>
      <c r="E20" s="248">
        <f t="shared" si="0"/>
        <v>0</v>
      </c>
    </row>
    <row r="21" spans="1:5" ht="12.75">
      <c r="A21" s="61"/>
      <c r="B21" s="61"/>
      <c r="C21" s="307"/>
      <c r="D21" s="307"/>
      <c r="E21" s="276">
        <f t="shared" si="0"/>
        <v>0</v>
      </c>
    </row>
    <row r="22" spans="1:5" ht="12.75">
      <c r="A22" s="2" t="s">
        <v>178</v>
      </c>
      <c r="C22" s="248">
        <f>SUM(C13:C21)</f>
        <v>350000</v>
      </c>
      <c r="D22" s="248">
        <f>SUM(D13:D21)</f>
        <v>0</v>
      </c>
      <c r="E22" s="248">
        <f>SUM(E13:E21)</f>
        <v>350000</v>
      </c>
    </row>
    <row r="23" spans="1:5" ht="12.75">
      <c r="A23" s="2"/>
      <c r="C23" s="22"/>
      <c r="D23" s="22"/>
      <c r="E23" s="22"/>
    </row>
    <row r="24" spans="1:5" ht="12.75">
      <c r="A24" s="244" t="s">
        <v>269</v>
      </c>
      <c r="B24" s="61"/>
      <c r="C24" s="91"/>
      <c r="D24" s="91"/>
      <c r="E24" s="91"/>
    </row>
    <row r="25" spans="1:5" ht="12.75">
      <c r="A25" s="61"/>
      <c r="B25" s="61"/>
      <c r="C25" s="291"/>
      <c r="D25" s="291"/>
      <c r="E25" s="248">
        <f>C25-D25</f>
        <v>0</v>
      </c>
    </row>
    <row r="26" spans="1:5" ht="12.75">
      <c r="A26" s="61" t="s">
        <v>278</v>
      </c>
      <c r="B26" s="61"/>
      <c r="C26" s="291">
        <v>350000</v>
      </c>
      <c r="D26" s="291"/>
      <c r="E26" s="248">
        <f aca="true" t="shared" si="1" ref="E26:E33">C26-D26</f>
        <v>350000</v>
      </c>
    </row>
    <row r="27" spans="1:5" ht="12.75">
      <c r="A27" s="61" t="s">
        <v>279</v>
      </c>
      <c r="B27" s="61"/>
      <c r="C27" s="291"/>
      <c r="D27" s="291"/>
      <c r="E27" s="248">
        <f t="shared" si="1"/>
        <v>0</v>
      </c>
    </row>
    <row r="28" spans="1:5" ht="12.75">
      <c r="A28" s="61" t="s">
        <v>280</v>
      </c>
      <c r="B28" s="61"/>
      <c r="C28" s="291"/>
      <c r="D28" s="291"/>
      <c r="E28" s="248">
        <f t="shared" si="1"/>
        <v>0</v>
      </c>
    </row>
    <row r="29" spans="1:5" ht="12.75">
      <c r="A29" s="61" t="s">
        <v>281</v>
      </c>
      <c r="B29" s="61"/>
      <c r="C29" s="291"/>
      <c r="D29" s="291"/>
      <c r="E29" s="248">
        <f t="shared" si="1"/>
        <v>0</v>
      </c>
    </row>
    <row r="30" spans="1:5" ht="12.75">
      <c r="A30" s="61" t="s">
        <v>444</v>
      </c>
      <c r="B30" s="61"/>
      <c r="C30" s="291"/>
      <c r="D30" s="291"/>
      <c r="E30" s="248">
        <f t="shared" si="1"/>
        <v>0</v>
      </c>
    </row>
    <row r="31" spans="1:5" ht="12.75">
      <c r="A31" s="61" t="s">
        <v>444</v>
      </c>
      <c r="B31" s="61"/>
      <c r="C31" s="291"/>
      <c r="D31" s="291"/>
      <c r="E31" s="248">
        <f t="shared" si="1"/>
        <v>0</v>
      </c>
    </row>
    <row r="32" spans="1:5" ht="12.75">
      <c r="A32" s="61"/>
      <c r="B32" s="61"/>
      <c r="C32" s="291"/>
      <c r="D32" s="291"/>
      <c r="E32" s="248">
        <f t="shared" si="1"/>
        <v>0</v>
      </c>
    </row>
    <row r="33" spans="1:5" ht="13.5" thickBot="1">
      <c r="A33" s="62"/>
      <c r="B33" s="61"/>
      <c r="C33" s="291"/>
      <c r="D33" s="291"/>
      <c r="E33" s="248">
        <f t="shared" si="1"/>
        <v>0</v>
      </c>
    </row>
    <row r="34" spans="1:5" ht="12.75">
      <c r="A34" s="56" t="s">
        <v>130</v>
      </c>
      <c r="C34" s="22"/>
      <c r="D34" s="22"/>
      <c r="E34" s="276"/>
    </row>
    <row r="35" spans="1:5" ht="12.75">
      <c r="A35" s="2" t="s">
        <v>178</v>
      </c>
      <c r="C35" s="248">
        <f>SUM(C25:C33)</f>
        <v>350000</v>
      </c>
      <c r="D35" s="248">
        <f>SUM(D25:D33)</f>
        <v>0</v>
      </c>
      <c r="E35" s="248">
        <f>SUM(E25:E33)</f>
        <v>350000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268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4" t="s">
        <v>270</v>
      </c>
      <c r="B40" s="61"/>
      <c r="C40" s="91"/>
      <c r="D40" s="91"/>
      <c r="E40" s="91"/>
    </row>
    <row r="41" spans="1:5" ht="12.75">
      <c r="A41" s="61"/>
      <c r="B41" s="61"/>
      <c r="C41" s="291"/>
      <c r="D41" s="291"/>
      <c r="E41" s="248">
        <f>C41-D41</f>
        <v>0</v>
      </c>
    </row>
    <row r="42" spans="1:5" ht="12.75">
      <c r="A42" s="61"/>
      <c r="B42" s="61"/>
      <c r="C42" s="291"/>
      <c r="D42" s="291"/>
      <c r="E42" s="248">
        <f aca="true" t="shared" si="2" ref="E42:E49">C42-D42</f>
        <v>0</v>
      </c>
    </row>
    <row r="43" spans="1:5" ht="12.75">
      <c r="A43" s="61" t="s">
        <v>264</v>
      </c>
      <c r="B43" s="61"/>
      <c r="C43" s="291"/>
      <c r="D43" s="291"/>
      <c r="E43" s="248">
        <f t="shared" si="2"/>
        <v>0</v>
      </c>
    </row>
    <row r="44" spans="1:5" ht="12.75">
      <c r="A44" s="61" t="s">
        <v>265</v>
      </c>
      <c r="B44" s="61"/>
      <c r="C44" s="291">
        <v>700000</v>
      </c>
      <c r="D44" s="291"/>
      <c r="E44" s="248">
        <f t="shared" si="2"/>
        <v>700000</v>
      </c>
    </row>
    <row r="45" spans="1:5" ht="12.75">
      <c r="A45" s="61" t="s">
        <v>266</v>
      </c>
      <c r="B45" s="61"/>
      <c r="C45" s="291">
        <v>340150</v>
      </c>
      <c r="D45" s="291"/>
      <c r="E45" s="248">
        <f t="shared" si="2"/>
        <v>340150</v>
      </c>
    </row>
    <row r="46" spans="1:5" ht="12.75">
      <c r="A46" s="61" t="s">
        <v>267</v>
      </c>
      <c r="B46" s="61"/>
      <c r="C46" s="291"/>
      <c r="D46" s="291"/>
      <c r="E46" s="248">
        <f t="shared" si="2"/>
        <v>0</v>
      </c>
    </row>
    <row r="47" spans="1:5" ht="12.75">
      <c r="A47" s="61" t="s">
        <v>444</v>
      </c>
      <c r="B47" s="61"/>
      <c r="C47" s="291"/>
      <c r="D47" s="291"/>
      <c r="E47" s="248">
        <f t="shared" si="2"/>
        <v>0</v>
      </c>
    </row>
    <row r="48" spans="1:5" ht="12.75">
      <c r="A48" s="61" t="s">
        <v>444</v>
      </c>
      <c r="B48" s="61"/>
      <c r="C48" s="291"/>
      <c r="D48" s="291"/>
      <c r="E48" s="248">
        <f t="shared" si="2"/>
        <v>0</v>
      </c>
    </row>
    <row r="49" spans="1:5" ht="12.75">
      <c r="A49" s="61"/>
      <c r="B49" s="61"/>
      <c r="C49" s="307"/>
      <c r="D49" s="307"/>
      <c r="E49" s="276">
        <f t="shared" si="2"/>
        <v>0</v>
      </c>
    </row>
    <row r="50" spans="1:5" ht="12.75">
      <c r="A50" s="2" t="s">
        <v>178</v>
      </c>
      <c r="C50" s="248">
        <f>SUM(C41:C49)</f>
        <v>1040150</v>
      </c>
      <c r="D50" s="248">
        <f>SUM(D41:D49)</f>
        <v>0</v>
      </c>
      <c r="E50" s="248">
        <f>SUM(E41:E49)</f>
        <v>1040150</v>
      </c>
    </row>
    <row r="51" spans="3:5" ht="12.75">
      <c r="C51" s="22"/>
      <c r="D51" s="22"/>
      <c r="E51" s="22"/>
    </row>
    <row r="52" spans="1:5" ht="12.75">
      <c r="A52" s="244" t="s">
        <v>269</v>
      </c>
      <c r="B52" s="61"/>
      <c r="C52" s="91"/>
      <c r="D52" s="91"/>
      <c r="E52" s="91"/>
    </row>
    <row r="53" spans="1:5" ht="12.75">
      <c r="A53" s="61"/>
      <c r="B53" s="61"/>
      <c r="C53" s="291"/>
      <c r="D53" s="291"/>
      <c r="E53" s="248">
        <f>C53-D53</f>
        <v>0</v>
      </c>
    </row>
    <row r="54" spans="1:5" ht="12.75">
      <c r="A54" s="243"/>
      <c r="B54" s="61"/>
      <c r="C54" s="291"/>
      <c r="D54" s="291"/>
      <c r="E54" s="248">
        <f aca="true" t="shared" si="3" ref="E54:E61">C54-D54</f>
        <v>0</v>
      </c>
    </row>
    <row r="55" spans="1:5" ht="12.75">
      <c r="A55" s="243" t="s">
        <v>264</v>
      </c>
      <c r="B55" s="61"/>
      <c r="C55" s="291"/>
      <c r="D55" s="291"/>
      <c r="E55" s="248">
        <f t="shared" si="3"/>
        <v>0</v>
      </c>
    </row>
    <row r="56" spans="1:5" ht="12.75">
      <c r="A56" s="243" t="s">
        <v>265</v>
      </c>
      <c r="B56" s="61"/>
      <c r="C56" s="291">
        <f>350000+650000+132655</f>
        <v>1132655</v>
      </c>
      <c r="D56" s="291"/>
      <c r="E56" s="248">
        <f t="shared" si="3"/>
        <v>1132655</v>
      </c>
    </row>
    <row r="57" spans="1:5" ht="12.75">
      <c r="A57" s="243" t="s">
        <v>266</v>
      </c>
      <c r="B57" s="61"/>
      <c r="C57" s="291">
        <v>340000</v>
      </c>
      <c r="D57" s="291"/>
      <c r="E57" s="248">
        <f t="shared" si="3"/>
        <v>340000</v>
      </c>
    </row>
    <row r="58" spans="1:5" ht="12.75">
      <c r="A58" s="243" t="s">
        <v>267</v>
      </c>
      <c r="B58" s="61"/>
      <c r="C58" s="291"/>
      <c r="D58" s="291"/>
      <c r="E58" s="248">
        <f t="shared" si="3"/>
        <v>0</v>
      </c>
    </row>
    <row r="59" spans="1:5" ht="12.75">
      <c r="A59" s="61" t="s">
        <v>444</v>
      </c>
      <c r="B59" s="61"/>
      <c r="C59" s="291"/>
      <c r="D59" s="291"/>
      <c r="E59" s="248">
        <f t="shared" si="3"/>
        <v>0</v>
      </c>
    </row>
    <row r="60" spans="1:5" ht="12.75">
      <c r="A60" s="61" t="s">
        <v>444</v>
      </c>
      <c r="B60" s="61"/>
      <c r="C60" s="291"/>
      <c r="D60" s="291"/>
      <c r="E60" s="248">
        <f t="shared" si="3"/>
        <v>0</v>
      </c>
    </row>
    <row r="61" spans="1:5" ht="13.5" thickBot="1">
      <c r="A61" s="62"/>
      <c r="B61" s="61"/>
      <c r="C61" s="291"/>
      <c r="D61" s="291"/>
      <c r="E61" s="248">
        <f t="shared" si="3"/>
        <v>0</v>
      </c>
    </row>
    <row r="62" spans="1:5" ht="12.75">
      <c r="A62" s="56" t="s">
        <v>130</v>
      </c>
      <c r="C62" s="22"/>
      <c r="D62" s="22"/>
      <c r="E62" s="276"/>
    </row>
    <row r="63" spans="1:5" ht="12.75">
      <c r="A63" s="2" t="s">
        <v>178</v>
      </c>
      <c r="C63" s="248">
        <f>SUM(C53:C61)</f>
        <v>1472655</v>
      </c>
      <c r="D63" s="248">
        <f>SUM(D53:D61)</f>
        <v>0</v>
      </c>
      <c r="E63" s="248">
        <f>SUM(E53:E61)</f>
        <v>1472655</v>
      </c>
    </row>
  </sheetData>
  <sheetProtection/>
  <printOptions gridLines="1" headings="1"/>
  <pageMargins left="0.35433070866141736" right="0.03937007874015748" top="0.9055118110236221" bottom="0.35433070866141736" header="0.2755905511811024" footer="0"/>
  <pageSetup horizontalDpi="600" verticalDpi="600" orientation="portrait" scale="76" r:id="rId1"/>
  <headerFooter alignWithMargins="0">
    <oddHeader>&amp;R&amp;8Horizon Utilities Corp.
Disposition of Account 1562 Deferred PILS
EB-2012-0005
Appendix C-1
Filed:  March 28, 2012&amp;10
</oddHeader>
    <oddFooter>&amp;R&amp;"Arial,Bold"&amp;9&amp;A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462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0" t="s">
        <v>461</v>
      </c>
      <c r="B5" s="8"/>
      <c r="C5" s="8" t="s">
        <v>2</v>
      </c>
      <c r="D5" s="8"/>
      <c r="E5" s="8"/>
      <c r="F5" s="8"/>
    </row>
    <row r="6" spans="1:6" ht="12.75">
      <c r="A6" s="410" t="s">
        <v>441</v>
      </c>
      <c r="B6" s="8"/>
      <c r="C6" s="8"/>
      <c r="D6" s="8"/>
      <c r="E6" s="21" t="str">
        <f>REGINFO!G1</f>
        <v>Version 2009.1</v>
      </c>
      <c r="F6" s="8"/>
    </row>
    <row r="7" ht="12.75">
      <c r="F7" s="20"/>
    </row>
    <row r="8" spans="1:6" ht="12.75">
      <c r="A8" s="35" t="str">
        <f>REGINFO!A3</f>
        <v>Utility Name:   Horizon Utilities Corporation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 (306 days December 31st)</v>
      </c>
      <c r="B9" s="20"/>
      <c r="C9" s="25"/>
      <c r="D9" s="25"/>
      <c r="E9" s="25"/>
      <c r="F9" s="20"/>
    </row>
    <row r="10" spans="1:6" ht="12.75">
      <c r="A10" s="2" t="s">
        <v>120</v>
      </c>
      <c r="B10" s="20"/>
      <c r="C10" s="268">
        <f>TAXREC!C11</f>
        <v>306</v>
      </c>
      <c r="D10" s="60"/>
      <c r="E10" s="25"/>
      <c r="F10" s="20"/>
    </row>
    <row r="11" spans="1:6" ht="12.75">
      <c r="A11" s="2" t="s">
        <v>117</v>
      </c>
      <c r="B11" s="20"/>
      <c r="C11" s="480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175</v>
      </c>
      <c r="B15" s="20"/>
      <c r="C15" s="25"/>
      <c r="D15" s="25"/>
      <c r="E15" s="26"/>
      <c r="F15" s="8"/>
    </row>
    <row r="16" ht="12.75">
      <c r="A16" s="2" t="s">
        <v>121</v>
      </c>
    </row>
    <row r="17" spans="1:5" ht="12.75">
      <c r="A17" s="67"/>
      <c r="B17" t="s">
        <v>185</v>
      </c>
      <c r="C17" s="292"/>
      <c r="D17" s="292"/>
      <c r="E17" s="310">
        <f>C17-D17</f>
        <v>0</v>
      </c>
    </row>
    <row r="18" spans="1:5" ht="12.75">
      <c r="A18" s="67" t="s">
        <v>250</v>
      </c>
      <c r="B18" t="s">
        <v>185</v>
      </c>
      <c r="C18" s="292"/>
      <c r="D18" s="292"/>
      <c r="E18" s="310">
        <f aca="true" t="shared" si="0" ref="E18:E44">C18-D18</f>
        <v>0</v>
      </c>
    </row>
    <row r="19" spans="1:5" ht="12.75">
      <c r="A19" s="67" t="s">
        <v>133</v>
      </c>
      <c r="B19" t="s">
        <v>185</v>
      </c>
      <c r="C19" s="292"/>
      <c r="D19" s="292"/>
      <c r="E19" s="310">
        <f t="shared" si="0"/>
        <v>0</v>
      </c>
    </row>
    <row r="20" spans="1:5" ht="12.75">
      <c r="A20" s="67" t="s">
        <v>445</v>
      </c>
      <c r="B20" t="s">
        <v>185</v>
      </c>
      <c r="C20" s="292"/>
      <c r="D20" s="311"/>
      <c r="E20" s="310">
        <f t="shared" si="0"/>
        <v>0</v>
      </c>
    </row>
    <row r="21" spans="1:5" ht="12.75">
      <c r="A21" s="67" t="s">
        <v>8</v>
      </c>
      <c r="B21" t="s">
        <v>185</v>
      </c>
      <c r="C21" s="292"/>
      <c r="D21" s="292"/>
      <c r="E21" s="310">
        <f t="shared" si="0"/>
        <v>0</v>
      </c>
    </row>
    <row r="22" spans="1:5" ht="12.75">
      <c r="A22" s="67"/>
      <c r="B22" t="s">
        <v>185</v>
      </c>
      <c r="C22" s="292"/>
      <c r="D22" s="292"/>
      <c r="E22" s="310">
        <f t="shared" si="0"/>
        <v>0</v>
      </c>
    </row>
    <row r="23" spans="1:5" ht="12.75">
      <c r="A23" s="67" t="s">
        <v>135</v>
      </c>
      <c r="B23" t="s">
        <v>185</v>
      </c>
      <c r="C23" s="292"/>
      <c r="D23" s="292"/>
      <c r="E23" s="310">
        <f t="shared" si="0"/>
        <v>0</v>
      </c>
    </row>
    <row r="24" spans="1:5" ht="12.75">
      <c r="A24" s="67" t="s">
        <v>136</v>
      </c>
      <c r="B24" t="s">
        <v>185</v>
      </c>
      <c r="C24" s="292"/>
      <c r="D24" s="292"/>
      <c r="E24" s="310">
        <f t="shared" si="0"/>
        <v>0</v>
      </c>
    </row>
    <row r="25" spans="1:5" ht="12.75">
      <c r="A25" s="67" t="s">
        <v>9</v>
      </c>
      <c r="B25" t="s">
        <v>185</v>
      </c>
      <c r="C25" s="292"/>
      <c r="D25" s="292"/>
      <c r="E25" s="310">
        <f t="shared" si="0"/>
        <v>0</v>
      </c>
    </row>
    <row r="26" spans="1:5" ht="12.75">
      <c r="A26" s="67" t="s">
        <v>189</v>
      </c>
      <c r="B26" t="s">
        <v>185</v>
      </c>
      <c r="C26" s="292"/>
      <c r="D26" s="292"/>
      <c r="E26" s="310">
        <f t="shared" si="0"/>
        <v>0</v>
      </c>
    </row>
    <row r="27" spans="1:5" ht="12.75">
      <c r="A27" s="67" t="s">
        <v>7</v>
      </c>
      <c r="B27" t="s">
        <v>185</v>
      </c>
      <c r="C27" s="292"/>
      <c r="D27" s="292"/>
      <c r="E27" s="310">
        <f t="shared" si="0"/>
        <v>0</v>
      </c>
    </row>
    <row r="28" spans="1:5" ht="12.75">
      <c r="A28" s="67" t="s">
        <v>122</v>
      </c>
      <c r="B28" t="s">
        <v>185</v>
      </c>
      <c r="C28" s="292"/>
      <c r="D28" s="292"/>
      <c r="E28" s="310">
        <f t="shared" si="0"/>
        <v>0</v>
      </c>
    </row>
    <row r="29" spans="1:5" ht="12.75">
      <c r="A29" s="67" t="s">
        <v>137</v>
      </c>
      <c r="B29" t="s">
        <v>185</v>
      </c>
      <c r="C29" s="292"/>
      <c r="D29" s="292"/>
      <c r="E29" s="310">
        <f t="shared" si="0"/>
        <v>0</v>
      </c>
    </row>
    <row r="30" spans="1:5" ht="12.75">
      <c r="A30" s="67" t="s">
        <v>138</v>
      </c>
      <c r="B30" t="s">
        <v>185</v>
      </c>
      <c r="C30" s="292"/>
      <c r="D30" s="292"/>
      <c r="E30" s="310">
        <f t="shared" si="0"/>
        <v>0</v>
      </c>
    </row>
    <row r="31" spans="1:5" ht="12.75">
      <c r="A31" s="67" t="s">
        <v>251</v>
      </c>
      <c r="B31" t="s">
        <v>185</v>
      </c>
      <c r="C31" s="292"/>
      <c r="D31" s="292"/>
      <c r="E31" s="310">
        <f t="shared" si="0"/>
        <v>0</v>
      </c>
    </row>
    <row r="32" spans="1:5" ht="12.75">
      <c r="A32" s="67" t="s">
        <v>139</v>
      </c>
      <c r="B32" t="s">
        <v>185</v>
      </c>
      <c r="C32" s="292"/>
      <c r="D32" s="292"/>
      <c r="E32" s="310">
        <f t="shared" si="0"/>
        <v>0</v>
      </c>
    </row>
    <row r="33" spans="1:5" ht="12.75">
      <c r="A33" s="67" t="s">
        <v>140</v>
      </c>
      <c r="B33" t="s">
        <v>185</v>
      </c>
      <c r="C33" s="292"/>
      <c r="D33" s="292"/>
      <c r="E33" s="310">
        <f t="shared" si="0"/>
        <v>0</v>
      </c>
    </row>
    <row r="34" spans="1:5" ht="12.75">
      <c r="A34" s="67" t="s">
        <v>141</v>
      </c>
      <c r="B34" t="s">
        <v>185</v>
      </c>
      <c r="C34" s="292"/>
      <c r="D34" s="292"/>
      <c r="E34" s="310">
        <f t="shared" si="0"/>
        <v>0</v>
      </c>
    </row>
    <row r="35" spans="1:5" ht="12.75">
      <c r="A35" s="67" t="s">
        <v>191</v>
      </c>
      <c r="B35" t="s">
        <v>185</v>
      </c>
      <c r="C35" s="292"/>
      <c r="D35" s="292"/>
      <c r="E35" s="310">
        <f t="shared" si="0"/>
        <v>0</v>
      </c>
    </row>
    <row r="36" spans="1:5" ht="12.75">
      <c r="A36" s="67" t="s">
        <v>467</v>
      </c>
      <c r="B36" t="s">
        <v>185</v>
      </c>
      <c r="C36" s="292"/>
      <c r="D36" s="292"/>
      <c r="E36" s="310">
        <f t="shared" si="0"/>
        <v>0</v>
      </c>
    </row>
    <row r="37" spans="1:5" ht="12.75">
      <c r="A37" s="67"/>
      <c r="B37" t="s">
        <v>185</v>
      </c>
      <c r="C37" s="292"/>
      <c r="D37" s="292"/>
      <c r="E37" s="310">
        <f t="shared" si="0"/>
        <v>0</v>
      </c>
    </row>
    <row r="38" spans="2:5" ht="12.75">
      <c r="B38" t="s">
        <v>185</v>
      </c>
      <c r="C38" s="292"/>
      <c r="D38" s="292"/>
      <c r="E38" s="248">
        <f t="shared" si="0"/>
        <v>0</v>
      </c>
    </row>
    <row r="39" spans="2:5" ht="12.75">
      <c r="B39" t="s">
        <v>185</v>
      </c>
      <c r="C39" s="291"/>
      <c r="D39" s="292"/>
      <c r="E39" s="248">
        <f t="shared" si="0"/>
        <v>0</v>
      </c>
    </row>
    <row r="40" spans="1:5" ht="12.75">
      <c r="A40" s="68" t="s">
        <v>202</v>
      </c>
      <c r="B40" t="s">
        <v>185</v>
      </c>
      <c r="C40" s="291"/>
      <c r="D40" s="291"/>
      <c r="E40" s="248">
        <f t="shared" si="0"/>
        <v>0</v>
      </c>
    </row>
    <row r="41" spans="1:5" ht="12.75">
      <c r="A41" s="67" t="s">
        <v>502</v>
      </c>
      <c r="B41" t="s">
        <v>185</v>
      </c>
      <c r="C41" s="291">
        <v>335815</v>
      </c>
      <c r="D41" s="291"/>
      <c r="E41" s="248">
        <f t="shared" si="0"/>
        <v>335815</v>
      </c>
    </row>
    <row r="42" spans="1:5" ht="12.75">
      <c r="A42" s="67"/>
      <c r="B42" t="s">
        <v>185</v>
      </c>
      <c r="C42" s="291"/>
      <c r="D42" s="291"/>
      <c r="E42" s="248">
        <f t="shared" si="0"/>
        <v>0</v>
      </c>
    </row>
    <row r="43" spans="1:5" ht="12.75">
      <c r="A43" s="67"/>
      <c r="B43" t="s">
        <v>185</v>
      </c>
      <c r="C43" s="291"/>
      <c r="D43" s="291"/>
      <c r="E43" s="248">
        <f t="shared" si="0"/>
        <v>0</v>
      </c>
    </row>
    <row r="44" spans="1:5" ht="12.75">
      <c r="A44" s="67"/>
      <c r="B44" t="s">
        <v>185</v>
      </c>
      <c r="C44" s="291"/>
      <c r="D44" s="291"/>
      <c r="E44" s="248">
        <f t="shared" si="0"/>
        <v>0</v>
      </c>
    </row>
    <row r="45" spans="1:5" ht="12.75">
      <c r="A45" s="67"/>
      <c r="B45" t="s">
        <v>185</v>
      </c>
      <c r="C45" s="291"/>
      <c r="D45" s="291"/>
      <c r="E45" s="276"/>
    </row>
    <row r="46" spans="1:5" ht="12.75">
      <c r="A46" s="70" t="s">
        <v>168</v>
      </c>
      <c r="B46" t="s">
        <v>187</v>
      </c>
      <c r="C46" s="248">
        <f>SUM(C17:C45)</f>
        <v>335815</v>
      </c>
      <c r="D46" s="248">
        <f>SUM(D17:D45)</f>
        <v>0</v>
      </c>
      <c r="E46" s="248">
        <f>SUM(E17:E45)</f>
        <v>335815</v>
      </c>
    </row>
    <row r="47" ht="12.75">
      <c r="A47" s="67"/>
    </row>
    <row r="48" ht="12.75">
      <c r="A48" s="67" t="s">
        <v>170</v>
      </c>
    </row>
    <row r="49" spans="1:5" ht="12.75">
      <c r="A49" s="272" t="str">
        <f>IF($E17&gt;$C$11,A17," ")</f>
        <v> </v>
      </c>
      <c r="B49" s="270"/>
      <c r="C49" s="248">
        <f aca="true" t="shared" si="1" ref="C49:E63">IF($E17&gt;$C$11,C17,)</f>
        <v>0</v>
      </c>
      <c r="D49" s="248">
        <f t="shared" si="1"/>
        <v>0</v>
      </c>
      <c r="E49" s="248">
        <f t="shared" si="1"/>
        <v>0</v>
      </c>
    </row>
    <row r="50" spans="1:5" ht="12.75">
      <c r="A50" s="272" t="str">
        <f>IF($E18&gt;$C$11,A18," ")</f>
        <v> </v>
      </c>
      <c r="B50" s="270"/>
      <c r="C50" s="248">
        <f t="shared" si="1"/>
        <v>0</v>
      </c>
      <c r="D50" s="248">
        <f t="shared" si="1"/>
        <v>0</v>
      </c>
      <c r="E50" s="248">
        <f t="shared" si="1"/>
        <v>0</v>
      </c>
    </row>
    <row r="51" spans="1:5" ht="12.75">
      <c r="A51" s="272" t="str">
        <f>IF($E19&gt;$C$11,#REF!," ")</f>
        <v> </v>
      </c>
      <c r="B51" s="270"/>
      <c r="C51" s="248">
        <f t="shared" si="1"/>
        <v>0</v>
      </c>
      <c r="D51" s="248">
        <f t="shared" si="1"/>
        <v>0</v>
      </c>
      <c r="E51" s="248">
        <f t="shared" si="1"/>
        <v>0</v>
      </c>
    </row>
    <row r="52" spans="1:5" ht="12.75">
      <c r="A52" s="272" t="str">
        <f>IF($E20&gt;$C$11,#REF!," ")</f>
        <v> </v>
      </c>
      <c r="B52" s="270"/>
      <c r="C52" s="248">
        <f t="shared" si="1"/>
        <v>0</v>
      </c>
      <c r="D52" s="248">
        <f t="shared" si="1"/>
        <v>0</v>
      </c>
      <c r="E52" s="248">
        <f t="shared" si="1"/>
        <v>0</v>
      </c>
    </row>
    <row r="53" spans="1:5" ht="12.75">
      <c r="A53" s="272" t="str">
        <f aca="true" t="shared" si="2" ref="A53:A59">IF($E21&gt;$C$11,A19," ")</f>
        <v> </v>
      </c>
      <c r="B53" s="270"/>
      <c r="C53" s="248">
        <f t="shared" si="1"/>
        <v>0</v>
      </c>
      <c r="D53" s="248">
        <f t="shared" si="1"/>
        <v>0</v>
      </c>
      <c r="E53" s="248">
        <f t="shared" si="1"/>
        <v>0</v>
      </c>
    </row>
    <row r="54" spans="1:5" ht="12.75">
      <c r="A54" s="272" t="str">
        <f t="shared" si="2"/>
        <v> </v>
      </c>
      <c r="B54" s="270"/>
      <c r="C54" s="248">
        <f t="shared" si="1"/>
        <v>0</v>
      </c>
      <c r="D54" s="248">
        <f t="shared" si="1"/>
        <v>0</v>
      </c>
      <c r="E54" s="248">
        <f t="shared" si="1"/>
        <v>0</v>
      </c>
    </row>
    <row r="55" spans="1:5" ht="12.75">
      <c r="A55" s="272" t="str">
        <f t="shared" si="2"/>
        <v> </v>
      </c>
      <c r="B55" s="270"/>
      <c r="C55" s="248">
        <f t="shared" si="1"/>
        <v>0</v>
      </c>
      <c r="D55" s="248">
        <f t="shared" si="1"/>
        <v>0</v>
      </c>
      <c r="E55" s="248">
        <f t="shared" si="1"/>
        <v>0</v>
      </c>
    </row>
    <row r="56" spans="1:5" ht="12.75">
      <c r="A56" s="272" t="str">
        <f t="shared" si="2"/>
        <v> </v>
      </c>
      <c r="B56" s="270"/>
      <c r="C56" s="248">
        <f t="shared" si="1"/>
        <v>0</v>
      </c>
      <c r="D56" s="248">
        <f t="shared" si="1"/>
        <v>0</v>
      </c>
      <c r="E56" s="248">
        <f t="shared" si="1"/>
        <v>0</v>
      </c>
    </row>
    <row r="57" spans="1:5" ht="12.75">
      <c r="A57" s="272" t="str">
        <f t="shared" si="2"/>
        <v> </v>
      </c>
      <c r="B57" s="270"/>
      <c r="C57" s="248">
        <f t="shared" si="1"/>
        <v>0</v>
      </c>
      <c r="D57" s="248">
        <f t="shared" si="1"/>
        <v>0</v>
      </c>
      <c r="E57" s="248">
        <f t="shared" si="1"/>
        <v>0</v>
      </c>
    </row>
    <row r="58" spans="1:5" ht="12.75">
      <c r="A58" s="272" t="str">
        <f t="shared" si="2"/>
        <v> </v>
      </c>
      <c r="B58" s="270"/>
      <c r="C58" s="248">
        <f t="shared" si="1"/>
        <v>0</v>
      </c>
      <c r="D58" s="248">
        <f t="shared" si="1"/>
        <v>0</v>
      </c>
      <c r="E58" s="248">
        <f t="shared" si="1"/>
        <v>0</v>
      </c>
    </row>
    <row r="59" spans="1:5" ht="12.75">
      <c r="A59" s="272" t="str">
        <f t="shared" si="2"/>
        <v> </v>
      </c>
      <c r="B59" s="270"/>
      <c r="C59" s="248">
        <f t="shared" si="1"/>
        <v>0</v>
      </c>
      <c r="D59" s="248">
        <f t="shared" si="1"/>
        <v>0</v>
      </c>
      <c r="E59" s="248">
        <f t="shared" si="1"/>
        <v>0</v>
      </c>
    </row>
    <row r="60" spans="1:5" ht="12.75">
      <c r="A60" s="272" t="str">
        <f>IF($E28&gt;$C$11,A28," ")</f>
        <v> </v>
      </c>
      <c r="B60" s="270"/>
      <c r="C60" s="248">
        <f t="shared" si="1"/>
        <v>0</v>
      </c>
      <c r="D60" s="248">
        <f t="shared" si="1"/>
        <v>0</v>
      </c>
      <c r="E60" s="248">
        <f t="shared" si="1"/>
        <v>0</v>
      </c>
    </row>
    <row r="61" spans="1:5" ht="12.75">
      <c r="A61" s="272" t="str">
        <f>IF($E29&gt;$C$11,#REF!," ")</f>
        <v> </v>
      </c>
      <c r="B61" s="270"/>
      <c r="C61" s="248">
        <f t="shared" si="1"/>
        <v>0</v>
      </c>
      <c r="D61" s="248">
        <f t="shared" si="1"/>
        <v>0</v>
      </c>
      <c r="E61" s="248">
        <f t="shared" si="1"/>
        <v>0</v>
      </c>
    </row>
    <row r="62" spans="1:5" ht="12.75">
      <c r="A62" s="272" t="str">
        <f>IF($E30&gt;$C$11,#REF!," ")</f>
        <v> </v>
      </c>
      <c r="B62" s="270"/>
      <c r="C62" s="248">
        <f t="shared" si="1"/>
        <v>0</v>
      </c>
      <c r="D62" s="248">
        <f t="shared" si="1"/>
        <v>0</v>
      </c>
      <c r="E62" s="248">
        <f t="shared" si="1"/>
        <v>0</v>
      </c>
    </row>
    <row r="63" spans="1:5" ht="12.75">
      <c r="A63" s="272" t="str">
        <f>IF($E31&gt;$C$11,A26," ")</f>
        <v> </v>
      </c>
      <c r="B63" s="270"/>
      <c r="C63" s="248">
        <f t="shared" si="1"/>
        <v>0</v>
      </c>
      <c r="D63" s="248">
        <f t="shared" si="1"/>
        <v>0</v>
      </c>
      <c r="E63" s="248">
        <f t="shared" si="1"/>
        <v>0</v>
      </c>
    </row>
    <row r="64" spans="1:5" ht="12.75">
      <c r="A64" s="272" t="str">
        <f>IF($E33&gt;$C$11,#REF!," ")</f>
        <v> </v>
      </c>
      <c r="B64" s="270"/>
      <c r="C64" s="248">
        <f aca="true" t="shared" si="3" ref="C64:E76">IF($E33&gt;$C$11,C33,)</f>
        <v>0</v>
      </c>
      <c r="D64" s="248">
        <f t="shared" si="3"/>
        <v>0</v>
      </c>
      <c r="E64" s="248">
        <f t="shared" si="3"/>
        <v>0</v>
      </c>
    </row>
    <row r="65" spans="1:5" ht="12.75">
      <c r="A65" s="272" t="str">
        <f>IF($E34&gt;$C$11,#REF!," ")</f>
        <v> </v>
      </c>
      <c r="B65" s="270"/>
      <c r="C65" s="248">
        <f t="shared" si="3"/>
        <v>0</v>
      </c>
      <c r="D65" s="248">
        <f t="shared" si="3"/>
        <v>0</v>
      </c>
      <c r="E65" s="248">
        <f t="shared" si="3"/>
        <v>0</v>
      </c>
    </row>
    <row r="66" spans="1:5" ht="12.75">
      <c r="A66" s="272" t="str">
        <f>IF($E35&gt;$C$11,#REF!," ")</f>
        <v> </v>
      </c>
      <c r="B66" s="270"/>
      <c r="C66" s="248">
        <f t="shared" si="3"/>
        <v>0</v>
      </c>
      <c r="D66" s="248">
        <f t="shared" si="3"/>
        <v>0</v>
      </c>
      <c r="E66" s="248">
        <f t="shared" si="3"/>
        <v>0</v>
      </c>
    </row>
    <row r="67" spans="1:5" ht="12.75">
      <c r="A67" s="272" t="str">
        <f>IF($E36&gt;$C$11,A36," ")</f>
        <v> </v>
      </c>
      <c r="B67" s="270"/>
      <c r="C67" s="248">
        <f t="shared" si="3"/>
        <v>0</v>
      </c>
      <c r="D67" s="248">
        <f t="shared" si="3"/>
        <v>0</v>
      </c>
      <c r="E67" s="248">
        <f t="shared" si="3"/>
        <v>0</v>
      </c>
    </row>
    <row r="68" spans="1:5" ht="12.75">
      <c r="A68" s="272" t="str">
        <f>IF($E37&gt;$C$11,A37," ")</f>
        <v> </v>
      </c>
      <c r="B68" s="270"/>
      <c r="C68" s="248">
        <f t="shared" si="3"/>
        <v>0</v>
      </c>
      <c r="D68" s="248">
        <f t="shared" si="3"/>
        <v>0</v>
      </c>
      <c r="E68" s="248">
        <f t="shared" si="3"/>
        <v>0</v>
      </c>
    </row>
    <row r="69" spans="1:5" ht="12.75">
      <c r="A69" s="272" t="str">
        <f>IF($E38&gt;$C$11,A29," ")</f>
        <v> </v>
      </c>
      <c r="B69" s="270"/>
      <c r="C69" s="248">
        <f t="shared" si="3"/>
        <v>0</v>
      </c>
      <c r="D69" s="248">
        <f t="shared" si="3"/>
        <v>0</v>
      </c>
      <c r="E69" s="248">
        <f t="shared" si="3"/>
        <v>0</v>
      </c>
    </row>
    <row r="70" spans="1:5" ht="12.75">
      <c r="A70" s="272" t="str">
        <f>IF($E39&gt;$C$11,A35," ")</f>
        <v> </v>
      </c>
      <c r="B70" s="270"/>
      <c r="C70" s="248">
        <f t="shared" si="3"/>
        <v>0</v>
      </c>
      <c r="D70" s="248">
        <f t="shared" si="3"/>
        <v>0</v>
      </c>
      <c r="E70" s="248">
        <f t="shared" si="3"/>
        <v>0</v>
      </c>
    </row>
    <row r="71" spans="1:5" ht="12.75">
      <c r="A71" s="272" t="str">
        <f aca="true" t="shared" si="4" ref="A71:A76">IF($E40&gt;$C$11,A40," ")</f>
        <v> </v>
      </c>
      <c r="B71" s="270"/>
      <c r="C71" s="248">
        <f t="shared" si="3"/>
        <v>0</v>
      </c>
      <c r="D71" s="248">
        <f t="shared" si="3"/>
        <v>0</v>
      </c>
      <c r="E71" s="248">
        <f t="shared" si="3"/>
        <v>0</v>
      </c>
    </row>
    <row r="72" spans="1:5" ht="12.75">
      <c r="A72" s="272" t="str">
        <f t="shared" si="4"/>
        <v>Capitalized Fleet Depreciation, net (not permitted for UCC purposes)</v>
      </c>
      <c r="B72" s="270"/>
      <c r="C72" s="248">
        <f t="shared" si="3"/>
        <v>335815</v>
      </c>
      <c r="D72" s="248">
        <f t="shared" si="3"/>
        <v>0</v>
      </c>
      <c r="E72" s="248">
        <f t="shared" si="3"/>
        <v>335815</v>
      </c>
    </row>
    <row r="73" spans="1:5" ht="12.75">
      <c r="A73" s="272" t="str">
        <f t="shared" si="4"/>
        <v> </v>
      </c>
      <c r="B73" s="270"/>
      <c r="C73" s="248">
        <f t="shared" si="3"/>
        <v>0</v>
      </c>
      <c r="D73" s="248">
        <f t="shared" si="3"/>
        <v>0</v>
      </c>
      <c r="E73" s="248">
        <f t="shared" si="3"/>
        <v>0</v>
      </c>
    </row>
    <row r="74" spans="1:5" ht="12.75">
      <c r="A74" s="272" t="str">
        <f t="shared" si="4"/>
        <v> </v>
      </c>
      <c r="B74" s="270"/>
      <c r="C74" s="248">
        <f t="shared" si="3"/>
        <v>0</v>
      </c>
      <c r="D74" s="248">
        <f t="shared" si="3"/>
        <v>0</v>
      </c>
      <c r="E74" s="248">
        <f t="shared" si="3"/>
        <v>0</v>
      </c>
    </row>
    <row r="75" spans="1:5" ht="12.75">
      <c r="A75" s="272" t="str">
        <f t="shared" si="4"/>
        <v> </v>
      </c>
      <c r="B75" s="270"/>
      <c r="C75" s="248">
        <f t="shared" si="3"/>
        <v>0</v>
      </c>
      <c r="D75" s="248">
        <f t="shared" si="3"/>
        <v>0</v>
      </c>
      <c r="E75" s="248">
        <f t="shared" si="3"/>
        <v>0</v>
      </c>
    </row>
    <row r="76" spans="1:5" ht="12.75">
      <c r="A76" s="272" t="str">
        <f t="shared" si="4"/>
        <v> </v>
      </c>
      <c r="B76" s="271"/>
      <c r="C76" s="248">
        <f t="shared" si="3"/>
        <v>0</v>
      </c>
      <c r="D76" s="248">
        <f t="shared" si="3"/>
        <v>0</v>
      </c>
      <c r="E76" s="248">
        <f t="shared" si="3"/>
        <v>0</v>
      </c>
    </row>
    <row r="77" spans="1:5" ht="12.75">
      <c r="A77" s="273" t="s">
        <v>142</v>
      </c>
      <c r="B77" s="270"/>
      <c r="C77" s="248">
        <f>SUM(C49:C75)</f>
        <v>335815</v>
      </c>
      <c r="D77" s="248">
        <f>SUM(D49:D75)</f>
        <v>0</v>
      </c>
      <c r="E77" s="248">
        <f>SUM(E49:E75)</f>
        <v>335815</v>
      </c>
    </row>
    <row r="78" spans="1:5" ht="12.75">
      <c r="A78" s="273" t="s">
        <v>201</v>
      </c>
      <c r="B78" s="274"/>
      <c r="C78" s="312">
        <f>C46-C77</f>
        <v>0</v>
      </c>
      <c r="D78" s="312">
        <f>D46-D77</f>
        <v>0</v>
      </c>
      <c r="E78" s="312">
        <f>E46-E77</f>
        <v>0</v>
      </c>
    </row>
    <row r="79" spans="1:5" ht="12.75">
      <c r="A79" s="273" t="s">
        <v>168</v>
      </c>
      <c r="B79" s="274"/>
      <c r="C79" s="312">
        <f>C77+C78</f>
        <v>335815</v>
      </c>
      <c r="D79" s="312">
        <f>D77+D78</f>
        <v>0</v>
      </c>
      <c r="E79" s="312">
        <f>E77+E78</f>
        <v>335815</v>
      </c>
    </row>
    <row r="80" ht="12.75">
      <c r="A80" s="67"/>
    </row>
    <row r="81" ht="12.75">
      <c r="A81" s="67" t="s">
        <v>143</v>
      </c>
    </row>
    <row r="82" spans="1:5" ht="12.75">
      <c r="A82" s="67" t="s">
        <v>144</v>
      </c>
      <c r="B82" s="8" t="s">
        <v>186</v>
      </c>
      <c r="C82" s="291"/>
      <c r="D82" s="291"/>
      <c r="E82" s="248">
        <f>C82-D82</f>
        <v>0</v>
      </c>
    </row>
    <row r="83" spans="1:5" ht="12.75">
      <c r="A83" s="71" t="s">
        <v>150</v>
      </c>
      <c r="B83" s="8" t="s">
        <v>186</v>
      </c>
      <c r="C83" s="291"/>
      <c r="D83" s="291"/>
      <c r="E83" s="248">
        <f aca="true" t="shared" si="5" ref="E83:E98">C83-D83</f>
        <v>0</v>
      </c>
    </row>
    <row r="84" spans="1:5" ht="12.75">
      <c r="A84" s="71" t="s">
        <v>145</v>
      </c>
      <c r="B84" s="8" t="s">
        <v>186</v>
      </c>
      <c r="C84" s="291"/>
      <c r="D84" s="291"/>
      <c r="E84" s="248">
        <f t="shared" si="5"/>
        <v>0</v>
      </c>
    </row>
    <row r="85" spans="1:5" ht="12.75">
      <c r="A85" s="71" t="s">
        <v>252</v>
      </c>
      <c r="B85" s="8" t="s">
        <v>186</v>
      </c>
      <c r="C85" s="291"/>
      <c r="D85" s="291"/>
      <c r="E85" s="248">
        <f t="shared" si="5"/>
        <v>0</v>
      </c>
    </row>
    <row r="86" spans="1:5" ht="12.75">
      <c r="A86" s="67" t="s">
        <v>192</v>
      </c>
      <c r="B86" s="8" t="s">
        <v>186</v>
      </c>
      <c r="C86" s="291"/>
      <c r="D86" s="291"/>
      <c r="E86" s="248">
        <f t="shared" si="5"/>
        <v>0</v>
      </c>
    </row>
    <row r="87" spans="1:5" ht="12.75">
      <c r="A87" s="67" t="s">
        <v>372</v>
      </c>
      <c r="B87" s="8" t="s">
        <v>186</v>
      </c>
      <c r="C87" s="291"/>
      <c r="D87" s="291"/>
      <c r="E87" s="248">
        <f t="shared" si="5"/>
        <v>0</v>
      </c>
    </row>
    <row r="88" spans="1:5" ht="12.75">
      <c r="A88" s="67" t="s">
        <v>193</v>
      </c>
      <c r="B88" s="8" t="s">
        <v>186</v>
      </c>
      <c r="C88" s="291"/>
      <c r="D88" s="291"/>
      <c r="E88" s="248">
        <f t="shared" si="5"/>
        <v>0</v>
      </c>
    </row>
    <row r="89" spans="1:5" ht="12.75">
      <c r="A89" s="67" t="s">
        <v>165</v>
      </c>
      <c r="B89" s="8" t="s">
        <v>186</v>
      </c>
      <c r="C89" s="291"/>
      <c r="D89" s="291"/>
      <c r="E89" s="248">
        <f t="shared" si="5"/>
        <v>0</v>
      </c>
    </row>
    <row r="90" spans="1:5" ht="12.75">
      <c r="A90" s="67" t="s">
        <v>166</v>
      </c>
      <c r="B90" s="8" t="s">
        <v>186</v>
      </c>
      <c r="C90" s="291"/>
      <c r="D90" s="291"/>
      <c r="E90" s="248">
        <f t="shared" si="5"/>
        <v>0</v>
      </c>
    </row>
    <row r="91" spans="1:5" ht="12.75">
      <c r="A91" s="67" t="s">
        <v>167</v>
      </c>
      <c r="B91" s="8" t="s">
        <v>186</v>
      </c>
      <c r="C91" s="291"/>
      <c r="D91" s="291"/>
      <c r="E91" s="248">
        <f t="shared" si="5"/>
        <v>0</v>
      </c>
    </row>
    <row r="92" spans="2:5" ht="12.75">
      <c r="B92" s="8" t="s">
        <v>186</v>
      </c>
      <c r="C92" s="291"/>
      <c r="D92" s="291"/>
      <c r="E92" s="248"/>
    </row>
    <row r="93" spans="1:5" ht="12.75">
      <c r="A93" s="67"/>
      <c r="B93" s="8" t="s">
        <v>186</v>
      </c>
      <c r="C93" s="291"/>
      <c r="D93" s="291"/>
      <c r="E93" s="248">
        <f t="shared" si="5"/>
        <v>0</v>
      </c>
    </row>
    <row r="94" spans="1:5" ht="12.75">
      <c r="A94" s="67"/>
      <c r="B94" s="8" t="s">
        <v>186</v>
      </c>
      <c r="C94" s="291"/>
      <c r="D94" s="291"/>
      <c r="E94" s="248">
        <f t="shared" si="5"/>
        <v>0</v>
      </c>
    </row>
    <row r="95" spans="1:5" ht="12.75">
      <c r="A95" s="68" t="s">
        <v>203</v>
      </c>
      <c r="B95" s="8" t="s">
        <v>186</v>
      </c>
      <c r="C95" s="291"/>
      <c r="D95" s="291"/>
      <c r="E95" s="248">
        <f t="shared" si="5"/>
        <v>0</v>
      </c>
    </row>
    <row r="96" spans="1:5" ht="12.75">
      <c r="A96" s="67" t="s">
        <v>468</v>
      </c>
      <c r="B96" s="8" t="s">
        <v>186</v>
      </c>
      <c r="C96" s="291">
        <v>0</v>
      </c>
      <c r="D96" s="291"/>
      <c r="E96" s="248">
        <f t="shared" si="5"/>
        <v>0</v>
      </c>
    </row>
    <row r="97" spans="1:5" ht="12.75">
      <c r="A97" s="67"/>
      <c r="B97" s="8" t="s">
        <v>186</v>
      </c>
      <c r="C97" s="291"/>
      <c r="D97" s="291"/>
      <c r="E97" s="248">
        <f t="shared" si="5"/>
        <v>0</v>
      </c>
    </row>
    <row r="98" spans="1:5" ht="12.75">
      <c r="A98" s="67"/>
      <c r="B98" s="8" t="s">
        <v>186</v>
      </c>
      <c r="C98" s="291"/>
      <c r="D98" s="291"/>
      <c r="E98" s="248">
        <f t="shared" si="5"/>
        <v>0</v>
      </c>
    </row>
    <row r="99" spans="1:5" ht="12.75">
      <c r="A99" s="67" t="s">
        <v>169</v>
      </c>
      <c r="B99" s="8" t="s">
        <v>187</v>
      </c>
      <c r="C99" s="248">
        <f>SUM(C82:C98)</f>
        <v>0</v>
      </c>
      <c r="D99" s="248">
        <f>SUM(D82:D98)</f>
        <v>0</v>
      </c>
      <c r="E99" s="248">
        <f>SUM(E82:E98)</f>
        <v>0</v>
      </c>
    </row>
    <row r="100" ht="12.75">
      <c r="A100" s="67"/>
    </row>
    <row r="101" ht="12.75">
      <c r="A101" s="67" t="s">
        <v>172</v>
      </c>
    </row>
    <row r="102" spans="1:5" ht="12.75">
      <c r="A102" s="272" t="str">
        <f aca="true" t="shared" si="6" ref="A102:A111">IF($E82&gt;$C$11,A82," ")</f>
        <v> </v>
      </c>
      <c r="B102" s="270"/>
      <c r="C102" s="248">
        <f aca="true" t="shared" si="7" ref="C102:E118">IF($E82&gt;$C$11,C82,)</f>
        <v>0</v>
      </c>
      <c r="D102" s="248">
        <f t="shared" si="7"/>
        <v>0</v>
      </c>
      <c r="E102" s="248">
        <f t="shared" si="7"/>
        <v>0</v>
      </c>
    </row>
    <row r="103" spans="1:5" ht="12.75">
      <c r="A103" s="272" t="str">
        <f t="shared" si="6"/>
        <v> </v>
      </c>
      <c r="B103" s="270"/>
      <c r="C103" s="248">
        <f t="shared" si="7"/>
        <v>0</v>
      </c>
      <c r="D103" s="248">
        <f t="shared" si="7"/>
        <v>0</v>
      </c>
      <c r="E103" s="248">
        <f t="shared" si="7"/>
        <v>0</v>
      </c>
    </row>
    <row r="104" spans="1:5" ht="12.75">
      <c r="A104" s="272" t="str">
        <f t="shared" si="6"/>
        <v> </v>
      </c>
      <c r="B104" s="270"/>
      <c r="C104" s="248">
        <f t="shared" si="7"/>
        <v>0</v>
      </c>
      <c r="D104" s="248">
        <f t="shared" si="7"/>
        <v>0</v>
      </c>
      <c r="E104" s="248">
        <f t="shared" si="7"/>
        <v>0</v>
      </c>
    </row>
    <row r="105" spans="1:5" ht="12.75">
      <c r="A105" s="272" t="str">
        <f t="shared" si="6"/>
        <v> </v>
      </c>
      <c r="B105" s="270"/>
      <c r="C105" s="248">
        <f t="shared" si="7"/>
        <v>0</v>
      </c>
      <c r="D105" s="248">
        <f t="shared" si="7"/>
        <v>0</v>
      </c>
      <c r="E105" s="248">
        <f t="shared" si="7"/>
        <v>0</v>
      </c>
    </row>
    <row r="106" spans="1:5" ht="12.75">
      <c r="A106" s="272" t="str">
        <f t="shared" si="6"/>
        <v> </v>
      </c>
      <c r="B106" s="270"/>
      <c r="C106" s="248">
        <f t="shared" si="7"/>
        <v>0</v>
      </c>
      <c r="D106" s="248">
        <f t="shared" si="7"/>
        <v>0</v>
      </c>
      <c r="E106" s="248">
        <f t="shared" si="7"/>
        <v>0</v>
      </c>
    </row>
    <row r="107" spans="1:5" ht="12.75">
      <c r="A107" s="272" t="str">
        <f t="shared" si="6"/>
        <v> </v>
      </c>
      <c r="B107" s="270"/>
      <c r="C107" s="248">
        <f t="shared" si="7"/>
        <v>0</v>
      </c>
      <c r="D107" s="248">
        <f t="shared" si="7"/>
        <v>0</v>
      </c>
      <c r="E107" s="248">
        <f t="shared" si="7"/>
        <v>0</v>
      </c>
    </row>
    <row r="108" spans="1:5" ht="12.75">
      <c r="A108" s="272" t="str">
        <f t="shared" si="6"/>
        <v> </v>
      </c>
      <c r="B108" s="270"/>
      <c r="C108" s="248">
        <f t="shared" si="7"/>
        <v>0</v>
      </c>
      <c r="D108" s="248">
        <f t="shared" si="7"/>
        <v>0</v>
      </c>
      <c r="E108" s="248">
        <f t="shared" si="7"/>
        <v>0</v>
      </c>
    </row>
    <row r="109" spans="1:5" ht="12.75">
      <c r="A109" s="272" t="str">
        <f t="shared" si="6"/>
        <v> </v>
      </c>
      <c r="B109" s="270"/>
      <c r="C109" s="248">
        <f t="shared" si="7"/>
        <v>0</v>
      </c>
      <c r="D109" s="248">
        <f t="shared" si="7"/>
        <v>0</v>
      </c>
      <c r="E109" s="248">
        <f t="shared" si="7"/>
        <v>0</v>
      </c>
    </row>
    <row r="110" spans="1:5" ht="12.75">
      <c r="A110" s="272" t="str">
        <f t="shared" si="6"/>
        <v> </v>
      </c>
      <c r="B110" s="270"/>
      <c r="C110" s="248">
        <f t="shared" si="7"/>
        <v>0</v>
      </c>
      <c r="D110" s="248">
        <f t="shared" si="7"/>
        <v>0</v>
      </c>
      <c r="E110" s="248">
        <f t="shared" si="7"/>
        <v>0</v>
      </c>
    </row>
    <row r="111" spans="1:5" ht="12.75">
      <c r="A111" s="272" t="str">
        <f t="shared" si="6"/>
        <v> </v>
      </c>
      <c r="B111" s="270"/>
      <c r="C111" s="248">
        <f t="shared" si="7"/>
        <v>0</v>
      </c>
      <c r="D111" s="248">
        <f t="shared" si="7"/>
        <v>0</v>
      </c>
      <c r="E111" s="248">
        <f t="shared" si="7"/>
        <v>0</v>
      </c>
    </row>
    <row r="112" spans="1:5" ht="12.75">
      <c r="A112" s="272" t="str">
        <f>IF($E92&gt;$C$11,A95," ")</f>
        <v> </v>
      </c>
      <c r="B112" s="270"/>
      <c r="C112" s="248">
        <f t="shared" si="7"/>
        <v>0</v>
      </c>
      <c r="D112" s="248">
        <f t="shared" si="7"/>
        <v>0</v>
      </c>
      <c r="E112" s="248">
        <f t="shared" si="7"/>
        <v>0</v>
      </c>
    </row>
    <row r="113" spans="1:5" ht="12.75">
      <c r="A113" s="272" t="str">
        <f>IF($E93&gt;$C$11,#REF!," ")</f>
        <v> </v>
      </c>
      <c r="B113" s="270"/>
      <c r="C113" s="248">
        <f t="shared" si="7"/>
        <v>0</v>
      </c>
      <c r="D113" s="248">
        <f t="shared" si="7"/>
        <v>0</v>
      </c>
      <c r="E113" s="248">
        <f t="shared" si="7"/>
        <v>0</v>
      </c>
    </row>
    <row r="114" spans="1:5" ht="12.75">
      <c r="A114" s="272" t="str">
        <f>IF($E94&gt;$C$11,A94," ")</f>
        <v> </v>
      </c>
      <c r="B114" s="270"/>
      <c r="C114" s="248">
        <f t="shared" si="7"/>
        <v>0</v>
      </c>
      <c r="D114" s="248">
        <f t="shared" si="7"/>
        <v>0</v>
      </c>
      <c r="E114" s="248">
        <f t="shared" si="7"/>
        <v>0</v>
      </c>
    </row>
    <row r="115" spans="1:5" ht="12.75">
      <c r="A115" s="272" t="str">
        <f>IF($E95&gt;$C$11,A93," ")</f>
        <v> </v>
      </c>
      <c r="B115" s="270"/>
      <c r="C115" s="248">
        <f t="shared" si="7"/>
        <v>0</v>
      </c>
      <c r="D115" s="248">
        <f t="shared" si="7"/>
        <v>0</v>
      </c>
      <c r="E115" s="248">
        <f t="shared" si="7"/>
        <v>0</v>
      </c>
    </row>
    <row r="116" spans="1:5" ht="12.75">
      <c r="A116" s="272" t="str">
        <f>IF($E96&gt;$C$11,A96," ")</f>
        <v> </v>
      </c>
      <c r="B116" s="270"/>
      <c r="C116" s="248">
        <f t="shared" si="7"/>
        <v>0</v>
      </c>
      <c r="D116" s="248">
        <f t="shared" si="7"/>
        <v>0</v>
      </c>
      <c r="E116" s="248">
        <f t="shared" si="7"/>
        <v>0</v>
      </c>
    </row>
    <row r="117" spans="1:5" ht="12.75">
      <c r="A117" s="272" t="str">
        <f>IF($E97&gt;$C$11,A97," ")</f>
        <v> </v>
      </c>
      <c r="B117" s="270"/>
      <c r="C117" s="248">
        <f t="shared" si="7"/>
        <v>0</v>
      </c>
      <c r="D117" s="248">
        <f t="shared" si="7"/>
        <v>0</v>
      </c>
      <c r="E117" s="248">
        <f t="shared" si="7"/>
        <v>0</v>
      </c>
    </row>
    <row r="118" spans="1:5" ht="12.75">
      <c r="A118" s="272" t="str">
        <f>IF($E98&gt;$C$11,A98," ")</f>
        <v> </v>
      </c>
      <c r="B118" s="270"/>
      <c r="C118" s="248">
        <f t="shared" si="7"/>
        <v>0</v>
      </c>
      <c r="D118" s="248">
        <f t="shared" si="7"/>
        <v>0</v>
      </c>
      <c r="E118" s="248">
        <f t="shared" si="7"/>
        <v>0</v>
      </c>
    </row>
    <row r="119" spans="1:5" ht="12.75">
      <c r="A119" s="275" t="s">
        <v>200</v>
      </c>
      <c r="B119" s="270"/>
      <c r="C119" s="248">
        <f>SUM(C102:C118)</f>
        <v>0</v>
      </c>
      <c r="D119" s="248">
        <f>SUM(D102:D118)</f>
        <v>0</v>
      </c>
      <c r="E119" s="248">
        <f>SUM(E102:E118)</f>
        <v>0</v>
      </c>
    </row>
    <row r="120" spans="1:5" ht="12.75">
      <c r="A120" s="275" t="s">
        <v>199</v>
      </c>
      <c r="B120" s="270"/>
      <c r="C120" s="248">
        <f>C99-C119</f>
        <v>0</v>
      </c>
      <c r="D120" s="248">
        <f>D99-D119</f>
        <v>0</v>
      </c>
      <c r="E120" s="248">
        <f>E99-E119</f>
        <v>0</v>
      </c>
    </row>
    <row r="121" spans="1:5" ht="12.75">
      <c r="A121" s="275" t="s">
        <v>169</v>
      </c>
      <c r="B121" s="270"/>
      <c r="C121" s="248">
        <f>C119+C120</f>
        <v>0</v>
      </c>
      <c r="D121" s="248">
        <f>D119+D120</f>
        <v>0</v>
      </c>
      <c r="E121" s="248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35433070866141736" right="0.03937007874015748" top="0.9055118110236221" bottom="0.35433070866141736" header="0.2755905511811024" footer="0"/>
  <pageSetup fitToHeight="2" horizontalDpi="600" verticalDpi="600" orientation="portrait" scale="76" r:id="rId1"/>
  <headerFooter alignWithMargins="0">
    <oddHeader>&amp;R&amp;8Horizon Utilities Corp.
Disposition of Account 1562 Deferred PILS
EB-2012-0005
Appendix C-1
Filed:  March 28, 2012&amp;10
</oddHeader>
    <oddFooter>&amp;R&amp;"Arial,Bold"&amp;9&amp;A</oddFooter>
  </headerFooter>
  <rowBreaks count="1" manualBreakCount="1">
    <brk id="7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view="pageLayout" workbookViewId="0" topLeftCell="A1">
      <selection activeCell="F50" sqref="F50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</v>
      </c>
    </row>
    <row r="3" spans="1:5" ht="12.75">
      <c r="A3" s="2" t="s">
        <v>380</v>
      </c>
      <c r="E3" s="92"/>
    </row>
    <row r="4" spans="1:6" ht="15.75">
      <c r="A4" s="455" t="s">
        <v>441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57" t="s">
        <v>381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REGINFO!G2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  Horizon Utilities Corporation</v>
      </c>
      <c r="B8" s="8"/>
      <c r="C8" s="8"/>
      <c r="D8" s="8"/>
      <c r="E8" s="21" t="str">
        <f>REGINFO!G1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 (306 days December 31st)</v>
      </c>
      <c r="B11" s="20"/>
      <c r="C11" s="25"/>
      <c r="D11" s="25"/>
      <c r="E11" s="25"/>
      <c r="F11" s="20"/>
    </row>
    <row r="12" spans="1:6" ht="12.75">
      <c r="A12" s="2" t="s">
        <v>120</v>
      </c>
      <c r="B12" s="20"/>
      <c r="C12" s="268">
        <f>TAXREC!C11</f>
        <v>306</v>
      </c>
      <c r="D12" s="60"/>
      <c r="E12" s="25"/>
      <c r="F12" s="20"/>
    </row>
    <row r="13" spans="1:6" ht="13.5" thickBot="1">
      <c r="A13" s="2"/>
      <c r="B13" s="20"/>
      <c r="C13" s="231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175</v>
      </c>
      <c r="B16" s="20"/>
      <c r="C16" s="25"/>
      <c r="D16" s="25"/>
      <c r="E16" s="26"/>
      <c r="F16" s="8"/>
    </row>
    <row r="17" spans="1:6" ht="12.75">
      <c r="A17" s="2" t="s">
        <v>121</v>
      </c>
      <c r="B17" s="20"/>
      <c r="C17" s="25"/>
      <c r="D17" s="25"/>
      <c r="E17" s="26"/>
      <c r="F17" s="8"/>
    </row>
    <row r="19" spans="1:5" ht="12.75">
      <c r="A19" s="67" t="s">
        <v>131</v>
      </c>
      <c r="B19" t="s">
        <v>185</v>
      </c>
      <c r="C19" s="292"/>
      <c r="D19" s="292"/>
      <c r="E19" s="310">
        <f aca="true" t="shared" si="0" ref="E19:E45">C19-D19</f>
        <v>0</v>
      </c>
    </row>
    <row r="20" spans="1:5" ht="12.75">
      <c r="A20" t="s">
        <v>383</v>
      </c>
      <c r="B20" t="s">
        <v>185</v>
      </c>
      <c r="C20" s="292"/>
      <c r="D20" s="292"/>
      <c r="E20" s="310">
        <f t="shared" si="0"/>
        <v>0</v>
      </c>
    </row>
    <row r="21" spans="1:5" ht="12.75">
      <c r="A21" t="s">
        <v>449</v>
      </c>
      <c r="B21" t="s">
        <v>185</v>
      </c>
      <c r="C21" s="292"/>
      <c r="D21" s="292"/>
      <c r="E21" s="310">
        <f t="shared" si="0"/>
        <v>0</v>
      </c>
    </row>
    <row r="22" spans="1:5" ht="12.75">
      <c r="A22" s="67" t="s">
        <v>386</v>
      </c>
      <c r="B22" t="s">
        <v>185</v>
      </c>
      <c r="C22" s="292"/>
      <c r="D22" s="311"/>
      <c r="E22" s="310">
        <f t="shared" si="0"/>
        <v>0</v>
      </c>
    </row>
    <row r="23" spans="1:5" ht="12.75">
      <c r="A23" s="67" t="s">
        <v>387</v>
      </c>
      <c r="B23" t="s">
        <v>185</v>
      </c>
      <c r="C23" s="292"/>
      <c r="D23" s="292"/>
      <c r="E23" s="310">
        <f t="shared" si="0"/>
        <v>0</v>
      </c>
    </row>
    <row r="24" spans="1:5" ht="12.75">
      <c r="A24" s="67" t="s">
        <v>450</v>
      </c>
      <c r="B24" t="s">
        <v>185</v>
      </c>
      <c r="C24" s="292"/>
      <c r="D24" s="292"/>
      <c r="E24" s="310">
        <f t="shared" si="0"/>
        <v>0</v>
      </c>
    </row>
    <row r="25" spans="1:5" ht="12.75">
      <c r="A25" s="67" t="s">
        <v>123</v>
      </c>
      <c r="B25" t="s">
        <v>185</v>
      </c>
      <c r="C25" s="292"/>
      <c r="D25" s="292"/>
      <c r="E25" s="310">
        <f t="shared" si="0"/>
        <v>0</v>
      </c>
    </row>
    <row r="26" spans="1:5" ht="12.75">
      <c r="A26" s="67" t="s">
        <v>132</v>
      </c>
      <c r="B26" t="s">
        <v>185</v>
      </c>
      <c r="C26" s="292"/>
      <c r="D26" s="292"/>
      <c r="E26" s="310">
        <f t="shared" si="0"/>
        <v>0</v>
      </c>
    </row>
    <row r="27" spans="1:5" ht="12.75">
      <c r="A27" s="67" t="s">
        <v>433</v>
      </c>
      <c r="B27" t="s">
        <v>185</v>
      </c>
      <c r="C27" s="292"/>
      <c r="D27" s="292"/>
      <c r="E27" s="310">
        <f t="shared" si="0"/>
        <v>0</v>
      </c>
    </row>
    <row r="28" spans="1:5" ht="12.75">
      <c r="A28" s="67" t="s">
        <v>385</v>
      </c>
      <c r="B28" t="s">
        <v>185</v>
      </c>
      <c r="C28" s="292"/>
      <c r="D28" s="292"/>
      <c r="E28" s="310">
        <f t="shared" si="0"/>
        <v>0</v>
      </c>
    </row>
    <row r="29" spans="1:5" ht="12.75">
      <c r="A29" s="67" t="s">
        <v>134</v>
      </c>
      <c r="B29" t="s">
        <v>185</v>
      </c>
      <c r="C29" s="292"/>
      <c r="D29" s="292"/>
      <c r="E29" s="310">
        <f t="shared" si="0"/>
        <v>0</v>
      </c>
    </row>
    <row r="30" spans="1:5" ht="12.75">
      <c r="A30" s="67" t="s">
        <v>384</v>
      </c>
      <c r="B30" t="s">
        <v>185</v>
      </c>
      <c r="C30" s="292"/>
      <c r="D30" s="292"/>
      <c r="E30" s="310">
        <f t="shared" si="0"/>
        <v>0</v>
      </c>
    </row>
    <row r="31" spans="1:5" ht="12.75">
      <c r="A31" s="67" t="s">
        <v>190</v>
      </c>
      <c r="B31" t="s">
        <v>185</v>
      </c>
      <c r="C31" s="292"/>
      <c r="D31" s="292"/>
      <c r="E31" s="310">
        <f t="shared" si="0"/>
        <v>0</v>
      </c>
    </row>
    <row r="32" spans="1:5" ht="12.75">
      <c r="A32" s="67" t="s">
        <v>428</v>
      </c>
      <c r="B32" t="s">
        <v>185</v>
      </c>
      <c r="C32" s="292">
        <v>11758</v>
      </c>
      <c r="D32" s="292"/>
      <c r="E32" s="310">
        <f t="shared" si="0"/>
        <v>11758</v>
      </c>
    </row>
    <row r="33" spans="1:5" ht="12.75">
      <c r="A33" s="67" t="s">
        <v>429</v>
      </c>
      <c r="B33" t="s">
        <v>185</v>
      </c>
      <c r="C33" s="292"/>
      <c r="D33" s="292"/>
      <c r="E33" s="310">
        <f t="shared" si="0"/>
        <v>0</v>
      </c>
    </row>
    <row r="34" spans="1:5" ht="12.75">
      <c r="A34" s="67" t="s">
        <v>446</v>
      </c>
      <c r="B34" t="s">
        <v>185</v>
      </c>
      <c r="C34" s="292"/>
      <c r="D34" s="292"/>
      <c r="E34" s="310">
        <f t="shared" si="0"/>
        <v>0</v>
      </c>
    </row>
    <row r="35" spans="1:5" ht="12.75">
      <c r="A35" s="81" t="s">
        <v>447</v>
      </c>
      <c r="C35" s="292">
        <v>14600</v>
      </c>
      <c r="D35" s="292"/>
      <c r="E35" s="310">
        <f t="shared" si="0"/>
        <v>14600</v>
      </c>
    </row>
    <row r="36" spans="1:5" ht="12.75">
      <c r="A36" s="67" t="s">
        <v>430</v>
      </c>
      <c r="C36" s="292"/>
      <c r="D36" s="292"/>
      <c r="E36" s="310">
        <f t="shared" si="0"/>
        <v>0</v>
      </c>
    </row>
    <row r="37" spans="1:5" ht="12.75">
      <c r="A37" s="67" t="s">
        <v>431</v>
      </c>
      <c r="C37" s="292"/>
      <c r="D37" s="292"/>
      <c r="E37" s="310">
        <f t="shared" si="0"/>
        <v>0</v>
      </c>
    </row>
    <row r="38" spans="1:5" ht="12.75">
      <c r="A38" s="81" t="s">
        <v>388</v>
      </c>
      <c r="C38" s="292"/>
      <c r="D38" s="292"/>
      <c r="E38" s="310">
        <f t="shared" si="0"/>
        <v>0</v>
      </c>
    </row>
    <row r="39" spans="2:5" ht="12.75">
      <c r="B39" t="s">
        <v>185</v>
      </c>
      <c r="C39" s="292"/>
      <c r="D39" s="292"/>
      <c r="E39" s="310">
        <f t="shared" si="0"/>
        <v>0</v>
      </c>
    </row>
    <row r="40" spans="1:5" ht="12.75">
      <c r="A40" s="81" t="s">
        <v>382</v>
      </c>
      <c r="B40" t="s">
        <v>185</v>
      </c>
      <c r="C40" s="292">
        <v>1819335</v>
      </c>
      <c r="D40" s="292"/>
      <c r="E40" s="310">
        <f t="shared" si="0"/>
        <v>1819335</v>
      </c>
    </row>
    <row r="41" spans="1:5" ht="12.75">
      <c r="A41" s="67" t="s">
        <v>453</v>
      </c>
      <c r="B41" t="s">
        <v>185</v>
      </c>
      <c r="C41" s="292"/>
      <c r="D41" s="292"/>
      <c r="E41" s="310">
        <f t="shared" si="0"/>
        <v>0</v>
      </c>
    </row>
    <row r="42" spans="2:5" ht="12.75">
      <c r="B42" t="s">
        <v>185</v>
      </c>
      <c r="C42" s="292"/>
      <c r="D42" s="292"/>
      <c r="E42" s="310">
        <f t="shared" si="0"/>
        <v>0</v>
      </c>
    </row>
    <row r="43" spans="1:5" ht="12.75">
      <c r="A43" s="68" t="s">
        <v>202</v>
      </c>
      <c r="B43" t="s">
        <v>185</v>
      </c>
      <c r="C43" s="292"/>
      <c r="D43" s="292"/>
      <c r="E43" s="310">
        <f t="shared" si="0"/>
        <v>0</v>
      </c>
    </row>
    <row r="44" spans="2:5" ht="12.75">
      <c r="B44" t="s">
        <v>185</v>
      </c>
      <c r="C44" s="291"/>
      <c r="D44" s="291"/>
      <c r="E44" s="248">
        <f t="shared" si="0"/>
        <v>0</v>
      </c>
    </row>
    <row r="45" spans="2:5" ht="12.75">
      <c r="B45" t="s">
        <v>185</v>
      </c>
      <c r="C45" s="291"/>
      <c r="D45" s="291"/>
      <c r="E45" s="248">
        <f t="shared" si="0"/>
        <v>0</v>
      </c>
    </row>
    <row r="46" spans="1:5" ht="12.75">
      <c r="A46" s="67"/>
      <c r="B46" t="s">
        <v>185</v>
      </c>
      <c r="C46" s="291"/>
      <c r="D46" s="291"/>
      <c r="E46" s="276"/>
    </row>
    <row r="47" spans="1:5" ht="12.75">
      <c r="A47" s="441" t="s">
        <v>392</v>
      </c>
      <c r="B47" t="s">
        <v>187</v>
      </c>
      <c r="C47" s="248">
        <f>SUM(C19:C46)</f>
        <v>1845693</v>
      </c>
      <c r="D47" s="248">
        <f>SUM(D19:D46)</f>
        <v>0</v>
      </c>
      <c r="E47" s="248">
        <f>SUM(E19:E46)</f>
        <v>1845693</v>
      </c>
    </row>
    <row r="48" ht="12.75">
      <c r="A48" s="67"/>
    </row>
    <row r="49" ht="12.75">
      <c r="A49" s="81" t="s">
        <v>143</v>
      </c>
    </row>
    <row r="51" spans="1:5" ht="12.75">
      <c r="A51" s="71" t="s">
        <v>383</v>
      </c>
      <c r="B51" s="8" t="s">
        <v>186</v>
      </c>
      <c r="C51" s="291"/>
      <c r="D51" s="291"/>
      <c r="E51" s="248">
        <f aca="true" t="shared" si="1" ref="E51:E61">C51-D51</f>
        <v>0</v>
      </c>
    </row>
    <row r="52" spans="1:5" ht="12.75">
      <c r="A52" s="67" t="s">
        <v>449</v>
      </c>
      <c r="B52" s="8" t="s">
        <v>186</v>
      </c>
      <c r="C52" s="291"/>
      <c r="D52" s="291"/>
      <c r="E52" s="248">
        <f t="shared" si="1"/>
        <v>0</v>
      </c>
    </row>
    <row r="53" spans="1:5" ht="12.75">
      <c r="A53" t="s">
        <v>384</v>
      </c>
      <c r="B53" s="8" t="s">
        <v>186</v>
      </c>
      <c r="C53" s="291"/>
      <c r="D53" s="291"/>
      <c r="E53" s="248">
        <f t="shared" si="1"/>
        <v>0</v>
      </c>
    </row>
    <row r="54" spans="1:5" ht="12.75">
      <c r="A54" t="s">
        <v>432</v>
      </c>
      <c r="B54" s="8" t="s">
        <v>186</v>
      </c>
      <c r="C54" s="291">
        <v>103782</v>
      </c>
      <c r="D54" s="291"/>
      <c r="E54" s="248">
        <f t="shared" si="1"/>
        <v>103782</v>
      </c>
    </row>
    <row r="55" spans="1:5" ht="12.75">
      <c r="A55" s="67" t="s">
        <v>440</v>
      </c>
      <c r="B55" s="8" t="s">
        <v>186</v>
      </c>
      <c r="C55" s="291"/>
      <c r="D55" s="291"/>
      <c r="E55" s="248">
        <f t="shared" si="1"/>
        <v>0</v>
      </c>
    </row>
    <row r="56" spans="1:5" ht="12.75">
      <c r="A56" s="67" t="s">
        <v>452</v>
      </c>
      <c r="B56" s="8" t="s">
        <v>186</v>
      </c>
      <c r="C56" s="291"/>
      <c r="D56" s="291"/>
      <c r="E56" s="248">
        <f t="shared" si="1"/>
        <v>0</v>
      </c>
    </row>
    <row r="57" spans="1:5" ht="12.75">
      <c r="A57" s="2" t="s">
        <v>448</v>
      </c>
      <c r="B57" s="8" t="s">
        <v>186</v>
      </c>
      <c r="C57" s="291"/>
      <c r="D57" s="291"/>
      <c r="E57" s="248">
        <f t="shared" si="1"/>
        <v>0</v>
      </c>
    </row>
    <row r="58" spans="1:5" ht="12.75">
      <c r="A58" s="67" t="s">
        <v>451</v>
      </c>
      <c r="B58" s="8" t="s">
        <v>186</v>
      </c>
      <c r="C58" s="291">
        <v>5475</v>
      </c>
      <c r="D58" s="291"/>
      <c r="E58" s="248">
        <f t="shared" si="1"/>
        <v>5475</v>
      </c>
    </row>
    <row r="59" spans="1:5" ht="12.75">
      <c r="A59" s="67"/>
      <c r="B59" s="8" t="s">
        <v>186</v>
      </c>
      <c r="C59" s="291"/>
      <c r="D59" s="291"/>
      <c r="E59" s="248">
        <f t="shared" si="1"/>
        <v>0</v>
      </c>
    </row>
    <row r="60" spans="1:5" ht="12.75">
      <c r="A60" s="459" t="s">
        <v>389</v>
      </c>
      <c r="B60" s="8" t="s">
        <v>186</v>
      </c>
      <c r="C60" s="291"/>
      <c r="D60" s="291"/>
      <c r="E60" s="248">
        <f t="shared" si="1"/>
        <v>0</v>
      </c>
    </row>
    <row r="61" spans="2:5" ht="12.75">
      <c r="B61" s="8" t="s">
        <v>186</v>
      </c>
      <c r="C61" s="291"/>
      <c r="D61" s="291"/>
      <c r="E61" s="248">
        <f t="shared" si="1"/>
        <v>0</v>
      </c>
    </row>
    <row r="62" spans="1:5" ht="12.75">
      <c r="A62" s="459" t="s">
        <v>382</v>
      </c>
      <c r="B62" s="8" t="s">
        <v>186</v>
      </c>
      <c r="C62" s="291"/>
      <c r="D62" s="291"/>
      <c r="E62" s="248">
        <f aca="true" t="shared" si="2" ref="E62:E72">C62-D62</f>
        <v>0</v>
      </c>
    </row>
    <row r="63" spans="2:5" ht="12.75">
      <c r="B63" s="8" t="s">
        <v>186</v>
      </c>
      <c r="C63" s="291"/>
      <c r="D63" s="291"/>
      <c r="E63" s="248">
        <f t="shared" si="2"/>
        <v>0</v>
      </c>
    </row>
    <row r="64" spans="2:5" ht="12.75">
      <c r="B64" s="8" t="s">
        <v>186</v>
      </c>
      <c r="C64" s="291"/>
      <c r="D64" s="291"/>
      <c r="E64" s="248">
        <f t="shared" si="2"/>
        <v>0</v>
      </c>
    </row>
    <row r="65" spans="2:5" ht="12.75">
      <c r="B65" s="8" t="s">
        <v>186</v>
      </c>
      <c r="C65" s="291"/>
      <c r="D65" s="291"/>
      <c r="E65" s="248">
        <f t="shared" si="2"/>
        <v>0</v>
      </c>
    </row>
    <row r="66" spans="2:5" ht="12.75">
      <c r="B66" s="8" t="s">
        <v>186</v>
      </c>
      <c r="C66" s="291"/>
      <c r="D66" s="291"/>
      <c r="E66" s="248">
        <f t="shared" si="2"/>
        <v>0</v>
      </c>
    </row>
    <row r="67" spans="1:5" ht="12.75">
      <c r="A67" s="67"/>
      <c r="B67" s="8" t="s">
        <v>186</v>
      </c>
      <c r="C67" s="291"/>
      <c r="D67" s="291"/>
      <c r="E67" s="248">
        <f t="shared" si="2"/>
        <v>0</v>
      </c>
    </row>
    <row r="68" spans="1:5" ht="12.75">
      <c r="A68" s="68" t="s">
        <v>203</v>
      </c>
      <c r="B68" s="8" t="s">
        <v>186</v>
      </c>
      <c r="C68" s="291"/>
      <c r="D68" s="291"/>
      <c r="E68" s="248">
        <f t="shared" si="2"/>
        <v>0</v>
      </c>
    </row>
    <row r="69" spans="1:5" ht="12.75">
      <c r="A69" s="67"/>
      <c r="B69" s="8" t="s">
        <v>186</v>
      </c>
      <c r="C69" s="291"/>
      <c r="D69" s="291"/>
      <c r="E69" s="248">
        <f t="shared" si="2"/>
        <v>0</v>
      </c>
    </row>
    <row r="70" spans="1:5" ht="12.75">
      <c r="A70" s="67"/>
      <c r="B70" s="8" t="s">
        <v>186</v>
      </c>
      <c r="C70" s="291"/>
      <c r="D70" s="291"/>
      <c r="E70" s="248">
        <f t="shared" si="2"/>
        <v>0</v>
      </c>
    </row>
    <row r="71" spans="1:5" ht="12.75">
      <c r="A71" s="67"/>
      <c r="B71" s="8" t="s">
        <v>186</v>
      </c>
      <c r="C71" s="291"/>
      <c r="D71" s="291"/>
      <c r="E71" s="248">
        <f t="shared" si="2"/>
        <v>0</v>
      </c>
    </row>
    <row r="72" spans="1:5" ht="12.75">
      <c r="A72" s="67"/>
      <c r="B72" s="8" t="s">
        <v>186</v>
      </c>
      <c r="C72" s="291"/>
      <c r="D72" s="291"/>
      <c r="E72" s="276">
        <f t="shared" si="2"/>
        <v>0</v>
      </c>
    </row>
    <row r="73" spans="1:5" ht="12.75">
      <c r="A73" s="440" t="s">
        <v>391</v>
      </c>
      <c r="B73" s="8" t="s">
        <v>187</v>
      </c>
      <c r="C73" s="248">
        <f>SUM(C51:C72)</f>
        <v>109257</v>
      </c>
      <c r="D73" s="248">
        <f>SUM(D51:D72)</f>
        <v>0</v>
      </c>
      <c r="E73" s="248">
        <f>SUM(E51:E72)</f>
        <v>109257</v>
      </c>
    </row>
    <row r="74" ht="12.75">
      <c r="A74" s="67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/>
  <pageMargins left="0.35433070866141736" right="0.03937007874015748" top="0.9055118110236221" bottom="0.35433070866141736" header="0.2755905511811024" footer="0"/>
  <pageSetup horizontalDpi="600" verticalDpi="600" orientation="portrait" scale="76" r:id="rId1"/>
  <headerFooter alignWithMargins="0">
    <oddHeader>&amp;R&amp;8Horizon Utilities Corp.
Disposition of Account 1562 Deferred PILS
EB-2012-0005
Appendix C-1
Filed:  March 28, 2012&amp;10
</oddHeader>
    <oddFooter>&amp;R&amp;"Arial,Bold"&amp;9&amp;A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2" t="str">
        <f>REGINFO!A1</f>
        <v>PILs TAXES </v>
      </c>
      <c r="B1" s="383"/>
      <c r="C1" s="340"/>
      <c r="D1" s="340"/>
      <c r="E1" s="340"/>
      <c r="F1" s="340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1" t="s">
        <v>106</v>
      </c>
      <c r="B2" s="340"/>
      <c r="C2" s="340"/>
      <c r="D2" s="340"/>
      <c r="E2" s="340"/>
      <c r="F2" s="342" t="str">
        <f>REGINFO!G1</f>
        <v>Version 2009.1</v>
      </c>
      <c r="G2" s="189"/>
      <c r="H2" s="189"/>
      <c r="I2" s="189"/>
      <c r="J2" s="189"/>
      <c r="K2" s="236"/>
      <c r="L2" s="189"/>
      <c r="M2" s="189"/>
      <c r="N2" s="189"/>
      <c r="O2" s="189"/>
      <c r="P2" s="189"/>
      <c r="Q2" s="34"/>
      <c r="R2" s="34"/>
    </row>
    <row r="3" spans="1:18" ht="12.75">
      <c r="A3" s="341" t="s">
        <v>304</v>
      </c>
      <c r="B3" s="340"/>
      <c r="C3" s="340"/>
      <c r="D3" s="340"/>
      <c r="E3" s="340"/>
      <c r="F3" s="342"/>
      <c r="G3" s="189"/>
      <c r="H3" s="189"/>
      <c r="I3" s="189"/>
      <c r="J3" s="189"/>
      <c r="K3" s="236"/>
      <c r="L3" s="189"/>
      <c r="M3" s="189"/>
      <c r="N3" s="189"/>
      <c r="O3" s="189"/>
      <c r="P3" s="189"/>
      <c r="Q3" s="34"/>
      <c r="R3" s="34"/>
    </row>
    <row r="4" spans="1:18" ht="12.75">
      <c r="A4" s="236" t="str">
        <f>REGINFO!A3</f>
        <v>Utility Name:   Horizon Utilities Corporation</v>
      </c>
      <c r="B4" s="340"/>
      <c r="C4" s="340"/>
      <c r="D4" s="340"/>
      <c r="E4" s="340"/>
      <c r="F4" s="340"/>
      <c r="G4" s="189"/>
      <c r="H4" s="189"/>
      <c r="I4" s="189"/>
      <c r="J4" s="189"/>
      <c r="K4" s="236"/>
      <c r="L4" s="189"/>
      <c r="M4" s="189"/>
      <c r="N4" s="189"/>
      <c r="O4" s="189"/>
      <c r="P4" s="189"/>
      <c r="Q4" s="34"/>
      <c r="R4" s="34"/>
    </row>
    <row r="5" spans="1:18" ht="12.75">
      <c r="A5" s="236" t="str">
        <f>REGINFO!A4</f>
        <v>Reporting period:  2005 (306 days December 31st)</v>
      </c>
      <c r="B5" s="340"/>
      <c r="C5" s="340"/>
      <c r="D5" s="340"/>
      <c r="E5" s="340"/>
      <c r="F5" s="340"/>
      <c r="G5" s="189"/>
      <c r="H5" s="189"/>
      <c r="I5" s="189"/>
      <c r="J5" s="189"/>
      <c r="K5" s="236"/>
      <c r="L5" s="189"/>
      <c r="M5" s="189"/>
      <c r="N5" s="189"/>
      <c r="O5" s="189"/>
      <c r="P5" s="189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9"/>
      <c r="H6" s="189"/>
      <c r="I6" s="189"/>
      <c r="J6" s="189"/>
      <c r="K6" s="236"/>
      <c r="L6" s="189"/>
      <c r="M6" s="189"/>
      <c r="N6" s="189"/>
      <c r="O6" s="189"/>
      <c r="P6" s="189"/>
      <c r="Q6" s="34"/>
      <c r="R6" s="34"/>
    </row>
    <row r="7" spans="1:18" ht="12.75">
      <c r="A7" s="341"/>
      <c r="B7" s="340"/>
      <c r="C7" s="340"/>
      <c r="D7" s="340"/>
      <c r="E7" s="340"/>
      <c r="F7" s="406" t="s">
        <v>333</v>
      </c>
      <c r="G7" s="189"/>
      <c r="H7" s="189"/>
      <c r="I7" s="189"/>
      <c r="J7" s="189"/>
      <c r="K7" s="236"/>
      <c r="L7" s="189"/>
      <c r="M7" s="189"/>
      <c r="N7" s="189"/>
      <c r="O7" s="189"/>
      <c r="P7" s="189"/>
      <c r="Q7" s="34"/>
      <c r="R7" s="34"/>
    </row>
    <row r="8" spans="1:18" ht="13.5" thickBot="1">
      <c r="A8" s="557" t="s">
        <v>476</v>
      </c>
      <c r="B8" s="558"/>
      <c r="C8" s="558"/>
      <c r="D8" s="558"/>
      <c r="E8" s="340"/>
      <c r="F8" s="380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18" t="s">
        <v>111</v>
      </c>
      <c r="B9" s="323"/>
      <c r="C9" s="371">
        <v>0</v>
      </c>
      <c r="D9" s="371"/>
      <c r="E9" s="371">
        <v>400001</v>
      </c>
      <c r="F9" s="372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19" t="s">
        <v>478</v>
      </c>
      <c r="B10" s="324"/>
      <c r="C10" s="373" t="s">
        <v>110</v>
      </c>
      <c r="D10" s="373"/>
      <c r="E10" s="373" t="s">
        <v>110</v>
      </c>
      <c r="F10" s="374" t="s">
        <v>473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19"/>
      <c r="B11" s="324" t="s">
        <v>115</v>
      </c>
      <c r="C11" s="375">
        <v>400000</v>
      </c>
      <c r="D11" s="375"/>
      <c r="E11" s="375">
        <v>1128000</v>
      </c>
      <c r="F11" s="376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0" t="s">
        <v>107</v>
      </c>
      <c r="B12" s="232"/>
      <c r="C12" s="233"/>
      <c r="D12" s="233"/>
      <c r="E12" s="239"/>
      <c r="F12" s="239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1" t="s">
        <v>297</v>
      </c>
      <c r="B13" s="405">
        <v>2005</v>
      </c>
      <c r="C13" s="234"/>
      <c r="D13" s="234"/>
      <c r="E13" s="240"/>
      <c r="F13" s="240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1" t="s">
        <v>296</v>
      </c>
      <c r="B14" s="242"/>
      <c r="C14" s="325">
        <v>0.1312</v>
      </c>
      <c r="D14" s="325"/>
      <c r="E14" s="326">
        <v>0.1775</v>
      </c>
      <c r="F14" s="326">
        <v>0.2212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1" t="s">
        <v>301</v>
      </c>
      <c r="B15" s="242"/>
      <c r="C15" s="327">
        <v>0.055</v>
      </c>
      <c r="D15" s="327"/>
      <c r="E15" s="328">
        <v>0.0975</v>
      </c>
      <c r="F15" s="328">
        <v>0.14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1" t="s">
        <v>257</v>
      </c>
      <c r="B16" s="242"/>
      <c r="C16" s="329">
        <f>SUM(C14:C15)</f>
        <v>0.1862</v>
      </c>
      <c r="D16" s="329"/>
      <c r="E16" s="330">
        <f>SUM(E14:E15)</f>
        <v>0.275</v>
      </c>
      <c r="F16" s="330">
        <f>SUM(F14:F15)</f>
        <v>0.3612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1"/>
      <c r="B17" s="242"/>
      <c r="C17" s="325"/>
      <c r="D17" s="325"/>
      <c r="E17" s="326"/>
      <c r="F17" s="326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0" t="s">
        <v>108</v>
      </c>
      <c r="B18" s="241"/>
      <c r="C18" s="331">
        <v>0.003</v>
      </c>
      <c r="D18" s="325"/>
      <c r="E18" s="326"/>
      <c r="F18" s="326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0" t="s">
        <v>109</v>
      </c>
      <c r="B19" s="235"/>
      <c r="C19" s="332">
        <v>0.00175</v>
      </c>
      <c r="D19" s="333"/>
      <c r="E19" s="334"/>
      <c r="F19" s="334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0" t="s">
        <v>112</v>
      </c>
      <c r="B20" s="235"/>
      <c r="C20" s="333">
        <v>0.0112</v>
      </c>
      <c r="D20" s="335"/>
      <c r="E20" s="336"/>
      <c r="F20" s="336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2" t="s">
        <v>328</v>
      </c>
      <c r="B21" s="402" t="s">
        <v>477</v>
      </c>
      <c r="C21" s="359">
        <v>7500000</v>
      </c>
      <c r="D21" s="335"/>
      <c r="E21" s="336"/>
      <c r="F21" s="336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2" t="s">
        <v>329</v>
      </c>
      <c r="B22" s="403" t="s">
        <v>472</v>
      </c>
      <c r="C22" s="360">
        <v>50000000</v>
      </c>
      <c r="D22" s="337"/>
      <c r="E22" s="338"/>
      <c r="F22" s="338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51" t="s">
        <v>483</v>
      </c>
      <c r="B23" s="552"/>
      <c r="C23" s="552"/>
      <c r="D23" s="552"/>
      <c r="E23" s="552"/>
      <c r="F23" s="552"/>
      <c r="G23" s="430"/>
      <c r="H23" s="414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07"/>
      <c r="B24" s="408"/>
      <c r="C24" s="408"/>
      <c r="D24" s="408"/>
      <c r="E24" s="408"/>
      <c r="F24" s="408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77"/>
      <c r="B25" s="378"/>
      <c r="C25" s="381"/>
      <c r="D25" s="340"/>
      <c r="E25" s="340"/>
      <c r="F25" s="406" t="s">
        <v>334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57" t="s">
        <v>479</v>
      </c>
      <c r="B26" s="558"/>
      <c r="C26" s="558"/>
      <c r="D26" s="558"/>
      <c r="E26" s="558"/>
      <c r="F26" s="558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18" t="s">
        <v>111</v>
      </c>
      <c r="B27" s="323"/>
      <c r="C27" s="365">
        <v>0</v>
      </c>
      <c r="D27" s="365">
        <v>250001</v>
      </c>
      <c r="E27" s="365">
        <v>400001</v>
      </c>
      <c r="F27" s="366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19" t="s">
        <v>436</v>
      </c>
      <c r="B28" s="324"/>
      <c r="C28" s="367" t="s">
        <v>110</v>
      </c>
      <c r="D28" s="367" t="s">
        <v>110</v>
      </c>
      <c r="E28" s="367" t="s">
        <v>110</v>
      </c>
      <c r="F28" s="368" t="s">
        <v>473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19"/>
      <c r="B29" s="324" t="s">
        <v>115</v>
      </c>
      <c r="C29" s="369">
        <v>250000</v>
      </c>
      <c r="D29" s="369">
        <v>400000</v>
      </c>
      <c r="E29" s="369">
        <v>1128000</v>
      </c>
      <c r="F29" s="370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0" t="s">
        <v>107</v>
      </c>
      <c r="B30" s="232"/>
      <c r="C30" s="233"/>
      <c r="D30" s="233"/>
      <c r="E30" s="239"/>
      <c r="F30" s="239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1" t="s">
        <v>114</v>
      </c>
      <c r="B31" s="405">
        <v>2005</v>
      </c>
      <c r="C31" s="234"/>
      <c r="D31" s="234"/>
      <c r="E31" s="240"/>
      <c r="F31" s="240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1" t="s">
        <v>296</v>
      </c>
      <c r="B32" s="405">
        <v>2005</v>
      </c>
      <c r="C32" s="325">
        <v>0.1312</v>
      </c>
      <c r="D32" s="325">
        <v>0.2212</v>
      </c>
      <c r="E32" s="326">
        <v>0.2212</v>
      </c>
      <c r="F32" s="326">
        <v>0.2212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1" t="s">
        <v>29</v>
      </c>
      <c r="B33" s="405">
        <v>2005</v>
      </c>
      <c r="C33" s="327">
        <v>0.055</v>
      </c>
      <c r="D33" s="327">
        <v>0.055</v>
      </c>
      <c r="E33" s="328">
        <v>0.0975</v>
      </c>
      <c r="F33" s="328">
        <v>0.14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1" t="s">
        <v>257</v>
      </c>
      <c r="B34" s="405">
        <v>2005</v>
      </c>
      <c r="C34" s="329">
        <f>SUM(C32:C33)</f>
        <v>0.1862</v>
      </c>
      <c r="D34" s="329">
        <f>SUM(D32:D33)</f>
        <v>0.2762</v>
      </c>
      <c r="E34" s="330">
        <f>SUM(E32:E33)</f>
        <v>0.3187</v>
      </c>
      <c r="F34" s="330">
        <f>SUM(F32:F33)</f>
        <v>0.3612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1"/>
      <c r="B35" s="242"/>
      <c r="C35" s="325"/>
      <c r="D35" s="325"/>
      <c r="E35" s="326"/>
      <c r="F35" s="326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0" t="s">
        <v>108</v>
      </c>
      <c r="B36" s="405">
        <v>2005</v>
      </c>
      <c r="C36" s="331">
        <v>0.003</v>
      </c>
      <c r="D36" s="325"/>
      <c r="E36" s="326"/>
      <c r="F36" s="326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0" t="s">
        <v>109</v>
      </c>
      <c r="B37" s="405">
        <v>2005</v>
      </c>
      <c r="C37" s="332">
        <v>0.002</v>
      </c>
      <c r="D37" s="333"/>
      <c r="E37" s="334"/>
      <c r="F37" s="334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0" t="s">
        <v>112</v>
      </c>
      <c r="B38" s="405">
        <v>2005</v>
      </c>
      <c r="C38" s="333">
        <v>0.0112</v>
      </c>
      <c r="D38" s="335"/>
      <c r="E38" s="336"/>
      <c r="F38" s="336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2" t="s">
        <v>481</v>
      </c>
      <c r="B39" s="402" t="s">
        <v>477</v>
      </c>
      <c r="C39" s="359">
        <v>7500000</v>
      </c>
      <c r="D39" s="335"/>
      <c r="E39" s="336"/>
      <c r="F39" s="336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2" t="s">
        <v>482</v>
      </c>
      <c r="B40" s="403" t="s">
        <v>472</v>
      </c>
      <c r="C40" s="360">
        <v>50000000</v>
      </c>
      <c r="D40" s="337"/>
      <c r="E40" s="338"/>
      <c r="F40" s="338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53" t="s">
        <v>331</v>
      </c>
      <c r="B41" s="552"/>
      <c r="C41" s="552"/>
      <c r="D41" s="552"/>
      <c r="E41" s="552"/>
      <c r="F41" s="552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54"/>
      <c r="B42" s="554"/>
      <c r="C42" s="554"/>
      <c r="D42" s="554"/>
      <c r="E42" s="554"/>
      <c r="F42" s="554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77"/>
      <c r="B43" s="378"/>
      <c r="C43" s="379"/>
      <c r="D43" s="378"/>
      <c r="E43" s="378"/>
      <c r="F43" s="406" t="s">
        <v>335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4" t="s">
        <v>480</v>
      </c>
      <c r="B44" s="363"/>
      <c r="C44" s="364"/>
      <c r="D44" s="363"/>
      <c r="E44" s="340"/>
      <c r="F44" s="380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18" t="s">
        <v>111</v>
      </c>
      <c r="B45" s="323"/>
      <c r="C45" s="365">
        <v>0</v>
      </c>
      <c r="D45" s="365">
        <v>250001</v>
      </c>
      <c r="E45" s="365">
        <v>400001</v>
      </c>
      <c r="F45" s="366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19"/>
      <c r="B46" s="324"/>
      <c r="C46" s="367" t="s">
        <v>110</v>
      </c>
      <c r="D46" s="367" t="s">
        <v>110</v>
      </c>
      <c r="E46" s="367" t="s">
        <v>110</v>
      </c>
      <c r="F46" s="368" t="s">
        <v>473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19"/>
      <c r="B47" s="339" t="s">
        <v>115</v>
      </c>
      <c r="C47" s="369">
        <v>250000</v>
      </c>
      <c r="D47" s="369">
        <v>400000</v>
      </c>
      <c r="E47" s="369">
        <v>1128000</v>
      </c>
      <c r="F47" s="370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0" t="s">
        <v>107</v>
      </c>
      <c r="B48" s="232"/>
      <c r="C48" s="233"/>
      <c r="D48" s="233"/>
      <c r="E48" s="239"/>
      <c r="F48" s="239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1" t="s">
        <v>114</v>
      </c>
      <c r="B49" s="405">
        <v>2005</v>
      </c>
      <c r="C49" s="234"/>
      <c r="D49" s="234"/>
      <c r="E49" s="240"/>
      <c r="F49" s="240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1" t="s">
        <v>296</v>
      </c>
      <c r="B50" s="242"/>
      <c r="C50" s="349">
        <v>0.1312</v>
      </c>
      <c r="D50" s="349">
        <v>0.2212</v>
      </c>
      <c r="E50" s="350">
        <v>0.2212</v>
      </c>
      <c r="F50" s="350">
        <v>0.2212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1" t="s">
        <v>29</v>
      </c>
      <c r="B51" s="242"/>
      <c r="C51" s="351">
        <v>0.055</v>
      </c>
      <c r="D51" s="351">
        <v>0.055</v>
      </c>
      <c r="E51" s="352">
        <v>0.14</v>
      </c>
      <c r="F51" s="352">
        <v>0.14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1" t="s">
        <v>257</v>
      </c>
      <c r="B52" s="242"/>
      <c r="C52" s="329">
        <f>SUM(C50:C51)</f>
        <v>0.1862</v>
      </c>
      <c r="D52" s="329">
        <f>SUM(D50:D51)</f>
        <v>0.2762</v>
      </c>
      <c r="E52" s="330">
        <f>SUM(E50:E51)</f>
        <v>0.3612</v>
      </c>
      <c r="F52" s="330">
        <f>SUM(F50:F51)</f>
        <v>0.3612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1"/>
      <c r="B53" s="242"/>
      <c r="C53" s="349"/>
      <c r="D53" s="349"/>
      <c r="E53" s="350"/>
      <c r="F53" s="350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0" t="s">
        <v>108</v>
      </c>
      <c r="B54" s="241"/>
      <c r="C54" s="353">
        <v>0.003</v>
      </c>
      <c r="D54" s="349"/>
      <c r="E54" s="350"/>
      <c r="F54" s="350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0" t="s">
        <v>109</v>
      </c>
      <c r="B55" s="235"/>
      <c r="C55" s="354">
        <v>0.002</v>
      </c>
      <c r="D55" s="355"/>
      <c r="E55" s="356"/>
      <c r="F55" s="356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0" t="s">
        <v>112</v>
      </c>
      <c r="B56" s="235"/>
      <c r="C56" s="355">
        <v>0.0112</v>
      </c>
      <c r="D56" s="357"/>
      <c r="E56" s="358"/>
      <c r="F56" s="358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2" t="s">
        <v>344</v>
      </c>
      <c r="B57" s="402" t="s">
        <v>477</v>
      </c>
      <c r="C57" s="359">
        <v>6955928</v>
      </c>
      <c r="D57" s="357"/>
      <c r="E57" s="358"/>
      <c r="F57" s="358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2" t="s">
        <v>345</v>
      </c>
      <c r="B58" s="403" t="s">
        <v>472</v>
      </c>
      <c r="C58" s="360">
        <v>45995000</v>
      </c>
      <c r="D58" s="361"/>
      <c r="E58" s="362"/>
      <c r="F58" s="362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51" t="s">
        <v>346</v>
      </c>
      <c r="B59" s="555"/>
      <c r="C59" s="555"/>
      <c r="D59" s="555"/>
      <c r="E59" s="555"/>
      <c r="F59" s="555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56"/>
      <c r="B60" s="556"/>
      <c r="C60" s="556"/>
      <c r="D60" s="556"/>
      <c r="E60" s="556"/>
      <c r="F60" s="556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1"/>
      <c r="B61" s="342"/>
      <c r="C61" s="342"/>
      <c r="D61" s="342"/>
      <c r="E61" s="342"/>
      <c r="F61" s="344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1"/>
      <c r="B62" s="342"/>
      <c r="C62" s="343"/>
      <c r="D62" s="343"/>
      <c r="E62" s="343"/>
      <c r="F62" s="345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1"/>
      <c r="B63" s="340"/>
      <c r="C63" s="340"/>
      <c r="D63" s="340"/>
      <c r="E63" s="340"/>
      <c r="F63" s="340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6"/>
      <c r="B64" s="347"/>
      <c r="C64" s="348"/>
      <c r="D64" s="348"/>
      <c r="E64" s="348"/>
      <c r="F64" s="348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37"/>
      <c r="C66" s="237"/>
      <c r="D66" s="237"/>
      <c r="E66" s="237"/>
      <c r="F66" s="237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37"/>
      <c r="C67" s="237"/>
      <c r="D67" s="237"/>
      <c r="E67" s="237"/>
      <c r="F67" s="237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37"/>
      <c r="C68" s="237"/>
      <c r="D68" s="237"/>
      <c r="E68" s="237"/>
      <c r="F68" s="237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37"/>
      <c r="C69" s="237"/>
      <c r="D69" s="237"/>
      <c r="E69" s="237"/>
      <c r="F69" s="237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37"/>
      <c r="C70" s="237"/>
      <c r="D70" s="237"/>
      <c r="E70" s="237"/>
      <c r="F70" s="237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37"/>
      <c r="C71" s="237"/>
      <c r="D71" s="237"/>
      <c r="E71" s="237"/>
      <c r="F71" s="237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37"/>
      <c r="C72" s="237"/>
      <c r="D72" s="237"/>
      <c r="E72" s="237"/>
      <c r="F72" s="237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37"/>
      <c r="C73" s="237"/>
      <c r="D73" s="237"/>
      <c r="E73" s="237"/>
      <c r="F73" s="237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37"/>
      <c r="C74" s="237"/>
      <c r="D74" s="237"/>
      <c r="E74" s="237"/>
      <c r="F74" s="237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37"/>
      <c r="C75" s="237"/>
      <c r="D75" s="237"/>
      <c r="E75" s="237"/>
      <c r="F75" s="237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37"/>
      <c r="C76" s="237"/>
      <c r="D76" s="237"/>
      <c r="E76" s="237"/>
      <c r="F76" s="237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37"/>
      <c r="C77" s="237"/>
      <c r="D77" s="237"/>
      <c r="E77" s="237"/>
      <c r="F77" s="237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37"/>
      <c r="C78" s="237"/>
      <c r="D78" s="237"/>
      <c r="E78" s="237"/>
      <c r="F78" s="237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37"/>
      <c r="C79" s="237"/>
      <c r="D79" s="237"/>
      <c r="E79" s="237"/>
      <c r="F79" s="237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37"/>
      <c r="C80" s="237"/>
      <c r="D80" s="237"/>
      <c r="E80" s="237"/>
      <c r="F80" s="237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37"/>
      <c r="C81" s="237"/>
      <c r="D81" s="237"/>
      <c r="E81" s="237"/>
      <c r="F81" s="237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37"/>
      <c r="C82" s="237"/>
      <c r="D82" s="237"/>
      <c r="E82" s="237"/>
      <c r="F82" s="237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37"/>
      <c r="C83" s="237"/>
      <c r="D83" s="237"/>
      <c r="E83" s="237"/>
      <c r="F83" s="237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37"/>
      <c r="C84" s="237"/>
      <c r="D84" s="237"/>
      <c r="E84" s="237"/>
      <c r="F84" s="237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37"/>
      <c r="C85" s="237"/>
      <c r="D85" s="237"/>
      <c r="E85" s="237"/>
      <c r="F85" s="237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37"/>
      <c r="C86" s="237"/>
      <c r="D86" s="237"/>
      <c r="E86" s="237"/>
      <c r="F86" s="237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37"/>
      <c r="C87" s="237"/>
      <c r="D87" s="237"/>
      <c r="E87" s="237"/>
      <c r="F87" s="237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37"/>
      <c r="C88" s="237"/>
      <c r="D88" s="237"/>
      <c r="E88" s="237"/>
      <c r="F88" s="237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37"/>
      <c r="C89" s="237"/>
      <c r="D89" s="237"/>
      <c r="E89" s="237"/>
      <c r="F89" s="237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37"/>
      <c r="C90" s="237"/>
      <c r="D90" s="237"/>
      <c r="E90" s="237"/>
      <c r="F90" s="237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37"/>
      <c r="C91" s="237"/>
      <c r="D91" s="237"/>
      <c r="E91" s="237"/>
      <c r="F91" s="237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37"/>
      <c r="C92" s="237"/>
      <c r="D92" s="237"/>
      <c r="E92" s="237"/>
      <c r="F92" s="237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37"/>
      <c r="C93" s="237"/>
      <c r="D93" s="237"/>
      <c r="E93" s="237"/>
      <c r="F93" s="237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37"/>
      <c r="C94" s="237"/>
      <c r="D94" s="237"/>
      <c r="E94" s="237"/>
      <c r="F94" s="237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37"/>
      <c r="C95" s="237"/>
      <c r="D95" s="237"/>
      <c r="E95" s="237"/>
      <c r="F95" s="237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37"/>
      <c r="C96" s="237"/>
      <c r="D96" s="237"/>
      <c r="E96" s="237"/>
      <c r="F96" s="237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37"/>
      <c r="C97" s="237"/>
      <c r="D97" s="237"/>
      <c r="E97" s="237"/>
      <c r="F97" s="237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37"/>
      <c r="C98" s="237"/>
      <c r="D98" s="237"/>
      <c r="E98" s="237"/>
      <c r="F98" s="237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35433070866141736" right="0.03937007874015748" top="0.9055118110236221" bottom="0.35433070866141736" header="0.2755905511811024" footer="0"/>
  <pageSetup horizontalDpi="600" verticalDpi="600" orientation="portrait" scale="76" r:id="rId1"/>
  <headerFooter alignWithMargins="0">
    <oddHeader>&amp;R&amp;8Horizon Utilities Corp.
Disposition of Account 1562 Deferred PILS
EB-2012-0005
Appendix C-1
Filed:  March 28, 2012&amp;10
</oddHeader>
    <oddFooter>&amp;R&amp;"Arial,Bold"&amp;9&amp;A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C108"/>
  <sheetViews>
    <sheetView view="pageLayout" workbookViewId="0" topLeftCell="A1">
      <selection activeCell="A1" sqref="A1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0.7109375" style="0" customWidth="1"/>
    <col min="4" max="4" width="3.7109375" style="0" customWidth="1"/>
    <col min="5" max="5" width="10.7109375" style="0" customWidth="1"/>
    <col min="6" max="6" width="3.7109375" style="0" customWidth="1"/>
    <col min="7" max="7" width="10.7109375" style="0" customWidth="1"/>
    <col min="8" max="8" width="3.28125" style="0" customWidth="1"/>
    <col min="9" max="9" width="10.7109375" style="0" customWidth="1"/>
    <col min="10" max="10" width="3.140625" style="0" customWidth="1"/>
    <col min="11" max="11" width="10.7109375" style="0" customWidth="1"/>
    <col min="12" max="12" width="3.7109375" style="0" customWidth="1"/>
    <col min="13" max="13" width="10.7109375" style="0" customWidth="1"/>
    <col min="14" max="14" width="3.28125" style="0" customWidth="1"/>
    <col min="15" max="15" width="10.7109375" style="0" customWidth="1"/>
    <col min="16" max="16" width="3.28125" style="0" customWidth="1"/>
    <col min="17" max="17" width="10.7109375" style="0" customWidth="1"/>
    <col min="18" max="18" width="3.57421875" style="0" customWidth="1"/>
    <col min="19" max="19" width="10.7109375" style="0" customWidth="1"/>
    <col min="20" max="20" width="3.57421875" style="0" customWidth="1"/>
    <col min="21" max="21" width="10.7109375" style="0" customWidth="1"/>
    <col min="22" max="22" width="3.28125" style="0" customWidth="1"/>
    <col min="23" max="23" width="10.140625" style="0" bestFit="1" customWidth="1"/>
    <col min="24" max="24" width="3.28125" style="0" customWidth="1"/>
    <col min="25" max="25" width="10.7109375" style="0" customWidth="1"/>
    <col min="26" max="26" width="3.7109375" style="0" customWidth="1"/>
    <col min="27" max="27" width="13.00390625" style="0" customWidth="1"/>
    <col min="28" max="28" width="3.7109375" style="0" customWidth="1"/>
    <col min="29" max="29" width="12.8515625" style="0" customWidth="1"/>
    <col min="30" max="30" width="3.7109375" style="0" customWidth="1"/>
    <col min="31" max="31" width="13.8515625" style="0" customWidth="1"/>
    <col min="32" max="32" width="3.7109375" style="0" customWidth="1"/>
    <col min="33" max="33" width="12.140625" style="0" customWidth="1"/>
  </cols>
  <sheetData>
    <row r="1" spans="1:25" ht="12.75">
      <c r="A1" s="1" t="str">
        <f>REGINFO!A1</f>
        <v>PILs TAXES </v>
      </c>
      <c r="Y1" s="92"/>
    </row>
    <row r="2" spans="1:2" ht="12.75">
      <c r="A2" s="2" t="s">
        <v>454</v>
      </c>
      <c r="B2" s="2"/>
    </row>
    <row r="3" spans="1:25" ht="12.75">
      <c r="A3" s="2" t="str">
        <f>REGINFO!A3</f>
        <v>Utility Name:   Horizon Utilities Corporation</v>
      </c>
      <c r="Y3" s="548" t="str">
        <f>REGINFO!G1</f>
        <v>Version 2009.1</v>
      </c>
    </row>
    <row r="4" spans="1:25" ht="12.75">
      <c r="A4" s="2" t="str">
        <f>REGINFO!A4</f>
        <v>Reporting period:  2005 (306 days December 31st)</v>
      </c>
      <c r="C4" s="541"/>
      <c r="D4" s="34"/>
      <c r="E4" s="34"/>
      <c r="F4" s="543" t="s">
        <v>317</v>
      </c>
      <c r="G4" s="395"/>
      <c r="H4" s="395"/>
      <c r="I4" s="395"/>
      <c r="J4" s="395"/>
      <c r="K4" s="395"/>
      <c r="L4" s="34"/>
      <c r="M4" s="34"/>
      <c r="N4" s="34"/>
      <c r="O4" s="34"/>
      <c r="P4" s="34"/>
      <c r="Q4" s="34"/>
      <c r="Y4" s="411">
        <f>REGINFO!G2</f>
        <v>0</v>
      </c>
    </row>
    <row r="5" spans="3:13" ht="12.75">
      <c r="C5" s="34"/>
      <c r="D5" s="34"/>
      <c r="E5" s="34"/>
      <c r="F5" s="34"/>
      <c r="G5" s="34"/>
      <c r="J5" s="34"/>
      <c r="K5" s="34"/>
      <c r="L5" s="34"/>
      <c r="M5" s="34"/>
    </row>
    <row r="6" spans="1:2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</row>
    <row r="7" ht="13.5" thickTop="1"/>
    <row r="8" spans="1:23" ht="12.75">
      <c r="A8" s="2" t="s">
        <v>95</v>
      </c>
      <c r="C8" s="539" t="s">
        <v>523</v>
      </c>
      <c r="D8" s="26"/>
      <c r="E8" s="539" t="s">
        <v>523</v>
      </c>
      <c r="F8" s="26"/>
      <c r="G8" s="539" t="s">
        <v>524</v>
      </c>
      <c r="I8" s="50">
        <v>38718</v>
      </c>
      <c r="K8" s="50">
        <v>38838</v>
      </c>
      <c r="M8" s="50">
        <v>39083</v>
      </c>
      <c r="O8" s="50">
        <v>39448</v>
      </c>
      <c r="Q8" s="50">
        <v>39814</v>
      </c>
      <c r="S8" s="50">
        <v>40179</v>
      </c>
      <c r="U8" s="50">
        <v>40544</v>
      </c>
      <c r="W8" s="50">
        <v>40544</v>
      </c>
    </row>
    <row r="9" spans="1:25" ht="12.75">
      <c r="A9" s="2" t="s">
        <v>96</v>
      </c>
      <c r="C9" s="540" t="s">
        <v>497</v>
      </c>
      <c r="D9" s="26"/>
      <c r="E9" s="540" t="s">
        <v>498</v>
      </c>
      <c r="F9" s="26"/>
      <c r="G9" s="540" t="s">
        <v>510</v>
      </c>
      <c r="I9" s="51">
        <v>38837</v>
      </c>
      <c r="K9" s="51">
        <v>39082</v>
      </c>
      <c r="M9" s="51">
        <v>39447</v>
      </c>
      <c r="O9" s="51">
        <v>39813</v>
      </c>
      <c r="Q9" s="51">
        <v>40178</v>
      </c>
      <c r="S9" s="51">
        <v>40543</v>
      </c>
      <c r="U9" s="51">
        <v>40908</v>
      </c>
      <c r="W9" s="51">
        <v>41152</v>
      </c>
      <c r="Y9" s="390" t="s">
        <v>104</v>
      </c>
    </row>
    <row r="10" spans="1:14" ht="12.75">
      <c r="A10" s="2"/>
      <c r="D10" s="34"/>
      <c r="F10" s="34"/>
      <c r="H10" s="34"/>
      <c r="L10" s="34"/>
      <c r="N10" s="34"/>
    </row>
    <row r="11" spans="1:25" ht="20.25" customHeight="1">
      <c r="A11" s="81" t="s">
        <v>494</v>
      </c>
      <c r="B11" s="8" t="s">
        <v>187</v>
      </c>
      <c r="C11" s="393"/>
      <c r="D11" s="413"/>
      <c r="E11" s="393"/>
      <c r="F11" s="413"/>
      <c r="G11" s="393"/>
      <c r="H11" s="413"/>
      <c r="I11" s="393">
        <f>+G22</f>
        <v>2690987.0003700554</v>
      </c>
      <c r="J11" s="388"/>
      <c r="K11" s="393">
        <f>+I22</f>
        <v>2152286.619038064</v>
      </c>
      <c r="L11" s="413"/>
      <c r="M11" s="393">
        <f>+K22</f>
        <v>2179854.889038064</v>
      </c>
      <c r="N11" s="413"/>
      <c r="O11" s="393">
        <f>+M22</f>
        <v>2231792.889038064</v>
      </c>
      <c r="P11" s="388"/>
      <c r="Q11" s="393">
        <f>+O22</f>
        <v>2276062.889038064</v>
      </c>
      <c r="R11" s="388"/>
      <c r="S11" s="393">
        <f>+Q22</f>
        <v>2288660.889038064</v>
      </c>
      <c r="T11" s="388"/>
      <c r="U11" s="393">
        <f>+S22</f>
        <v>2297568.889038064</v>
      </c>
      <c r="V11" s="388"/>
      <c r="W11" s="393">
        <f>+U22</f>
        <v>2313946.889038064</v>
      </c>
      <c r="X11" s="388"/>
      <c r="Y11" s="393"/>
    </row>
    <row r="12" spans="1:27" ht="27" customHeight="1">
      <c r="A12" s="81" t="s">
        <v>393</v>
      </c>
      <c r="B12" s="66" t="s">
        <v>188</v>
      </c>
      <c r="C12" s="412">
        <v>34075739.25</v>
      </c>
      <c r="D12" s="95"/>
      <c r="E12" s="412">
        <v>9087072.75</v>
      </c>
      <c r="F12" s="95"/>
      <c r="G12" s="412">
        <f>+C12+E12</f>
        <v>43162812</v>
      </c>
      <c r="H12" s="95"/>
      <c r="I12" s="412">
        <f>(8433686+2509467)*(4/12)</f>
        <v>3647717.6666666665</v>
      </c>
      <c r="J12" s="389"/>
      <c r="K12" s="392"/>
      <c r="L12" s="95"/>
      <c r="M12" s="412"/>
      <c r="N12" s="95"/>
      <c r="O12" s="412"/>
      <c r="P12" s="389"/>
      <c r="Q12" s="412"/>
      <c r="R12" s="389"/>
      <c r="S12" s="412"/>
      <c r="T12" s="389"/>
      <c r="U12" s="412"/>
      <c r="V12" s="389"/>
      <c r="W12" s="412"/>
      <c r="X12" s="389"/>
      <c r="Y12" s="393">
        <f aca="true" t="shared" si="0" ref="Y12:Y18">+SUM(G12:W12)</f>
        <v>46810529.666666664</v>
      </c>
      <c r="AA12" s="22"/>
    </row>
    <row r="13" spans="1:25" ht="27" customHeight="1">
      <c r="A13" s="81" t="s">
        <v>435</v>
      </c>
      <c r="B13" s="66"/>
      <c r="C13" s="542">
        <v>6325264.882733874</v>
      </c>
      <c r="D13" s="95"/>
      <c r="E13" s="542">
        <v>1882100.370196775</v>
      </c>
      <c r="F13" s="95"/>
      <c r="G13" s="542">
        <f aca="true" t="shared" si="1" ref="G13:G20">+C13+E13</f>
        <v>8207365.252930649</v>
      </c>
      <c r="H13" s="95"/>
      <c r="I13" s="392"/>
      <c r="J13" s="95"/>
      <c r="K13" s="392"/>
      <c r="L13" s="95"/>
      <c r="M13" s="392"/>
      <c r="N13" s="95"/>
      <c r="O13" s="392"/>
      <c r="P13" s="389"/>
      <c r="Q13" s="392"/>
      <c r="R13" s="389"/>
      <c r="S13" s="392"/>
      <c r="T13" s="389"/>
      <c r="U13" s="392"/>
      <c r="V13" s="389"/>
      <c r="W13" s="392"/>
      <c r="X13" s="389"/>
      <c r="Y13" s="393">
        <f t="shared" si="0"/>
        <v>8207365.252930649</v>
      </c>
    </row>
    <row r="14" spans="1:25" ht="38.25">
      <c r="A14" s="81" t="s">
        <v>394</v>
      </c>
      <c r="B14" s="66" t="s">
        <v>188</v>
      </c>
      <c r="C14" s="542">
        <v>416320</v>
      </c>
      <c r="D14" s="95"/>
      <c r="E14" s="542">
        <v>230726</v>
      </c>
      <c r="F14" s="95"/>
      <c r="G14" s="542">
        <f t="shared" si="1"/>
        <v>647046</v>
      </c>
      <c r="H14" s="95"/>
      <c r="I14" s="392"/>
      <c r="J14" s="389"/>
      <c r="K14" s="392"/>
      <c r="L14" s="95"/>
      <c r="M14" s="392"/>
      <c r="N14" s="95"/>
      <c r="O14" s="420"/>
      <c r="P14" s="389"/>
      <c r="Q14" s="392"/>
      <c r="R14" s="389"/>
      <c r="S14" s="392"/>
      <c r="T14" s="389"/>
      <c r="U14" s="392"/>
      <c r="V14" s="389"/>
      <c r="W14" s="392"/>
      <c r="X14" s="389"/>
      <c r="Y14" s="393">
        <f t="shared" si="0"/>
        <v>647046</v>
      </c>
    </row>
    <row r="15" spans="1:25" ht="27" customHeight="1">
      <c r="A15" s="81" t="s">
        <v>395</v>
      </c>
      <c r="B15" s="66" t="s">
        <v>188</v>
      </c>
      <c r="C15" s="542">
        <v>-386483.563076923</v>
      </c>
      <c r="D15" s="95"/>
      <c r="E15" s="542">
        <v>-34060.14153846154</v>
      </c>
      <c r="F15" s="95"/>
      <c r="G15" s="542">
        <f t="shared" si="1"/>
        <v>-420543.7046153846</v>
      </c>
      <c r="H15" s="95"/>
      <c r="I15" s="392">
        <f>+TAXCALC!G147</f>
        <v>605625.5126153847</v>
      </c>
      <c r="J15" s="389"/>
      <c r="K15" s="392"/>
      <c r="L15" s="95"/>
      <c r="M15" s="392"/>
      <c r="N15" s="95"/>
      <c r="O15" s="392"/>
      <c r="P15" s="389"/>
      <c r="Q15" s="392"/>
      <c r="R15" s="389"/>
      <c r="S15" s="392"/>
      <c r="T15" s="389"/>
      <c r="U15" s="392"/>
      <c r="V15" s="389"/>
      <c r="W15" s="392"/>
      <c r="X15" s="389"/>
      <c r="Y15" s="393">
        <f t="shared" si="0"/>
        <v>185081.80800000008</v>
      </c>
    </row>
    <row r="16" spans="1:25" ht="27" customHeight="1">
      <c r="A16" s="81" t="s">
        <v>396</v>
      </c>
      <c r="B16" s="66"/>
      <c r="C16" s="542">
        <v>0</v>
      </c>
      <c r="D16" s="95"/>
      <c r="E16" s="542">
        <v>0</v>
      </c>
      <c r="F16" s="95"/>
      <c r="G16" s="542">
        <f t="shared" si="1"/>
        <v>0</v>
      </c>
      <c r="H16" s="95"/>
      <c r="I16" s="392"/>
      <c r="J16" s="389"/>
      <c r="K16" s="392"/>
      <c r="L16" s="95"/>
      <c r="M16" s="392"/>
      <c r="N16" s="95"/>
      <c r="O16" s="392"/>
      <c r="P16" s="389"/>
      <c r="Q16" s="392"/>
      <c r="R16" s="389"/>
      <c r="S16" s="392"/>
      <c r="T16" s="389"/>
      <c r="U16" s="392"/>
      <c r="V16" s="389"/>
      <c r="W16" s="392"/>
      <c r="X16" s="389"/>
      <c r="Y16" s="393">
        <f t="shared" si="0"/>
        <v>0</v>
      </c>
    </row>
    <row r="17" spans="1:25" ht="27.75" customHeight="1">
      <c r="A17" s="81" t="s">
        <v>397</v>
      </c>
      <c r="B17" s="66" t="s">
        <v>188</v>
      </c>
      <c r="C17" s="542">
        <v>-1054158.5479452056</v>
      </c>
      <c r="D17" s="95"/>
      <c r="E17" s="542">
        <v>-360064</v>
      </c>
      <c r="F17" s="95"/>
      <c r="G17" s="542">
        <f t="shared" si="1"/>
        <v>-1414222.5479452056</v>
      </c>
      <c r="H17" s="95"/>
      <c r="I17" s="392">
        <f>TAXCALC!G196</f>
        <v>30907.439385957725</v>
      </c>
      <c r="J17" s="389"/>
      <c r="K17" s="392"/>
      <c r="L17" s="95"/>
      <c r="M17" s="392"/>
      <c r="N17" s="95"/>
      <c r="O17" s="392"/>
      <c r="P17" s="389"/>
      <c r="Q17" s="392"/>
      <c r="R17" s="389"/>
      <c r="S17" s="392"/>
      <c r="T17" s="389"/>
      <c r="U17" s="392"/>
      <c r="V17" s="389"/>
      <c r="W17" s="392"/>
      <c r="X17" s="389"/>
      <c r="Y17" s="393">
        <f t="shared" si="0"/>
        <v>-1383315.1085592478</v>
      </c>
    </row>
    <row r="18" spans="1:25" ht="38.25">
      <c r="A18" s="81" t="s">
        <v>398</v>
      </c>
      <c r="B18" s="66" t="s">
        <v>188</v>
      </c>
      <c r="C18" s="542">
        <v>0</v>
      </c>
      <c r="D18" s="95"/>
      <c r="E18" s="542">
        <v>0</v>
      </c>
      <c r="F18" s="95"/>
      <c r="G18" s="542">
        <f t="shared" si="1"/>
        <v>0</v>
      </c>
      <c r="H18" s="95"/>
      <c r="I18" s="392"/>
      <c r="J18" s="389"/>
      <c r="K18" s="392"/>
      <c r="L18" s="95"/>
      <c r="M18" s="392"/>
      <c r="N18" s="95"/>
      <c r="O18" s="392"/>
      <c r="P18" s="389"/>
      <c r="Q18" s="392"/>
      <c r="R18" s="389"/>
      <c r="S18" s="392"/>
      <c r="T18" s="389"/>
      <c r="U18" s="392"/>
      <c r="V18" s="389"/>
      <c r="W18" s="392"/>
      <c r="X18" s="389"/>
      <c r="Y18" s="393">
        <f t="shared" si="0"/>
        <v>0</v>
      </c>
    </row>
    <row r="19" spans="1:27" ht="24" customHeight="1">
      <c r="A19" s="424" t="s">
        <v>399</v>
      </c>
      <c r="B19" s="66" t="s">
        <v>188</v>
      </c>
      <c r="C19" s="542">
        <v>782344</v>
      </c>
      <c r="D19" s="95"/>
      <c r="E19" s="542">
        <v>225521</v>
      </c>
      <c r="F19" s="95"/>
      <c r="G19" s="542">
        <f t="shared" si="1"/>
        <v>1007865</v>
      </c>
      <c r="H19" s="95"/>
      <c r="I19" s="392">
        <f>30907-644</f>
        <v>30263</v>
      </c>
      <c r="J19" s="389"/>
      <c r="K19" s="392">
        <f>-1448+29016.27</f>
        <v>27568.27</v>
      </c>
      <c r="L19" s="95"/>
      <c r="M19" s="392">
        <v>51938</v>
      </c>
      <c r="N19" s="95"/>
      <c r="O19" s="392">
        <v>44270</v>
      </c>
      <c r="P19" s="389"/>
      <c r="Q19" s="392">
        <v>12598</v>
      </c>
      <c r="R19" s="389"/>
      <c r="S19" s="392">
        <v>8908</v>
      </c>
      <c r="T19" s="389"/>
      <c r="U19" s="392">
        <v>16378</v>
      </c>
      <c r="V19" s="389"/>
      <c r="W19" s="392">
        <v>10904</v>
      </c>
      <c r="X19" s="389"/>
      <c r="Y19" s="393">
        <f>+SUM(G19:W19)</f>
        <v>1210692.27</v>
      </c>
      <c r="AA19" s="22"/>
    </row>
    <row r="20" spans="1:27" ht="24.75" customHeight="1">
      <c r="A20" s="81" t="s">
        <v>465</v>
      </c>
      <c r="B20" s="66" t="s">
        <v>186</v>
      </c>
      <c r="C20" s="542">
        <v>-37667022</v>
      </c>
      <c r="D20" s="95"/>
      <c r="E20" s="542">
        <v>-10832313</v>
      </c>
      <c r="F20" s="95"/>
      <c r="G20" s="542">
        <f t="shared" si="1"/>
        <v>-48499335</v>
      </c>
      <c r="H20" s="95"/>
      <c r="I20" s="392">
        <f>-(858881+2823979+932859+237495)</f>
        <v>-4853214</v>
      </c>
      <c r="J20" s="389"/>
      <c r="K20" s="392"/>
      <c r="L20" s="95"/>
      <c r="M20" s="392"/>
      <c r="N20" s="95"/>
      <c r="O20" s="392"/>
      <c r="P20" s="389"/>
      <c r="Q20" s="392"/>
      <c r="R20" s="389"/>
      <c r="S20" s="392"/>
      <c r="T20" s="389"/>
      <c r="U20" s="392"/>
      <c r="V20" s="389"/>
      <c r="W20" s="392"/>
      <c r="X20" s="389"/>
      <c r="Y20" s="393">
        <f>+SUM(G20:W20)</f>
        <v>-53352549</v>
      </c>
      <c r="AA20" s="487"/>
    </row>
    <row r="21" spans="1:25" ht="12.75">
      <c r="A21" s="65"/>
      <c r="C21" s="389"/>
      <c r="D21" s="95"/>
      <c r="E21" s="389"/>
      <c r="F21" s="95"/>
      <c r="G21" s="389"/>
      <c r="H21" s="95"/>
      <c r="I21" s="389"/>
      <c r="J21" s="95"/>
      <c r="K21" s="389"/>
      <c r="L21" s="95"/>
      <c r="M21" s="389"/>
      <c r="N21" s="95"/>
      <c r="O21" s="389"/>
      <c r="P21" s="389"/>
      <c r="Q21" s="389"/>
      <c r="R21" s="389"/>
      <c r="S21" s="389"/>
      <c r="T21" s="389"/>
      <c r="U21" s="389"/>
      <c r="V21" s="389"/>
      <c r="W21" s="389"/>
      <c r="X21" s="389"/>
      <c r="Y21" s="413"/>
    </row>
    <row r="22" spans="1:29" ht="26.25" thickBot="1">
      <c r="A22" s="81" t="s">
        <v>369</v>
      </c>
      <c r="B22" s="34"/>
      <c r="C22" s="394">
        <f>SUM(C11:C20)</f>
        <v>2492004.0217117444</v>
      </c>
      <c r="D22" s="413"/>
      <c r="E22" s="394">
        <f>SUM(E11:E20)</f>
        <v>198982.97865831293</v>
      </c>
      <c r="F22" s="413"/>
      <c r="G22" s="394">
        <f>SUM(G11:G20)</f>
        <v>2690987.0003700554</v>
      </c>
      <c r="H22" s="413"/>
      <c r="I22" s="394">
        <f>SUM(I11:I21)</f>
        <v>2152286.619038064</v>
      </c>
      <c r="J22" s="413"/>
      <c r="K22" s="394">
        <f>SUM(K11:K20)</f>
        <v>2179854.889038064</v>
      </c>
      <c r="L22" s="413"/>
      <c r="M22" s="394">
        <f>SUM(M11:M20)</f>
        <v>2231792.889038064</v>
      </c>
      <c r="N22" s="413"/>
      <c r="O22" s="394">
        <f>SUM(O11:O20)</f>
        <v>2276062.889038064</v>
      </c>
      <c r="P22" s="388"/>
      <c r="Q22" s="394">
        <f>SUM(Q11:Q20)</f>
        <v>2288660.889038064</v>
      </c>
      <c r="R22" s="388"/>
      <c r="S22" s="394">
        <f>SUM(S11:S21)</f>
        <v>2297568.889038064</v>
      </c>
      <c r="T22" s="388"/>
      <c r="U22" s="394">
        <f>SUM(U11:U21)</f>
        <v>2313946.889038064</v>
      </c>
      <c r="V22" s="388"/>
      <c r="W22" s="394">
        <f>SUM(W11:W21)</f>
        <v>2324850.889038064</v>
      </c>
      <c r="X22" s="388"/>
      <c r="Y22" s="481">
        <f>SUM(Y11:Y20)</f>
        <v>2324850.8890380636</v>
      </c>
      <c r="AA22" s="488"/>
      <c r="AC22" s="22"/>
    </row>
    <row r="23" spans="1:25" ht="13.5" thickTop="1">
      <c r="A23" s="425"/>
      <c r="B23" s="426"/>
      <c r="C23" s="432"/>
      <c r="D23" s="433"/>
      <c r="E23" s="432"/>
      <c r="F23" s="433"/>
      <c r="G23" s="432"/>
      <c r="H23" s="433"/>
      <c r="I23" s="432"/>
      <c r="J23" s="433"/>
      <c r="K23" s="432"/>
      <c r="L23" s="433"/>
      <c r="M23" s="432"/>
      <c r="N23" s="433"/>
      <c r="O23" s="432"/>
      <c r="P23" s="426"/>
      <c r="Q23" s="432"/>
      <c r="R23" s="188"/>
      <c r="S23" s="434"/>
      <c r="T23" s="188"/>
      <c r="U23" s="434"/>
      <c r="V23" s="188"/>
      <c r="W23" s="188"/>
      <c r="X23" s="188"/>
      <c r="Y23" s="434"/>
    </row>
    <row r="24" spans="1:27" ht="12.75">
      <c r="A24" s="447"/>
      <c r="B24" s="448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50"/>
      <c r="AA24" s="22"/>
    </row>
    <row r="25" spans="1:25" ht="12.75">
      <c r="A25" s="425"/>
      <c r="B25" s="426"/>
      <c r="C25" s="451"/>
      <c r="D25" s="451"/>
      <c r="E25" s="451"/>
      <c r="F25" s="451"/>
      <c r="G25" s="451"/>
      <c r="H25" s="451"/>
      <c r="I25" s="451"/>
      <c r="J25" s="451"/>
      <c r="K25" s="451"/>
      <c r="L25" s="451"/>
      <c r="M25" s="451"/>
      <c r="N25" s="451"/>
      <c r="O25" s="451"/>
      <c r="P25" s="452"/>
      <c r="Q25" s="451"/>
      <c r="R25" s="453"/>
      <c r="S25" s="454"/>
      <c r="T25" s="453"/>
      <c r="U25" s="454"/>
      <c r="V25" s="453"/>
      <c r="W25" s="453"/>
      <c r="X25" s="453"/>
      <c r="Y25" s="454"/>
    </row>
    <row r="26" spans="1:25" ht="12.75">
      <c r="A26" s="425" t="s">
        <v>400</v>
      </c>
      <c r="B26" s="426"/>
      <c r="C26" s="451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2"/>
      <c r="Q26" s="451"/>
      <c r="R26" s="453"/>
      <c r="S26" s="454"/>
      <c r="T26" s="453"/>
      <c r="U26" s="454"/>
      <c r="V26" s="453"/>
      <c r="W26" s="453"/>
      <c r="X26" s="453"/>
      <c r="Y26" s="454"/>
    </row>
    <row r="27" spans="1:25" ht="9" customHeight="1">
      <c r="A27" s="425"/>
      <c r="B27" s="426"/>
      <c r="C27" s="426"/>
      <c r="D27" s="426"/>
      <c r="E27" s="426"/>
      <c r="F27" s="426"/>
      <c r="G27" s="426"/>
      <c r="H27" s="426"/>
      <c r="I27" s="426"/>
      <c r="J27" s="426"/>
      <c r="K27" s="426"/>
      <c r="L27" s="426"/>
      <c r="M27" s="426"/>
      <c r="N27" s="426"/>
      <c r="O27" s="426"/>
      <c r="P27" s="426"/>
      <c r="Q27" s="427"/>
      <c r="R27" s="188"/>
      <c r="S27" s="188"/>
      <c r="T27" s="188"/>
      <c r="U27" s="188"/>
      <c r="V27" s="188"/>
      <c r="W27" s="188"/>
      <c r="X27" s="188"/>
      <c r="Y27" s="188"/>
    </row>
    <row r="28" spans="1:25" ht="12.75">
      <c r="A28" s="425" t="s">
        <v>401</v>
      </c>
      <c r="B28" s="426"/>
      <c r="C28" s="426"/>
      <c r="D28" s="426"/>
      <c r="E28" s="426"/>
      <c r="F28" s="426"/>
      <c r="G28" s="426"/>
      <c r="H28" s="426"/>
      <c r="I28" s="426"/>
      <c r="J28" s="426"/>
      <c r="K28" s="426"/>
      <c r="L28" s="426"/>
      <c r="M28" s="426"/>
      <c r="N28" s="426"/>
      <c r="O28" s="426"/>
      <c r="P28" s="426"/>
      <c r="Q28" s="426"/>
      <c r="R28" s="188"/>
      <c r="S28" s="188"/>
      <c r="T28" s="188"/>
      <c r="U28" s="188"/>
      <c r="V28" s="188"/>
      <c r="W28" s="188"/>
      <c r="X28" s="188"/>
      <c r="Y28" s="188"/>
    </row>
    <row r="29" spans="1:25" ht="12.75">
      <c r="A29" s="428" t="s">
        <v>402</v>
      </c>
      <c r="B29" s="426"/>
      <c r="C29" s="426"/>
      <c r="D29" s="426"/>
      <c r="E29" s="426"/>
      <c r="F29" s="426"/>
      <c r="G29" s="426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188"/>
      <c r="S29" s="188"/>
      <c r="T29" s="188"/>
      <c r="U29" s="188"/>
      <c r="V29" s="188"/>
      <c r="W29" s="188"/>
      <c r="X29" s="188"/>
      <c r="Y29" s="188"/>
    </row>
    <row r="30" spans="1:25" ht="9" customHeight="1">
      <c r="A30" s="188"/>
      <c r="B30" s="426"/>
      <c r="C30" s="426"/>
      <c r="D30" s="426"/>
      <c r="E30" s="426"/>
      <c r="F30" s="426"/>
      <c r="G30" s="426"/>
      <c r="H30" s="426"/>
      <c r="I30" s="426"/>
      <c r="J30" s="426"/>
      <c r="K30" s="426"/>
      <c r="L30" s="426"/>
      <c r="M30" s="426"/>
      <c r="N30" s="426"/>
      <c r="O30" s="426"/>
      <c r="P30" s="426"/>
      <c r="Q30" s="426"/>
      <c r="R30" s="188"/>
      <c r="S30" s="188"/>
      <c r="T30" s="188"/>
      <c r="U30" s="188"/>
      <c r="V30" s="188"/>
      <c r="W30" s="188"/>
      <c r="X30" s="188"/>
      <c r="Y30" s="188"/>
    </row>
    <row r="31" spans="1:25" ht="12.75">
      <c r="A31" s="442" t="s">
        <v>403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</row>
    <row r="32" spans="1:25" ht="9" customHeight="1">
      <c r="A32" s="443"/>
      <c r="B32" s="443"/>
      <c r="C32" s="443"/>
      <c r="D32" s="443"/>
      <c r="E32" s="443"/>
      <c r="F32" s="443"/>
      <c r="G32" s="443"/>
      <c r="H32" s="443"/>
      <c r="I32" s="443"/>
      <c r="J32" s="443"/>
      <c r="K32" s="443"/>
      <c r="L32" s="443"/>
      <c r="M32" s="443"/>
      <c r="N32" s="443"/>
      <c r="O32" s="443"/>
      <c r="P32" s="443"/>
      <c r="Q32" s="443"/>
      <c r="R32" s="443"/>
      <c r="S32" s="443"/>
      <c r="T32" s="443"/>
      <c r="U32" s="443"/>
      <c r="V32" s="443"/>
      <c r="W32" s="443"/>
      <c r="X32" s="443"/>
      <c r="Y32" s="443"/>
    </row>
    <row r="33" spans="1:29" ht="12.75">
      <c r="A33" s="560" t="s">
        <v>404</v>
      </c>
      <c r="B33" s="561"/>
      <c r="C33" s="561"/>
      <c r="D33" s="561"/>
      <c r="E33" s="561"/>
      <c r="F33" s="561"/>
      <c r="G33" s="561"/>
      <c r="H33" s="561"/>
      <c r="I33" s="561"/>
      <c r="J33" s="561"/>
      <c r="K33" s="561"/>
      <c r="L33" s="561"/>
      <c r="M33" s="561"/>
      <c r="N33" s="561"/>
      <c r="O33" s="561"/>
      <c r="P33" s="561"/>
      <c r="Q33" s="561"/>
      <c r="R33" s="561"/>
      <c r="S33" s="561"/>
      <c r="T33" s="561"/>
      <c r="U33" s="561"/>
      <c r="V33" s="561"/>
      <c r="W33" s="561"/>
      <c r="X33" s="561"/>
      <c r="Y33" s="561"/>
      <c r="Z33" s="414"/>
      <c r="AA33" s="414"/>
      <c r="AB33" s="414"/>
      <c r="AC33" s="414"/>
    </row>
    <row r="34" spans="1:29" ht="12.75">
      <c r="A34" s="559" t="s">
        <v>405</v>
      </c>
      <c r="B34" s="562"/>
      <c r="C34" s="562"/>
      <c r="D34" s="562"/>
      <c r="E34" s="562"/>
      <c r="F34" s="562"/>
      <c r="G34" s="562"/>
      <c r="H34" s="562"/>
      <c r="I34" s="562"/>
      <c r="J34" s="562"/>
      <c r="K34" s="562"/>
      <c r="L34" s="562"/>
      <c r="M34" s="562"/>
      <c r="N34" s="562"/>
      <c r="O34" s="562"/>
      <c r="P34" s="562"/>
      <c r="Q34" s="562"/>
      <c r="R34" s="562"/>
      <c r="S34" s="562"/>
      <c r="T34" s="562"/>
      <c r="U34" s="562"/>
      <c r="V34" s="562"/>
      <c r="W34" s="562"/>
      <c r="X34" s="562"/>
      <c r="Y34" s="562"/>
      <c r="Z34" s="414"/>
      <c r="AA34" s="414"/>
      <c r="AB34" s="414"/>
      <c r="AC34" s="414"/>
    </row>
    <row r="35" spans="1:29" ht="12.75">
      <c r="A35" s="559" t="s">
        <v>426</v>
      </c>
      <c r="B35" s="562"/>
      <c r="C35" s="562"/>
      <c r="D35" s="562"/>
      <c r="E35" s="562"/>
      <c r="F35" s="562"/>
      <c r="G35" s="562"/>
      <c r="H35" s="562"/>
      <c r="I35" s="562"/>
      <c r="J35" s="562"/>
      <c r="K35" s="562"/>
      <c r="L35" s="562"/>
      <c r="M35" s="562"/>
      <c r="N35" s="562"/>
      <c r="O35" s="562"/>
      <c r="P35" s="562"/>
      <c r="Q35" s="562"/>
      <c r="R35" s="562"/>
      <c r="S35" s="562"/>
      <c r="T35" s="562"/>
      <c r="U35" s="562"/>
      <c r="V35" s="562"/>
      <c r="W35" s="562"/>
      <c r="X35" s="562"/>
      <c r="Y35" s="562"/>
      <c r="Z35" s="414"/>
      <c r="AA35" s="414"/>
      <c r="AB35" s="414"/>
      <c r="AC35" s="414"/>
    </row>
    <row r="36" spans="1:29" ht="12.75">
      <c r="A36" s="559" t="s">
        <v>406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561"/>
      <c r="R36" s="561"/>
      <c r="S36" s="561"/>
      <c r="T36" s="561"/>
      <c r="U36" s="561"/>
      <c r="V36" s="561"/>
      <c r="W36" s="561"/>
      <c r="X36" s="561"/>
      <c r="Y36" s="561"/>
      <c r="Z36" s="414"/>
      <c r="AA36" s="414"/>
      <c r="AB36" s="414"/>
      <c r="AC36" s="414"/>
    </row>
    <row r="37" spans="1:29" ht="12.75">
      <c r="A37" s="429" t="s">
        <v>366</v>
      </c>
      <c r="B37" s="430"/>
      <c r="C37" s="430"/>
      <c r="D37" s="430"/>
      <c r="E37" s="430"/>
      <c r="F37" s="430"/>
      <c r="G37" s="430"/>
      <c r="H37" s="430"/>
      <c r="I37" s="430"/>
      <c r="J37" s="430"/>
      <c r="K37" s="430"/>
      <c r="L37" s="430"/>
      <c r="M37" s="430"/>
      <c r="N37" s="430"/>
      <c r="O37" s="430"/>
      <c r="P37" s="430"/>
      <c r="Q37" s="430"/>
      <c r="R37" s="430"/>
      <c r="S37" s="430"/>
      <c r="T37" s="430"/>
      <c r="U37" s="430"/>
      <c r="V37" s="430"/>
      <c r="W37" s="430"/>
      <c r="X37" s="430"/>
      <c r="Y37" s="430"/>
      <c r="Z37" s="414"/>
      <c r="AA37" s="414"/>
      <c r="AB37" s="414"/>
      <c r="AC37" s="414"/>
    </row>
    <row r="38" spans="1:29" ht="12.75">
      <c r="A38" s="429" t="s">
        <v>367</v>
      </c>
      <c r="B38" s="430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0"/>
      <c r="N38" s="430"/>
      <c r="O38" s="430"/>
      <c r="P38" s="430"/>
      <c r="Q38" s="430"/>
      <c r="R38" s="430"/>
      <c r="S38" s="430"/>
      <c r="T38" s="430"/>
      <c r="U38" s="430"/>
      <c r="V38" s="430"/>
      <c r="W38" s="430"/>
      <c r="X38" s="430"/>
      <c r="Y38" s="430"/>
      <c r="Z38" s="414"/>
      <c r="AA38" s="414"/>
      <c r="AB38" s="414"/>
      <c r="AC38" s="414"/>
    </row>
    <row r="39" spans="1:29" ht="12.75">
      <c r="A39" s="429" t="s">
        <v>407</v>
      </c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14"/>
      <c r="AA39" s="414"/>
      <c r="AB39" s="414"/>
      <c r="AC39" s="414"/>
    </row>
    <row r="40" spans="1:29" ht="12.75">
      <c r="A40" s="429" t="s">
        <v>408</v>
      </c>
      <c r="B40" s="430"/>
      <c r="C40" s="430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14"/>
      <c r="AA40" s="414"/>
      <c r="AB40" s="414"/>
      <c r="AC40" s="414"/>
    </row>
    <row r="41" spans="2:29" ht="9" customHeight="1">
      <c r="B41" s="430"/>
      <c r="C41" s="430"/>
      <c r="D41" s="430"/>
      <c r="E41" s="430"/>
      <c r="F41" s="430"/>
      <c r="G41" s="430"/>
      <c r="H41" s="430"/>
      <c r="I41" s="430"/>
      <c r="J41" s="430"/>
      <c r="K41" s="430"/>
      <c r="L41" s="430"/>
      <c r="M41" s="430"/>
      <c r="N41" s="430"/>
      <c r="O41" s="430"/>
      <c r="P41" s="430"/>
      <c r="Q41" s="430"/>
      <c r="R41" s="430"/>
      <c r="S41" s="430"/>
      <c r="T41" s="430"/>
      <c r="U41" s="430"/>
      <c r="V41" s="430"/>
      <c r="W41" s="430"/>
      <c r="X41" s="430"/>
      <c r="Y41" s="430"/>
      <c r="Z41" s="414"/>
      <c r="AA41" s="414"/>
      <c r="AB41" s="414"/>
      <c r="AC41" s="414"/>
    </row>
    <row r="42" spans="1:25" ht="12.75">
      <c r="A42" s="431" t="s">
        <v>409</v>
      </c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188"/>
      <c r="S42" s="188"/>
      <c r="T42" s="188"/>
      <c r="U42" s="188"/>
      <c r="V42" s="188"/>
      <c r="W42" s="188"/>
      <c r="X42" s="188"/>
      <c r="Y42" s="188"/>
    </row>
    <row r="43" spans="1:25" ht="12.75">
      <c r="A43" s="426" t="s">
        <v>410</v>
      </c>
      <c r="B43" s="426"/>
      <c r="C43" s="426"/>
      <c r="D43" s="426"/>
      <c r="E43" s="426"/>
      <c r="F43" s="426"/>
      <c r="G43" s="426"/>
      <c r="H43" s="426"/>
      <c r="I43" s="426"/>
      <c r="J43" s="426"/>
      <c r="K43" s="426"/>
      <c r="L43" s="426"/>
      <c r="M43" s="426"/>
      <c r="N43" s="426"/>
      <c r="O43" s="426"/>
      <c r="P43" s="426"/>
      <c r="Q43" s="426"/>
      <c r="R43" s="188"/>
      <c r="S43" s="188"/>
      <c r="T43" s="188"/>
      <c r="U43" s="188"/>
      <c r="V43" s="188"/>
      <c r="W43" s="188"/>
      <c r="X43" s="188"/>
      <c r="Y43" s="188"/>
    </row>
    <row r="44" spans="1:25" ht="9" customHeight="1">
      <c r="A44" s="426"/>
      <c r="B44" s="426"/>
      <c r="C44" s="426"/>
      <c r="D44" s="426"/>
      <c r="E44" s="426"/>
      <c r="F44" s="426"/>
      <c r="G44" s="426"/>
      <c r="H44" s="426"/>
      <c r="I44" s="426"/>
      <c r="J44" s="426"/>
      <c r="K44" s="426"/>
      <c r="L44" s="426"/>
      <c r="M44" s="426"/>
      <c r="N44" s="426"/>
      <c r="O44" s="426"/>
      <c r="P44" s="426"/>
      <c r="Q44" s="426"/>
      <c r="R44" s="188"/>
      <c r="S44" s="188"/>
      <c r="T44" s="188"/>
      <c r="U44" s="188"/>
      <c r="V44" s="188"/>
      <c r="W44" s="188"/>
      <c r="X44" s="188"/>
      <c r="Y44" s="188"/>
    </row>
    <row r="45" spans="1:25" ht="12.75">
      <c r="A45" s="431" t="s">
        <v>411</v>
      </c>
      <c r="B45" s="426"/>
      <c r="C45" s="426"/>
      <c r="D45" s="426"/>
      <c r="E45" s="426"/>
      <c r="F45" s="426"/>
      <c r="G45" s="426"/>
      <c r="H45" s="426"/>
      <c r="I45" s="426"/>
      <c r="J45" s="426"/>
      <c r="K45" s="426"/>
      <c r="L45" s="426"/>
      <c r="M45" s="426"/>
      <c r="N45" s="426"/>
      <c r="O45" s="426"/>
      <c r="P45" s="426"/>
      <c r="Q45" s="426"/>
      <c r="R45" s="188"/>
      <c r="S45" s="188"/>
      <c r="T45" s="188"/>
      <c r="U45" s="188"/>
      <c r="V45" s="188"/>
      <c r="W45" s="188"/>
      <c r="X45" s="188"/>
      <c r="Y45" s="188"/>
    </row>
    <row r="46" spans="1:25" ht="12.75">
      <c r="A46" s="426" t="s">
        <v>412</v>
      </c>
      <c r="B46" s="426"/>
      <c r="C46" s="426"/>
      <c r="D46" s="426"/>
      <c r="E46" s="426"/>
      <c r="F46" s="426"/>
      <c r="G46" s="426"/>
      <c r="H46" s="426"/>
      <c r="I46" s="426"/>
      <c r="J46" s="426"/>
      <c r="K46" s="426"/>
      <c r="L46" s="426"/>
      <c r="M46" s="426"/>
      <c r="N46" s="426"/>
      <c r="O46" s="426"/>
      <c r="P46" s="426"/>
      <c r="Q46" s="426"/>
      <c r="R46" s="188"/>
      <c r="S46" s="188"/>
      <c r="T46" s="188"/>
      <c r="U46" s="188"/>
      <c r="V46" s="188"/>
      <c r="W46" s="188"/>
      <c r="X46" s="188"/>
      <c r="Y46" s="188"/>
    </row>
    <row r="47" spans="1:25" ht="9" customHeight="1">
      <c r="A47" s="426"/>
      <c r="B47" s="426"/>
      <c r="C47" s="426"/>
      <c r="D47" s="426"/>
      <c r="E47" s="426"/>
      <c r="F47" s="426"/>
      <c r="G47" s="426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188"/>
      <c r="S47" s="188"/>
      <c r="T47" s="188"/>
      <c r="U47" s="188"/>
      <c r="V47" s="188"/>
      <c r="W47" s="188"/>
      <c r="X47" s="188"/>
      <c r="Y47" s="188"/>
    </row>
    <row r="48" spans="1:25" ht="12.75">
      <c r="A48" s="431" t="s">
        <v>413</v>
      </c>
      <c r="B48" s="426"/>
      <c r="C48" s="426"/>
      <c r="D48" s="426"/>
      <c r="E48" s="426"/>
      <c r="F48" s="426"/>
      <c r="G48" s="426"/>
      <c r="H48" s="426"/>
      <c r="I48" s="426"/>
      <c r="J48" s="426"/>
      <c r="K48" s="426"/>
      <c r="L48" s="426"/>
      <c r="M48" s="426"/>
      <c r="N48" s="426"/>
      <c r="O48" s="426"/>
      <c r="P48" s="426"/>
      <c r="Q48" s="426"/>
      <c r="R48" s="188"/>
      <c r="S48" s="188"/>
      <c r="T48" s="188"/>
      <c r="U48" s="188"/>
      <c r="V48" s="188"/>
      <c r="W48" s="188"/>
      <c r="X48" s="188"/>
      <c r="Y48" s="188"/>
    </row>
    <row r="49" spans="1:25" ht="12.75">
      <c r="A49" s="426" t="s">
        <v>414</v>
      </c>
      <c r="B49" s="426"/>
      <c r="C49" s="426"/>
      <c r="D49" s="426"/>
      <c r="E49" s="426"/>
      <c r="F49" s="426"/>
      <c r="G49" s="426"/>
      <c r="H49" s="426"/>
      <c r="I49" s="426"/>
      <c r="J49" s="426"/>
      <c r="K49" s="426"/>
      <c r="L49" s="426"/>
      <c r="M49" s="426"/>
      <c r="N49" s="426"/>
      <c r="O49" s="426"/>
      <c r="P49" s="426"/>
      <c r="Q49" s="426"/>
      <c r="R49" s="188"/>
      <c r="S49" s="188"/>
      <c r="T49" s="188"/>
      <c r="U49" s="188"/>
      <c r="V49" s="188"/>
      <c r="W49" s="188"/>
      <c r="X49" s="188"/>
      <c r="Y49" s="188"/>
    </row>
    <row r="50" spans="1:25" ht="9" customHeight="1">
      <c r="A50" s="426"/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188"/>
      <c r="S50" s="188"/>
      <c r="T50" s="188"/>
      <c r="U50" s="188"/>
      <c r="V50" s="188"/>
      <c r="W50" s="188"/>
      <c r="X50" s="188"/>
      <c r="Y50" s="188"/>
    </row>
    <row r="51" spans="1:25" ht="12.75">
      <c r="A51" s="431" t="s">
        <v>415</v>
      </c>
      <c r="B51" s="426"/>
      <c r="C51" s="426"/>
      <c r="D51" s="426"/>
      <c r="E51" s="426"/>
      <c r="F51" s="426"/>
      <c r="G51" s="426"/>
      <c r="H51" s="426"/>
      <c r="I51" s="426"/>
      <c r="J51" s="426"/>
      <c r="K51" s="426"/>
      <c r="L51" s="426"/>
      <c r="M51" s="426"/>
      <c r="N51" s="426"/>
      <c r="O51" s="426"/>
      <c r="P51" s="426"/>
      <c r="Q51" s="426"/>
      <c r="R51" s="188"/>
      <c r="S51" s="188"/>
      <c r="T51" s="188"/>
      <c r="U51" s="188"/>
      <c r="V51" s="188"/>
      <c r="W51" s="188"/>
      <c r="X51" s="188"/>
      <c r="Y51" s="188"/>
    </row>
    <row r="52" spans="1:25" ht="12.75">
      <c r="A52" s="426" t="s">
        <v>412</v>
      </c>
      <c r="B52" s="426"/>
      <c r="C52" s="426"/>
      <c r="D52" s="426"/>
      <c r="E52" s="426"/>
      <c r="F52" s="426"/>
      <c r="G52" s="426"/>
      <c r="H52" s="426"/>
      <c r="I52" s="426"/>
      <c r="J52" s="426"/>
      <c r="K52" s="426"/>
      <c r="L52" s="426"/>
      <c r="M52" s="426"/>
      <c r="N52" s="426"/>
      <c r="O52" s="426"/>
      <c r="P52" s="426"/>
      <c r="Q52" s="426"/>
      <c r="R52" s="188"/>
      <c r="S52" s="188"/>
      <c r="T52" s="188"/>
      <c r="U52" s="188"/>
      <c r="V52" s="188"/>
      <c r="W52" s="188"/>
      <c r="X52" s="188"/>
      <c r="Y52" s="188"/>
    </row>
    <row r="53" spans="1:25" ht="9" customHeight="1">
      <c r="A53" s="431"/>
      <c r="B53" s="426"/>
      <c r="C53" s="426"/>
      <c r="D53" s="426"/>
      <c r="E53" s="426"/>
      <c r="F53" s="426"/>
      <c r="G53" s="426"/>
      <c r="H53" s="426"/>
      <c r="I53" s="426"/>
      <c r="J53" s="426"/>
      <c r="K53" s="426"/>
      <c r="L53" s="426"/>
      <c r="M53" s="426"/>
      <c r="N53" s="426"/>
      <c r="O53" s="426"/>
      <c r="P53" s="426"/>
      <c r="Q53" s="426"/>
      <c r="R53" s="188"/>
      <c r="S53" s="188"/>
      <c r="T53" s="188"/>
      <c r="U53" s="188"/>
      <c r="V53" s="188"/>
      <c r="W53" s="188"/>
      <c r="X53" s="188"/>
      <c r="Y53" s="188"/>
    </row>
    <row r="54" spans="1:25" ht="12.75">
      <c r="A54" s="426" t="s">
        <v>416</v>
      </c>
      <c r="B54" s="426"/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188"/>
      <c r="S54" s="188"/>
      <c r="T54" s="188"/>
      <c r="U54" s="188"/>
      <c r="V54" s="188"/>
      <c r="W54" s="188"/>
      <c r="X54" s="188"/>
      <c r="Y54" s="188"/>
    </row>
    <row r="55" spans="1:25" ht="9" customHeight="1">
      <c r="A55" s="426"/>
      <c r="B55" s="426"/>
      <c r="C55" s="426"/>
      <c r="D55" s="426"/>
      <c r="E55" s="426"/>
      <c r="F55" s="426"/>
      <c r="G55" s="426"/>
      <c r="H55" s="426"/>
      <c r="I55" s="426"/>
      <c r="J55" s="426"/>
      <c r="K55" s="426"/>
      <c r="L55" s="426"/>
      <c r="M55" s="426"/>
      <c r="N55" s="426"/>
      <c r="O55" s="426"/>
      <c r="P55" s="426"/>
      <c r="Q55" s="426"/>
      <c r="R55" s="188"/>
      <c r="S55" s="188"/>
      <c r="T55" s="188"/>
      <c r="U55" s="188"/>
      <c r="V55" s="188"/>
      <c r="W55" s="188"/>
      <c r="X55" s="188"/>
      <c r="Y55" s="188"/>
    </row>
    <row r="56" spans="1:25" ht="12.75" customHeight="1">
      <c r="A56" s="431" t="s">
        <v>417</v>
      </c>
      <c r="B56" s="426"/>
      <c r="C56" s="426"/>
      <c r="D56" s="426"/>
      <c r="E56" s="426"/>
      <c r="F56" s="426"/>
      <c r="G56" s="426"/>
      <c r="H56" s="426"/>
      <c r="I56" s="426"/>
      <c r="J56" s="426"/>
      <c r="K56" s="426"/>
      <c r="L56" s="426"/>
      <c r="M56" s="426"/>
      <c r="N56" s="426"/>
      <c r="O56" s="426"/>
      <c r="P56" s="426"/>
      <c r="Q56" s="426"/>
      <c r="R56" s="188"/>
      <c r="S56" s="188"/>
      <c r="T56" s="188"/>
      <c r="U56" s="188"/>
      <c r="V56" s="188"/>
      <c r="W56" s="188"/>
      <c r="X56" s="188"/>
      <c r="Y56" s="188"/>
    </row>
    <row r="57" spans="1:25" ht="9" customHeight="1">
      <c r="A57" s="426"/>
      <c r="B57" s="426"/>
      <c r="C57" s="426"/>
      <c r="D57" s="426"/>
      <c r="E57" s="426"/>
      <c r="F57" s="426"/>
      <c r="G57" s="426"/>
      <c r="H57" s="426"/>
      <c r="I57" s="426"/>
      <c r="J57" s="426"/>
      <c r="K57" s="426"/>
      <c r="L57" s="426"/>
      <c r="M57" s="426"/>
      <c r="N57" s="426"/>
      <c r="O57" s="426"/>
      <c r="P57" s="426"/>
      <c r="Q57" s="426"/>
      <c r="R57" s="188"/>
      <c r="S57" s="188"/>
      <c r="T57" s="188"/>
      <c r="U57" s="188"/>
      <c r="V57" s="188"/>
      <c r="W57" s="188"/>
      <c r="X57" s="188"/>
      <c r="Y57" s="188"/>
    </row>
    <row r="58" spans="1:25" ht="12.75">
      <c r="A58" s="426" t="s">
        <v>418</v>
      </c>
      <c r="B58" s="426"/>
      <c r="C58" s="426"/>
      <c r="D58" s="426"/>
      <c r="E58" s="426"/>
      <c r="F58" s="426"/>
      <c r="G58" s="426"/>
      <c r="H58" s="426"/>
      <c r="I58" s="426"/>
      <c r="J58" s="426"/>
      <c r="K58" s="426"/>
      <c r="L58" s="426"/>
      <c r="M58" s="426"/>
      <c r="N58" s="426"/>
      <c r="O58" s="426"/>
      <c r="P58" s="426"/>
      <c r="Q58" s="426"/>
      <c r="R58" s="188"/>
      <c r="S58" s="188"/>
      <c r="T58" s="188"/>
      <c r="U58" s="188"/>
      <c r="V58" s="188"/>
      <c r="W58" s="188"/>
      <c r="X58" s="188"/>
      <c r="Y58" s="188"/>
    </row>
    <row r="59" spans="1:25" ht="12.75">
      <c r="A59" s="426" t="s">
        <v>419</v>
      </c>
      <c r="B59" s="426"/>
      <c r="C59" s="426"/>
      <c r="D59" s="426"/>
      <c r="E59" s="426"/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426"/>
      <c r="R59" s="188"/>
      <c r="S59" s="188"/>
      <c r="T59" s="188"/>
      <c r="U59" s="188"/>
      <c r="V59" s="188"/>
      <c r="W59" s="188"/>
      <c r="X59" s="188"/>
      <c r="Y59" s="188"/>
    </row>
    <row r="60" spans="1:25" ht="12.75">
      <c r="A60" s="426" t="s">
        <v>420</v>
      </c>
      <c r="B60" s="426"/>
      <c r="C60" s="426"/>
      <c r="D60" s="426"/>
      <c r="E60" s="426"/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426"/>
      <c r="R60" s="188"/>
      <c r="S60" s="188"/>
      <c r="T60" s="188"/>
      <c r="U60" s="188"/>
      <c r="V60" s="188"/>
      <c r="W60" s="188"/>
      <c r="X60" s="188"/>
      <c r="Y60" s="188"/>
    </row>
    <row r="61" spans="1:25" ht="12.75">
      <c r="A61" s="426" t="s">
        <v>376</v>
      </c>
      <c r="B61" s="426"/>
      <c r="C61" s="426"/>
      <c r="D61" s="426"/>
      <c r="E61" s="426"/>
      <c r="F61" s="426"/>
      <c r="G61" s="426"/>
      <c r="H61" s="426"/>
      <c r="I61" s="426"/>
      <c r="J61" s="426"/>
      <c r="K61" s="426"/>
      <c r="L61" s="426"/>
      <c r="M61" s="426"/>
      <c r="N61" s="426"/>
      <c r="O61" s="426"/>
      <c r="P61" s="426"/>
      <c r="Q61" s="426"/>
      <c r="R61" s="188"/>
      <c r="S61" s="188"/>
      <c r="T61" s="188"/>
      <c r="U61" s="188"/>
      <c r="V61" s="188"/>
      <c r="W61" s="188"/>
      <c r="X61" s="188"/>
      <c r="Y61" s="188"/>
    </row>
    <row r="62" spans="1:25" ht="9" customHeight="1">
      <c r="A62" s="426"/>
      <c r="B62" s="426"/>
      <c r="C62" s="426"/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/>
      <c r="R62" s="188"/>
      <c r="S62" s="188"/>
      <c r="T62" s="188"/>
      <c r="U62" s="188"/>
      <c r="V62" s="188"/>
      <c r="W62" s="188"/>
      <c r="X62" s="188"/>
      <c r="Y62" s="188"/>
    </row>
    <row r="63" spans="1:25" ht="12.75">
      <c r="A63" s="426" t="s">
        <v>421</v>
      </c>
      <c r="B63" s="426"/>
      <c r="C63" s="426"/>
      <c r="D63" s="426"/>
      <c r="E63" s="426"/>
      <c r="F63" s="426"/>
      <c r="G63" s="426"/>
      <c r="H63" s="426"/>
      <c r="I63" s="426"/>
      <c r="J63" s="426"/>
      <c r="K63" s="426"/>
      <c r="L63" s="426"/>
      <c r="M63" s="426"/>
      <c r="N63" s="426"/>
      <c r="O63" s="426"/>
      <c r="P63" s="426"/>
      <c r="Q63" s="426"/>
      <c r="R63" s="188"/>
      <c r="S63" s="188"/>
      <c r="T63" s="188"/>
      <c r="U63" s="188"/>
      <c r="V63" s="188"/>
      <c r="W63" s="188"/>
      <c r="X63" s="188"/>
      <c r="Y63" s="188"/>
    </row>
    <row r="64" spans="1:25" ht="12.75">
      <c r="A64" s="426" t="s">
        <v>422</v>
      </c>
      <c r="B64" s="426"/>
      <c r="C64" s="426"/>
      <c r="D64" s="426"/>
      <c r="E64" s="426"/>
      <c r="F64" s="426"/>
      <c r="G64" s="426"/>
      <c r="H64" s="426"/>
      <c r="I64" s="426"/>
      <c r="J64" s="426"/>
      <c r="K64" s="426"/>
      <c r="L64" s="426"/>
      <c r="M64" s="426"/>
      <c r="N64" s="426"/>
      <c r="O64" s="426"/>
      <c r="P64" s="426"/>
      <c r="Q64" s="426"/>
      <c r="R64" s="188"/>
      <c r="S64" s="188"/>
      <c r="T64" s="188"/>
      <c r="U64" s="188"/>
      <c r="V64" s="188"/>
      <c r="W64" s="188"/>
      <c r="X64" s="188"/>
      <c r="Y64" s="188"/>
    </row>
    <row r="65" spans="1:25" ht="12.75">
      <c r="A65" s="426" t="s">
        <v>378</v>
      </c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188"/>
      <c r="S65" s="188"/>
      <c r="T65" s="188"/>
      <c r="U65" s="188"/>
      <c r="V65" s="188"/>
      <c r="W65" s="188"/>
      <c r="X65" s="188"/>
      <c r="Y65" s="188"/>
    </row>
    <row r="66" spans="1:25" ht="3.75" customHeight="1">
      <c r="A66" s="426"/>
      <c r="B66" s="426"/>
      <c r="C66" s="426"/>
      <c r="D66" s="426"/>
      <c r="E66" s="426"/>
      <c r="F66" s="426"/>
      <c r="G66" s="426"/>
      <c r="H66" s="426"/>
      <c r="I66" s="426"/>
      <c r="J66" s="426"/>
      <c r="K66" s="426"/>
      <c r="L66" s="426"/>
      <c r="M66" s="426"/>
      <c r="N66" s="426"/>
      <c r="O66" s="426"/>
      <c r="P66" s="426"/>
      <c r="Q66" s="426"/>
      <c r="R66" s="188"/>
      <c r="S66" s="188"/>
      <c r="T66" s="188"/>
      <c r="U66" s="188"/>
      <c r="V66" s="188"/>
      <c r="W66" s="188"/>
      <c r="X66" s="188"/>
      <c r="Y66" s="188"/>
    </row>
    <row r="67" spans="1:25" ht="12.75">
      <c r="A67" s="426" t="s">
        <v>377</v>
      </c>
      <c r="B67" s="426"/>
      <c r="C67" s="426"/>
      <c r="D67" s="426"/>
      <c r="E67" s="426"/>
      <c r="F67" s="426"/>
      <c r="G67" s="426"/>
      <c r="H67" s="426"/>
      <c r="I67" s="426"/>
      <c r="J67" s="426"/>
      <c r="K67" s="426"/>
      <c r="L67" s="426"/>
      <c r="M67" s="426"/>
      <c r="N67" s="426"/>
      <c r="O67" s="426"/>
      <c r="P67" s="426"/>
      <c r="Q67" s="426"/>
      <c r="R67" s="188"/>
      <c r="S67" s="188"/>
      <c r="T67" s="188"/>
      <c r="U67" s="188"/>
      <c r="V67" s="188"/>
      <c r="W67" s="188"/>
      <c r="X67" s="188"/>
      <c r="Y67" s="188"/>
    </row>
    <row r="68" spans="1:25" ht="12.75">
      <c r="A68" s="426" t="s">
        <v>379</v>
      </c>
      <c r="B68" s="426"/>
      <c r="C68" s="426"/>
      <c r="D68" s="426"/>
      <c r="E68" s="426"/>
      <c r="F68" s="426"/>
      <c r="G68" s="426"/>
      <c r="H68" s="426"/>
      <c r="I68" s="426"/>
      <c r="J68" s="426"/>
      <c r="K68" s="426"/>
      <c r="L68" s="426"/>
      <c r="M68" s="426"/>
      <c r="N68" s="426"/>
      <c r="O68" s="426"/>
      <c r="P68" s="426"/>
      <c r="Q68" s="426"/>
      <c r="R68" s="188"/>
      <c r="S68" s="188"/>
      <c r="T68" s="188"/>
      <c r="U68" s="188"/>
      <c r="V68" s="188"/>
      <c r="W68" s="188"/>
      <c r="X68" s="188"/>
      <c r="Y68" s="188"/>
    </row>
    <row r="69" spans="1:25" ht="3.75" customHeight="1">
      <c r="A69" s="426"/>
      <c r="B69" s="426"/>
      <c r="C69" s="426"/>
      <c r="D69" s="426"/>
      <c r="E69" s="426"/>
      <c r="F69" s="426"/>
      <c r="G69" s="426"/>
      <c r="H69" s="426"/>
      <c r="I69" s="426"/>
      <c r="J69" s="426"/>
      <c r="K69" s="426"/>
      <c r="L69" s="426"/>
      <c r="M69" s="426"/>
      <c r="N69" s="426"/>
      <c r="O69" s="426"/>
      <c r="P69" s="426"/>
      <c r="Q69" s="426"/>
      <c r="R69" s="188"/>
      <c r="S69" s="188"/>
      <c r="T69" s="188"/>
      <c r="U69" s="188"/>
      <c r="V69" s="188"/>
      <c r="W69" s="188"/>
      <c r="X69" s="188"/>
      <c r="Y69" s="188"/>
    </row>
    <row r="70" spans="1:25" ht="12.75">
      <c r="A70" s="426" t="s">
        <v>423</v>
      </c>
      <c r="B70" s="426"/>
      <c r="C70" s="426"/>
      <c r="D70" s="426"/>
      <c r="E70" s="426"/>
      <c r="F70" s="426"/>
      <c r="G70" s="426"/>
      <c r="H70" s="426"/>
      <c r="I70" s="426"/>
      <c r="J70" s="426"/>
      <c r="K70" s="426"/>
      <c r="L70" s="426"/>
      <c r="M70" s="426"/>
      <c r="N70" s="426"/>
      <c r="O70" s="426"/>
      <c r="P70" s="426"/>
      <c r="Q70" s="426"/>
      <c r="R70" s="188"/>
      <c r="S70" s="188"/>
      <c r="T70" s="188"/>
      <c r="U70" s="188"/>
      <c r="V70" s="188"/>
      <c r="W70" s="188"/>
      <c r="X70" s="188"/>
      <c r="Y70" s="188"/>
    </row>
    <row r="71" spans="1:25" ht="12.75">
      <c r="A71" s="426" t="s">
        <v>424</v>
      </c>
      <c r="B71" s="426"/>
      <c r="C71" s="426"/>
      <c r="D71" s="426"/>
      <c r="E71" s="426"/>
      <c r="F71" s="426"/>
      <c r="G71" s="426"/>
      <c r="H71" s="426"/>
      <c r="I71" s="426"/>
      <c r="J71" s="426"/>
      <c r="K71" s="426"/>
      <c r="L71" s="426"/>
      <c r="M71" s="426"/>
      <c r="N71" s="426"/>
      <c r="O71" s="426"/>
      <c r="P71" s="426"/>
      <c r="Q71" s="426"/>
      <c r="R71" s="188"/>
      <c r="S71" s="188"/>
      <c r="T71" s="188"/>
      <c r="U71" s="188"/>
      <c r="V71" s="188"/>
      <c r="W71" s="188"/>
      <c r="X71" s="188"/>
      <c r="Y71" s="188"/>
    </row>
    <row r="72" spans="1:25" ht="12.75">
      <c r="A72" s="426" t="s">
        <v>425</v>
      </c>
      <c r="B72" s="426"/>
      <c r="C72" s="426"/>
      <c r="D72" s="426"/>
      <c r="E72" s="426"/>
      <c r="F72" s="426"/>
      <c r="G72" s="426"/>
      <c r="H72" s="426"/>
      <c r="I72" s="426"/>
      <c r="J72" s="426"/>
      <c r="K72" s="426"/>
      <c r="L72" s="426"/>
      <c r="M72" s="426"/>
      <c r="N72" s="426"/>
      <c r="O72" s="426"/>
      <c r="P72" s="426"/>
      <c r="Q72" s="426"/>
      <c r="R72" s="188"/>
      <c r="S72" s="188"/>
      <c r="T72" s="188"/>
      <c r="U72" s="188"/>
      <c r="V72" s="188"/>
      <c r="W72" s="188"/>
      <c r="X72" s="188"/>
      <c r="Y72" s="188"/>
    </row>
    <row r="73" spans="1:25" ht="9" customHeight="1">
      <c r="A73" s="426"/>
      <c r="B73" s="426"/>
      <c r="C73" s="426"/>
      <c r="D73" s="426"/>
      <c r="E73" s="426"/>
      <c r="F73" s="426"/>
      <c r="G73" s="426"/>
      <c r="H73" s="426"/>
      <c r="I73" s="426"/>
      <c r="J73" s="426"/>
      <c r="K73" s="426"/>
      <c r="L73" s="426"/>
      <c r="M73" s="426"/>
      <c r="N73" s="426"/>
      <c r="O73" s="426"/>
      <c r="P73" s="426"/>
      <c r="Q73" s="426"/>
      <c r="R73" s="188"/>
      <c r="S73" s="188"/>
      <c r="T73" s="188"/>
      <c r="U73" s="188"/>
      <c r="V73" s="188"/>
      <c r="W73" s="188"/>
      <c r="X73" s="188"/>
      <c r="Y73" s="188"/>
    </row>
    <row r="74" spans="1:25" ht="12.75" customHeight="1">
      <c r="A74" s="559" t="s">
        <v>455</v>
      </c>
      <c r="B74" s="559"/>
      <c r="C74" s="559"/>
      <c r="D74" s="559"/>
      <c r="E74" s="559"/>
      <c r="F74" s="559"/>
      <c r="G74" s="559"/>
      <c r="H74" s="559"/>
      <c r="I74" s="559"/>
      <c r="J74" s="559"/>
      <c r="K74" s="559"/>
      <c r="L74" s="559"/>
      <c r="M74" s="559"/>
      <c r="N74" s="559"/>
      <c r="O74" s="559"/>
      <c r="P74" s="559"/>
      <c r="Q74" s="559"/>
      <c r="R74" s="559"/>
      <c r="S74" s="559"/>
      <c r="T74" s="559"/>
      <c r="U74" s="559"/>
      <c r="V74" s="559"/>
      <c r="W74" s="559"/>
      <c r="X74" s="559"/>
      <c r="Y74" s="559"/>
    </row>
    <row r="75" spans="1:25" ht="12.75">
      <c r="A75" s="426" t="s">
        <v>368</v>
      </c>
      <c r="B75" s="426"/>
      <c r="C75" s="426"/>
      <c r="D75" s="426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188"/>
      <c r="S75" s="188"/>
      <c r="T75" s="188"/>
      <c r="U75" s="188"/>
      <c r="V75" s="188"/>
      <c r="W75" s="188"/>
      <c r="X75" s="188"/>
      <c r="Y75" s="188"/>
    </row>
    <row r="76" spans="1:25" ht="12.75">
      <c r="A76" s="188"/>
      <c r="B76" s="426"/>
      <c r="C76" s="426"/>
      <c r="D76" s="426"/>
      <c r="E76" s="426"/>
      <c r="F76" s="426"/>
      <c r="G76" s="426"/>
      <c r="H76" s="426"/>
      <c r="I76" s="426"/>
      <c r="J76" s="426"/>
      <c r="K76" s="426"/>
      <c r="L76" s="426"/>
      <c r="M76" s="426"/>
      <c r="N76" s="426"/>
      <c r="O76" s="426"/>
      <c r="P76" s="426"/>
      <c r="Q76" s="426"/>
      <c r="R76" s="188"/>
      <c r="S76" s="188"/>
      <c r="T76" s="188"/>
      <c r="U76" s="188"/>
      <c r="V76" s="188"/>
      <c r="W76" s="188"/>
      <c r="X76" s="188"/>
      <c r="Y76" s="188"/>
    </row>
    <row r="77" spans="1:25" ht="12.75">
      <c r="A77" s="188"/>
      <c r="B77" s="426"/>
      <c r="C77" s="426"/>
      <c r="D77" s="426"/>
      <c r="E77" s="426"/>
      <c r="F77" s="426"/>
      <c r="G77" s="426"/>
      <c r="H77" s="426"/>
      <c r="I77" s="426"/>
      <c r="J77" s="426"/>
      <c r="K77" s="426"/>
      <c r="L77" s="426"/>
      <c r="M77" s="426"/>
      <c r="N77" s="426"/>
      <c r="O77" s="426"/>
      <c r="P77" s="426"/>
      <c r="Q77" s="426"/>
      <c r="R77" s="188"/>
      <c r="S77" s="188"/>
      <c r="T77" s="188"/>
      <c r="U77" s="188"/>
      <c r="V77" s="188"/>
      <c r="W77" s="188"/>
      <c r="X77" s="188"/>
      <c r="Y77" s="188"/>
    </row>
    <row r="78" spans="1:27" ht="12.75">
      <c r="A78" s="188"/>
      <c r="B78" s="426"/>
      <c r="C78" s="426"/>
      <c r="D78" s="426"/>
      <c r="E78" s="426"/>
      <c r="F78" s="426"/>
      <c r="G78" s="426"/>
      <c r="H78" s="426"/>
      <c r="I78" s="426"/>
      <c r="J78" s="426"/>
      <c r="K78" s="426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188"/>
      <c r="W78" s="188"/>
      <c r="X78" s="188"/>
      <c r="Y78" s="188"/>
      <c r="Z78" s="188"/>
      <c r="AA78" s="188"/>
    </row>
    <row r="79" spans="1:27" ht="12.75">
      <c r="A79" s="188"/>
      <c r="B79" s="426"/>
      <c r="C79" s="426"/>
      <c r="D79" s="426"/>
      <c r="E79" s="426"/>
      <c r="F79" s="426"/>
      <c r="G79" s="426"/>
      <c r="H79" s="426"/>
      <c r="I79" s="426"/>
      <c r="J79" s="426"/>
      <c r="K79" s="426"/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188"/>
      <c r="W79" s="188"/>
      <c r="X79" s="188"/>
      <c r="Y79" s="188"/>
      <c r="Z79" s="188"/>
      <c r="AA79" s="188"/>
    </row>
    <row r="80" spans="1:27" ht="12.75">
      <c r="A80" s="188"/>
      <c r="B80" s="426"/>
      <c r="C80" s="426"/>
      <c r="D80" s="426"/>
      <c r="E80" s="426"/>
      <c r="F80" s="426"/>
      <c r="G80" s="426"/>
      <c r="H80" s="426"/>
      <c r="I80" s="426"/>
      <c r="J80" s="426"/>
      <c r="K80" s="426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188"/>
      <c r="W80" s="188"/>
      <c r="X80" s="188"/>
      <c r="Y80" s="188"/>
      <c r="Z80" s="188"/>
      <c r="AA80" s="188"/>
    </row>
    <row r="81" spans="1:27" ht="12.75">
      <c r="A81" s="426"/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188"/>
      <c r="W81" s="188"/>
      <c r="X81" s="188"/>
      <c r="Y81" s="188"/>
      <c r="Z81" s="188"/>
      <c r="AA81" s="188"/>
    </row>
    <row r="82" spans="1:27" ht="12.75">
      <c r="A82" s="188"/>
      <c r="B82" s="188"/>
      <c r="C82" s="426"/>
      <c r="D82" s="426"/>
      <c r="E82" s="426"/>
      <c r="F82" s="426"/>
      <c r="G82" s="426"/>
      <c r="H82" s="426"/>
      <c r="I82" s="426"/>
      <c r="J82" s="426"/>
      <c r="K82" s="426"/>
      <c r="L82" s="426"/>
      <c r="M82" s="426"/>
      <c r="N82" s="426"/>
      <c r="O82" s="426"/>
      <c r="P82" s="426"/>
      <c r="Q82" s="426"/>
      <c r="R82" s="426"/>
      <c r="S82" s="426"/>
      <c r="T82" s="426"/>
      <c r="U82" s="426"/>
      <c r="V82" s="188"/>
      <c r="W82" s="188"/>
      <c r="X82" s="188"/>
      <c r="Y82" s="188"/>
      <c r="Z82" s="188"/>
      <c r="AA82" s="188"/>
    </row>
    <row r="83" spans="1:27" ht="12.75">
      <c r="A83" s="188"/>
      <c r="B83" s="188"/>
      <c r="C83" s="426"/>
      <c r="D83" s="426"/>
      <c r="E83" s="426"/>
      <c r="F83" s="426"/>
      <c r="G83" s="426"/>
      <c r="H83" s="426"/>
      <c r="I83" s="426"/>
      <c r="J83" s="426"/>
      <c r="K83" s="426"/>
      <c r="L83" s="426"/>
      <c r="M83" s="426"/>
      <c r="N83" s="426"/>
      <c r="O83" s="426"/>
      <c r="P83" s="426"/>
      <c r="Q83" s="426"/>
      <c r="R83" s="426"/>
      <c r="S83" s="426"/>
      <c r="T83" s="426"/>
      <c r="U83" s="426"/>
      <c r="V83" s="188"/>
      <c r="W83" s="188"/>
      <c r="X83" s="188"/>
      <c r="Y83" s="188"/>
      <c r="Z83" s="188"/>
      <c r="AA83" s="188"/>
    </row>
    <row r="84" spans="1:27" ht="12.75">
      <c r="A84" s="426"/>
      <c r="B84" s="426"/>
      <c r="C84" s="426"/>
      <c r="D84" s="426"/>
      <c r="E84" s="426"/>
      <c r="F84" s="426"/>
      <c r="G84" s="426"/>
      <c r="H84" s="426"/>
      <c r="I84" s="426"/>
      <c r="J84" s="426"/>
      <c r="K84" s="426"/>
      <c r="L84" s="426"/>
      <c r="M84" s="426"/>
      <c r="N84" s="426"/>
      <c r="O84" s="426"/>
      <c r="P84" s="426"/>
      <c r="Q84" s="426"/>
      <c r="R84" s="426"/>
      <c r="S84" s="426"/>
      <c r="T84" s="426"/>
      <c r="U84" s="426"/>
      <c r="V84" s="188"/>
      <c r="W84" s="188"/>
      <c r="X84" s="188"/>
      <c r="Y84" s="188"/>
      <c r="Z84" s="188"/>
      <c r="AA84" s="188"/>
    </row>
    <row r="85" spans="1:27" ht="12.75">
      <c r="A85" s="188"/>
      <c r="B85" s="426"/>
      <c r="C85" s="426"/>
      <c r="D85" s="426"/>
      <c r="E85" s="426"/>
      <c r="F85" s="426"/>
      <c r="G85" s="426"/>
      <c r="H85" s="426"/>
      <c r="I85" s="426"/>
      <c r="J85" s="426"/>
      <c r="K85" s="426"/>
      <c r="L85" s="426"/>
      <c r="M85" s="426"/>
      <c r="N85" s="426"/>
      <c r="O85" s="426"/>
      <c r="P85" s="426"/>
      <c r="Q85" s="426"/>
      <c r="R85" s="426"/>
      <c r="S85" s="426"/>
      <c r="T85" s="426"/>
      <c r="U85" s="426"/>
      <c r="V85" s="188"/>
      <c r="W85" s="188"/>
      <c r="X85" s="188"/>
      <c r="Y85" s="188"/>
      <c r="Z85" s="188"/>
      <c r="AA85" s="188"/>
    </row>
    <row r="86" spans="1:27" ht="12.75">
      <c r="A86" s="188"/>
      <c r="B86" s="426"/>
      <c r="C86" s="426"/>
      <c r="D86" s="426"/>
      <c r="E86" s="426"/>
      <c r="F86" s="426"/>
      <c r="G86" s="426"/>
      <c r="H86" s="426"/>
      <c r="I86" s="426"/>
      <c r="J86" s="426"/>
      <c r="K86" s="426"/>
      <c r="L86" s="426"/>
      <c r="M86" s="426"/>
      <c r="N86" s="426"/>
      <c r="O86" s="426"/>
      <c r="P86" s="426"/>
      <c r="Q86" s="426"/>
      <c r="R86" s="426"/>
      <c r="S86" s="426"/>
      <c r="T86" s="426"/>
      <c r="U86" s="426"/>
      <c r="V86" s="188"/>
      <c r="W86" s="188"/>
      <c r="X86" s="188"/>
      <c r="Y86" s="188"/>
      <c r="Z86" s="188"/>
      <c r="AA86" s="188"/>
    </row>
    <row r="87" spans="1:27" ht="12.75">
      <c r="A87" s="188"/>
      <c r="B87" s="188"/>
      <c r="C87" s="426"/>
      <c r="D87" s="426"/>
      <c r="E87" s="426"/>
      <c r="F87" s="426"/>
      <c r="G87" s="426"/>
      <c r="H87" s="426"/>
      <c r="I87" s="426"/>
      <c r="J87" s="426"/>
      <c r="K87" s="426"/>
      <c r="L87" s="426"/>
      <c r="M87" s="426"/>
      <c r="N87" s="426"/>
      <c r="O87" s="426"/>
      <c r="P87" s="426"/>
      <c r="Q87" s="426"/>
      <c r="R87" s="426"/>
      <c r="S87" s="426"/>
      <c r="T87" s="426"/>
      <c r="U87" s="426"/>
      <c r="V87" s="188"/>
      <c r="W87" s="188"/>
      <c r="X87" s="188"/>
      <c r="Y87" s="188"/>
      <c r="Z87" s="188"/>
      <c r="AA87" s="188"/>
    </row>
    <row r="88" spans="1:27" ht="12.75">
      <c r="A88" s="188"/>
      <c r="B88" s="188"/>
      <c r="C88" s="426"/>
      <c r="D88" s="426"/>
      <c r="E88" s="426"/>
      <c r="F88" s="426"/>
      <c r="G88" s="426"/>
      <c r="H88" s="426"/>
      <c r="I88" s="426"/>
      <c r="J88" s="426"/>
      <c r="K88" s="426"/>
      <c r="L88" s="426"/>
      <c r="M88" s="426"/>
      <c r="N88" s="426"/>
      <c r="O88" s="426"/>
      <c r="P88" s="426"/>
      <c r="Q88" s="426"/>
      <c r="R88" s="426"/>
      <c r="S88" s="426"/>
      <c r="T88" s="426"/>
      <c r="U88" s="426"/>
      <c r="V88" s="188"/>
      <c r="W88" s="188"/>
      <c r="X88" s="188"/>
      <c r="Y88" s="188"/>
      <c r="Z88" s="188"/>
      <c r="AA88" s="188"/>
    </row>
    <row r="89" spans="1:27" ht="12.75">
      <c r="A89" s="188"/>
      <c r="B89" s="188"/>
      <c r="C89" s="426"/>
      <c r="D89" s="426"/>
      <c r="E89" s="426"/>
      <c r="F89" s="426"/>
      <c r="G89" s="426"/>
      <c r="H89" s="426"/>
      <c r="I89" s="426"/>
      <c r="J89" s="426"/>
      <c r="K89" s="426"/>
      <c r="L89" s="426"/>
      <c r="M89" s="426"/>
      <c r="N89" s="426"/>
      <c r="O89" s="426"/>
      <c r="P89" s="426"/>
      <c r="Q89" s="426"/>
      <c r="R89" s="426"/>
      <c r="S89" s="426"/>
      <c r="T89" s="426"/>
      <c r="U89" s="426"/>
      <c r="V89" s="188"/>
      <c r="W89" s="188"/>
      <c r="X89" s="188"/>
      <c r="Y89" s="188"/>
      <c r="Z89" s="188"/>
      <c r="AA89" s="188"/>
    </row>
    <row r="90" spans="1:27" ht="12.75">
      <c r="A90" s="188"/>
      <c r="B90" s="188"/>
      <c r="C90" s="426"/>
      <c r="D90" s="426"/>
      <c r="E90" s="426"/>
      <c r="F90" s="426"/>
      <c r="G90" s="426"/>
      <c r="H90" s="426"/>
      <c r="I90" s="426"/>
      <c r="J90" s="426"/>
      <c r="K90" s="426"/>
      <c r="L90" s="426"/>
      <c r="M90" s="426"/>
      <c r="N90" s="426"/>
      <c r="O90" s="426"/>
      <c r="P90" s="426"/>
      <c r="Q90" s="426"/>
      <c r="R90" s="426"/>
      <c r="S90" s="426"/>
      <c r="T90" s="426"/>
      <c r="U90" s="426"/>
      <c r="V90" s="188"/>
      <c r="W90" s="188"/>
      <c r="X90" s="188"/>
      <c r="Y90" s="188"/>
      <c r="Z90" s="188"/>
      <c r="AA90" s="188"/>
    </row>
    <row r="91" spans="1:27" ht="12.75">
      <c r="A91" s="188"/>
      <c r="B91" s="188"/>
      <c r="C91" s="426"/>
      <c r="D91" s="426"/>
      <c r="E91" s="426"/>
      <c r="F91" s="426"/>
      <c r="G91" s="426"/>
      <c r="H91" s="426"/>
      <c r="J91" s="426"/>
      <c r="K91" s="426"/>
      <c r="L91" s="426"/>
      <c r="M91" s="426"/>
      <c r="N91" s="426"/>
      <c r="O91" s="426"/>
      <c r="P91" s="426"/>
      <c r="Q91" s="426"/>
      <c r="R91" s="426"/>
      <c r="S91" s="426"/>
      <c r="T91" s="426"/>
      <c r="U91" s="426"/>
      <c r="V91" s="188"/>
      <c r="W91" s="188"/>
      <c r="X91" s="188"/>
      <c r="Y91" s="188"/>
      <c r="Z91" s="188"/>
      <c r="AA91" s="188"/>
    </row>
    <row r="92" spans="1:27" ht="12.75">
      <c r="A92" s="188"/>
      <c r="B92" s="188"/>
      <c r="C92" s="188"/>
      <c r="D92" s="188"/>
      <c r="E92" s="188"/>
      <c r="F92" s="188"/>
      <c r="G92" s="188"/>
      <c r="H92" s="188"/>
      <c r="I92" s="559"/>
      <c r="J92" s="559"/>
      <c r="K92" s="559"/>
      <c r="L92" s="559"/>
      <c r="M92" s="559"/>
      <c r="N92" s="559"/>
      <c r="O92" s="559"/>
      <c r="P92" s="559"/>
      <c r="Q92" s="559"/>
      <c r="R92" s="559"/>
      <c r="S92" s="559"/>
      <c r="T92" s="559"/>
      <c r="U92" s="559"/>
      <c r="V92" s="559"/>
      <c r="W92" s="559"/>
      <c r="X92" s="559"/>
      <c r="Y92" s="559"/>
      <c r="Z92" s="559"/>
      <c r="AA92" s="559"/>
    </row>
    <row r="93" spans="1:27" ht="12.75">
      <c r="A93" s="188"/>
      <c r="B93" s="188"/>
      <c r="C93" s="426"/>
      <c r="D93" s="426"/>
      <c r="E93" s="426"/>
      <c r="F93" s="426"/>
      <c r="G93" s="426"/>
      <c r="H93" s="426"/>
      <c r="I93" s="426"/>
      <c r="J93" s="426"/>
      <c r="K93" s="426"/>
      <c r="L93" s="426"/>
      <c r="M93" s="426"/>
      <c r="N93" s="426"/>
      <c r="O93" s="426"/>
      <c r="P93" s="426"/>
      <c r="Q93" s="426"/>
      <c r="R93" s="426"/>
      <c r="S93" s="426"/>
      <c r="T93" s="426"/>
      <c r="U93" s="426"/>
      <c r="V93" s="188"/>
      <c r="W93" s="188"/>
      <c r="X93" s="188"/>
      <c r="Y93" s="188"/>
      <c r="Z93" s="188"/>
      <c r="AA93" s="188"/>
    </row>
    <row r="94" spans="1:2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</row>
    <row r="95" spans="1:2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  <c r="P95" s="188"/>
      <c r="Q95" s="188"/>
      <c r="R95" s="188"/>
      <c r="S95" s="188"/>
      <c r="T95" s="188"/>
      <c r="U95" s="188"/>
      <c r="V95" s="188"/>
      <c r="W95" s="188"/>
      <c r="X95" s="188"/>
      <c r="Y95" s="188"/>
    </row>
    <row r="96" spans="1:2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</row>
    <row r="97" spans="1:2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</row>
    <row r="98" spans="1:2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</row>
    <row r="99" spans="1:25" ht="12.75">
      <c r="A99" s="188"/>
      <c r="B99" s="188"/>
      <c r="C99" s="188" t="s">
        <v>102</v>
      </c>
      <c r="D99" s="188"/>
      <c r="E99" s="188"/>
      <c r="F99" s="188"/>
      <c r="G99" s="188"/>
      <c r="H99" s="188"/>
      <c r="I99" s="188"/>
      <c r="J99" s="188"/>
      <c r="K99" s="188" t="s">
        <v>102</v>
      </c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</row>
    <row r="100" spans="1:25" ht="12.75">
      <c r="A100" s="188"/>
      <c r="B100" s="188"/>
      <c r="C100" s="188" t="s">
        <v>102</v>
      </c>
      <c r="D100" s="188"/>
      <c r="E100" s="188"/>
      <c r="F100" s="188"/>
      <c r="G100" s="188"/>
      <c r="H100" s="188"/>
      <c r="I100" s="188"/>
      <c r="J100" s="188"/>
      <c r="K100" s="188" t="s">
        <v>102</v>
      </c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</row>
    <row r="101" spans="1:25" ht="12.75">
      <c r="A101" s="188"/>
      <c r="B101" s="188"/>
      <c r="C101" s="188" t="s">
        <v>102</v>
      </c>
      <c r="D101" s="188"/>
      <c r="E101" s="188"/>
      <c r="F101" s="188"/>
      <c r="G101" s="188"/>
      <c r="H101" s="188"/>
      <c r="I101" s="188"/>
      <c r="J101" s="188"/>
      <c r="K101" s="188" t="s">
        <v>102</v>
      </c>
      <c r="L101" s="188"/>
      <c r="M101" s="188"/>
      <c r="N101" s="188"/>
      <c r="O101" s="188"/>
      <c r="P101" s="188"/>
      <c r="Q101" s="188"/>
      <c r="R101" s="188"/>
      <c r="S101" s="188"/>
      <c r="T101" s="188"/>
      <c r="U101" s="188"/>
      <c r="V101" s="188"/>
      <c r="W101" s="188"/>
      <c r="X101" s="188"/>
      <c r="Y101" s="188"/>
    </row>
    <row r="102" spans="1:2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  <c r="P102" s="188"/>
      <c r="Q102" s="188"/>
      <c r="R102" s="188"/>
      <c r="S102" s="188"/>
      <c r="T102" s="188"/>
      <c r="U102" s="188"/>
      <c r="V102" s="188"/>
      <c r="W102" s="188"/>
      <c r="X102" s="188"/>
      <c r="Y102" s="188"/>
    </row>
    <row r="103" spans="1:2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  <c r="P103" s="188"/>
      <c r="Q103" s="188"/>
      <c r="R103" s="188"/>
      <c r="S103" s="188"/>
      <c r="T103" s="188"/>
      <c r="U103" s="188"/>
      <c r="V103" s="188"/>
      <c r="W103" s="188"/>
      <c r="X103" s="188"/>
      <c r="Y103" s="188"/>
    </row>
    <row r="104" spans="1:2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  <c r="P104" s="188"/>
      <c r="Q104" s="188"/>
      <c r="R104" s="188"/>
      <c r="S104" s="188"/>
      <c r="T104" s="188"/>
      <c r="U104" s="188"/>
      <c r="V104" s="188"/>
      <c r="W104" s="188"/>
      <c r="X104" s="188"/>
      <c r="Y104" s="188"/>
    </row>
    <row r="105" spans="1:2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188"/>
      <c r="T105" s="188"/>
      <c r="U105" s="188"/>
      <c r="V105" s="188"/>
      <c r="W105" s="188"/>
      <c r="X105" s="188"/>
      <c r="Y105" s="188"/>
    </row>
    <row r="106" spans="1:2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</row>
    <row r="107" spans="1:2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188"/>
      <c r="U107" s="188"/>
      <c r="V107" s="188"/>
      <c r="W107" s="188"/>
      <c r="X107" s="188"/>
      <c r="Y107" s="188"/>
    </row>
    <row r="108" spans="1:2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</row>
  </sheetData>
  <sheetProtection/>
  <mergeCells count="6">
    <mergeCell ref="I92:AA92"/>
    <mergeCell ref="A33:Y33"/>
    <mergeCell ref="A36:Y36"/>
    <mergeCell ref="A74:Y74"/>
    <mergeCell ref="A34:Y34"/>
    <mergeCell ref="A35:Y35"/>
  </mergeCells>
  <printOptions gridLines="1" headings="1"/>
  <pageMargins left="0.35433070866141736" right="0.03937007874015748" top="0.9055118110236221" bottom="0.35433070866141736" header="0.2755905511811024" footer="0"/>
  <pageSetup horizontalDpi="600" verticalDpi="600" orientation="portrait" scale="76" r:id="rId3"/>
  <headerFooter alignWithMargins="0">
    <oddHeader>&amp;R&amp;8Horizon Utilities Corp.
Disposition of Account 1562 Deferred PILS
EB-2012-0005
Appendix C-1
Filed:  March 28, 2012&amp;10
</oddHeader>
    <oddFooter>&amp;R&amp;"Arial,Bold"&amp;9&amp;A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Alexander, Bobbi-Anne</cp:lastModifiedBy>
  <cp:lastPrinted>2012-03-20T15:14:25Z</cp:lastPrinted>
  <dcterms:created xsi:type="dcterms:W3CDTF">2001-11-07T16:15:53Z</dcterms:created>
  <dcterms:modified xsi:type="dcterms:W3CDTF">2012-03-28T18:47:43Z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