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40" tabRatio="796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<sst xmlns="http://schemas.openxmlformats.org/spreadsheetml/2006/main" count="878" uniqueCount="502">
  <si>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</si>
  <si>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</si>
  <si>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</si>
  <si>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</si>
  <si>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</si>
  <si>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</si>
  <si>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</si>
  <si>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</si>
  <si>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</si>
  <si>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</si>
  <si>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</si>
  <si>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</si>
  <si>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</si>
  <si>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</si>
  <si>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</si>
  <si>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</si>
  <si>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</si>
  <si>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</si>
  <si>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</si>
  <si>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</si>
  <si>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</si>
  <si>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</si>
  <si>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</si>
  <si>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</si>
  <si>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</si>
  <si>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</si>
  <si>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</si>
  <si>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</si>
  <si>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</si>
  <si>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</si>
  <si>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</si>
  <si>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</si>
  <si>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</si>
  <si>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</si>
  <si>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</si>
  <si>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</si>
  <si>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</si>
  <si>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</si>
  <si>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</si>
  <si>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</si>
  <si>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</si>
  <si>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</si>
  <si>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</si>
  <si>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</si>
  <si>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</si>
  <si>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</si>
  <si>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</si>
  <si>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</si>
  <si>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</si>
  <si>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</si>
  <si>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</si>
  <si>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</si>
  <si>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</si>
  <si>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</si>
  <si>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</si>
  <si>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</si>
  <si>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</si>
  <si>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</si>
  <si>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</si>
  <si>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</si>
  <si>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</si>
  <si>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</si>
  <si>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</si>
  <si>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</si>
  <si>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</si>
  <si>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</si>
  <si>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</si>
  <si>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</si>
  <si>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</si>
  <si>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</si>
  <si>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</si>
  <si>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</si>
  <si>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</si>
  <si>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</si>
  <si>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</si>
  <si>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</si>
  <si>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</si>
  <si>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</si>
  <si>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</si>
  <si>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</si>
  <si>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</si>
  <si>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</si>
  <si>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</si>
  <si>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</si>
  <si>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</si>
  <si>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</si>
  <si>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</si>
  <si>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</si>
  <si>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</si>
  <si>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</si>
  <si>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</si>
  <si>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</si>
  <si>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</si>
  <si>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</si>
  <si>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</si>
  <si>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</si>
  <si>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</si>
  <si>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</si>
  <si>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</si>
  <si>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</si>
  <si>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</si>
  <si>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</si>
  <si>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</si>
  <si>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</si>
  <si>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</si>
  <si>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</si>
  <si>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</si>
  <si>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</si>
  <si>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</si>
  <si>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</si>
  <si>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</si>
  <si>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</si>
  <si>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</si>
  <si>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</si>
  <si>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</si>
  <si>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</si>
  <si>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</si>
  <si>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</si>
  <si>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</si>
  <si>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</si>
  <si>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</si>
  <si>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</si>
  <si>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</si>
  <si>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</si>
  <si>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</si>
  <si>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</si>
  <si>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</si>
  <si>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</si>
  <si>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</si>
  <si>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</si>
  <si>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</si>
  <si>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</si>
  <si>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</si>
  <si>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</si>
  <si>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</si>
  <si>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</si>
  <si>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</si>
  <si>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</si>
  <si>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</si>
  <si>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</si>
  <si>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</si>
  <si>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</si>
  <si>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</si>
  <si>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</si>
  <si>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</si>
  <si>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</si>
  <si>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</si>
  <si>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</si>
  <si>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</si>
  <si>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</si>
  <si>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</si>
  <si>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</si>
  <si>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</si>
  <si>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</si>
  <si>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</si>
  <si>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</si>
  <si>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</si>
  <si>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</si>
  <si>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</si>
  <si>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</si>
  <si>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</si>
  <si>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</si>
  <si>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</si>
  <si>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</si>
  <si>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</si>
  <si>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</si>
  <si>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</si>
  <si>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</si>
  <si>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</si>
  <si>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</si>
  <si>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</si>
  <si>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</si>
  <si>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</si>
  <si>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</si>
  <si>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</si>
  <si>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</si>
  <si>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</si>
  <si>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</si>
  <si>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</si>
  <si>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</si>
  <si>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</si>
  <si>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</si>
  <si>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</si>
  <si>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</si>
  <si>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</si>
  <si>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</si>
  <si>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</si>
  <si>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</si>
  <si>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</si>
  <si>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</si>
  <si>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</si>
  <si>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</si>
  <si>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</si>
  <si>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</si>
  <si>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</si>
  <si>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</si>
  <si>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</si>
  <si>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</si>
  <si>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</si>
  <si>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</si>
  <si>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</si>
  <si>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</si>
  <si>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</si>
  <si>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</si>
  <si>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</si>
  <si>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</si>
  <si>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</si>
  <si>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</si>
  <si>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</si>
  <si>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</si>
  <si>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</si>
  <si>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</si>
  <si>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</si>
  <si>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</si>
  <si>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</si>
  <si>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</si>
  <si>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</si>
  <si>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</si>
  <si>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</si>
  <si>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</si>
  <si>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</si>
  <si>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</si>
  <si>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</si>
  <si>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</si>
  <si>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</si>
  <si>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</si>
  <si>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</si>
  <si>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</si>
  <si>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</si>
  <si>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</si>
  <si>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</si>
  <si>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</si>
  <si>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</si>
  <si>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</si>
  <si>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</si>
  <si>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</si>
  <si>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</si>
  <si>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</si>
  <si>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</si>
  <si>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</si>
  <si>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</si>
  <si>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</si>
  <si>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</si>
  <si>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</si>
  <si>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</si>
  <si>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</si>
  <si>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</si>
  <si>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</si>
  <si>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</si>
  <si>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</si>
  <si>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</si>
  <si>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</si>
  <si>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</si>
  <si>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</si>
  <si>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</si>
  <si>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</si>
  <si>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</si>
  <si>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</si>
  <si>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</si>
  <si>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</si>
  <si>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</si>
  <si>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</si>
  <si>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</si>
  <si>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</si>
  <si>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</si>
  <si>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</si>
  <si>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</si>
  <si>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</si>
  <si>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</si>
  <si>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</si>
  <si>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</si>
  <si>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</si>
  <si>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</si>
  <si>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</si>
  <si>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</si>
  <si>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</si>
  <si>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</si>
  <si>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</si>
  <si>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</si>
  <si>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</si>
  <si>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</si>
  <si>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</si>
  <si>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</si>
  <si>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</si>
  <si>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</si>
  <si>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</si>
  <si>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</si>
  <si>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</si>
  <si>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</si>
  <si>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</si>
  <si>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</si>
  <si>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</si>
  <si>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</si>
  <si>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</si>
  <si>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</si>
  <si>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</si>
  <si>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</si>
  <si>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</si>
  <si>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</si>
  <si>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</si>
  <si>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</si>
  <si>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</si>
  <si>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</si>
  <si>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</si>
  <si>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</si>
  <si>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</si>
  <si>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</si>
  <si>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</si>
  <si>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</si>
  <si>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</si>
  <si>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</si>
  <si>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</si>
  <si>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</si>
  <si>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</si>
  <si>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</si>
  <si>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</si>
  <si>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</si>
  <si>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</si>
  <si>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</si>
  <si>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</si>
  <si>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</si>
  <si>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</si>
  <si>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</si>
  <si>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</si>
  <si>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</si>
  <si>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</si>
  <si>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</si>
  <si>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</si>
  <si>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</si>
  <si>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</si>
  <si>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</si>
  <si>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</si>
  <si>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</si>
  <si>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</si>
  <si>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</si>
  <si>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</si>
  <si>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</si>
  <si>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</si>
  <si>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</si>
  <si>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</si>
  <si>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</si>
  <si>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</si>
  <si>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</si>
  <si>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</si>
  <si>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</si>
  <si>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</si>
  <si>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</si>
  <si>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</si>
  <si>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</si>
  <si>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</si>
  <si>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</si>
  <si>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</si>
  <si>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</si>
  <si>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</si>
  <si>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</si>
  <si>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</si>
  <si>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</si>
  <si>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</si>
  <si>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</si>
  <si>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</si>
  <si>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</si>
  <si>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</si>
  <si>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</si>
  <si>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</si>
  <si>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</si>
  <si>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</si>
  <si>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</si>
  <si>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</si>
  <si>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</si>
  <si>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</si>
  <si>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</si>
  <si>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</si>
  <si>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</si>
  <si>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</si>
  <si>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</si>
  <si>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</si>
  <si>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</si>
  <si>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</si>
  <si>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</si>
  <si>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</si>
  <si>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</si>
  <si>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</si>
  <si>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</si>
  <si>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</si>
  <si>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</si>
  <si>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</si>
  <si>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</si>
  <si>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</si>
  <si>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</si>
  <si>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</si>
  <si>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</si>
  <si>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</si>
  <si>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</si>
  <si>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</si>
  <si>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</si>
  <si>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</si>
  <si>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</si>
  <si>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</si>
  <si>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</si>
  <si>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</si>
  <si>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</si>
  <si>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</si>
  <si>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</si>
  <si>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</si>
  <si>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</si>
  <si>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</si>
  <si>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</si>
  <si>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</si>
  <si>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</si>
  <si>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</si>
  <si>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</si>
  <si>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</si>
  <si>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</si>
  <si>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</si>
  <si>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</si>
  <si>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</si>
  <si>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</si>
  <si>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</si>
  <si>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</si>
  <si>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</si>
  <si>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</si>
  <si>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</si>
  <si>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</si>
  <si>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</si>
  <si>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</si>
  <si>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</si>
  <si>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</si>
  <si>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</si>
  <si>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</si>
  <si>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</si>
  <si>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</si>
  <si>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</si>
  <si>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</si>
  <si>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</si>
  <si>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</si>
  <si>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</si>
  <si>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</si>
  <si>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</si>
  <si>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</si>
  <si>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</si>
  <si>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</si>
  <si>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</si>
  <si>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</si>
  <si>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</si>
  <si>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</si>
  <si>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</si>
  <si>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</si>
  <si>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</si>
  <si>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</si>
  <si>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</si>
  <si>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</si>
  <si>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</si>
  <si>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</si>
  <si>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</si>
  <si>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</si>
  <si>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</si>
  <si>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</si>
  <si>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</si>
  <si>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</si>
  <si>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</si>
  <si>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</si>
  <si>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</si>
  <si>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</si>
  <si>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</si>
  <si>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</si>
  <si>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</si>
  <si>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</si>
  <si>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</si>
  <si>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</si>
  <si>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</si>
  <si>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</si>
  <si>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</si>
  <si>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</si>
  <si>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</si>
  <si>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</si>
  <si>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</si>
  <si>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</si>
  <si>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</si>
  <si>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</si>
  <si>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</si>
  <si>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</si>
  <si>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</si>
  <si>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</si>
  <si>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</si>
  <si>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</si>
  <si>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</si>
  <si>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</si>
  <si>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</si>
  <si>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</si>
  <si>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</si>
  <si>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</si>
  <si>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</si>
  <si>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</si>
  <si>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Yes</t>
  </si>
  <si>
    <t>No</t>
  </si>
  <si>
    <t>NO</t>
  </si>
  <si>
    <t>Utility Name: Peninsula West Utilities</t>
  </si>
  <si>
    <t>Interest expense on capital lease</t>
  </si>
  <si>
    <t>Depreciation on restructuring costs</t>
  </si>
  <si>
    <t>Total Capital lease payments</t>
  </si>
  <si>
    <t>Deemed Interest</t>
  </si>
  <si>
    <t>Less: Carrying charges for regulatory accounts in interest expense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</si>
</sst>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8" borderId="14" xfId="0" applyNumberFormat="1" applyFill="1" applyBorder="1" applyAlignment="1">
      <alignment vertical="top"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8" borderId="0" xfId="0" applyNumberFormat="1" applyFill="1" applyAlignment="1">
      <alignment vertical="top"/>
    </xf>
    <xf numFmtId="10" fontId="0" fillId="28" borderId="0" xfId="0" applyNumberFormat="1" applyFill="1" applyAlignment="1">
      <alignment vertical="top"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3" fontId="0" fillId="28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0" borderId="14" xfId="0" applyNumberFormat="1" applyFill="1" applyBorder="1" applyAlignment="1" applyProtection="1" quotePrefix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10" fontId="0" fillId="30" borderId="14" xfId="0" applyNumberFormat="1" applyFill="1" applyBorder="1" applyAlignment="1" applyProtection="1" quotePrefix="1">
      <alignment vertical="top"/>
      <protection/>
    </xf>
    <xf numFmtId="37" fontId="0" fillId="30" borderId="14" xfId="0" applyNumberFormat="1" applyFill="1" applyBorder="1" applyAlignment="1" applyProtection="1">
      <alignment/>
      <protection/>
    </xf>
    <xf numFmtId="3" fontId="0" fillId="28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" fontId="0" fillId="28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6" borderId="14" xfId="0" applyNumberFormat="1" applyFill="1" applyBorder="1" applyAlignment="1">
      <alignment vertical="top"/>
    </xf>
    <xf numFmtId="3" fontId="0" fillId="29" borderId="17" xfId="0" applyNumberFormat="1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2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3" fontId="0" fillId="0" borderId="18" xfId="0" applyNumberFormat="1" applyFont="1" applyBorder="1" applyAlignment="1">
      <alignment vertical="top"/>
    </xf>
    <xf numFmtId="3" fontId="0" fillId="26" borderId="18" xfId="0" applyNumberForma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3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459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496</v>
      </c>
      <c r="C3" s="8"/>
      <c r="D3" s="454" t="s">
        <v>445</v>
      </c>
      <c r="E3" s="8"/>
      <c r="F3" s="8"/>
      <c r="G3" s="8"/>
      <c r="H3" s="8"/>
    </row>
    <row r="4" spans="1:8" ht="12.75">
      <c r="A4" s="2" t="s">
        <v>480</v>
      </c>
      <c r="C4" s="8"/>
      <c r="D4" s="453" t="s">
        <v>440</v>
      </c>
      <c r="E4" s="427"/>
      <c r="H4" s="8"/>
    </row>
    <row r="5" spans="1:8" ht="12.75">
      <c r="A5" s="51"/>
      <c r="C5" s="8"/>
      <c r="D5" s="452" t="s">
        <v>441</v>
      </c>
      <c r="E5" s="397"/>
      <c r="H5" s="8"/>
    </row>
    <row r="6" spans="1:8" ht="12.75">
      <c r="A6" s="2" t="s">
        <v>126</v>
      </c>
      <c r="B6" s="387">
        <v>366</v>
      </c>
      <c r="C6" s="8" t="s">
        <v>127</v>
      </c>
      <c r="D6" s="21"/>
      <c r="H6" s="8"/>
    </row>
    <row r="7" spans="1:8" ht="13.5" thickBot="1">
      <c r="A7" s="51" t="s">
        <v>255</v>
      </c>
      <c r="B7" s="248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 t="s">
        <v>495</v>
      </c>
    </row>
    <row r="18" spans="1:4" ht="15" customHeight="1">
      <c r="A18" s="388" t="s">
        <v>314</v>
      </c>
      <c r="C18" s="8"/>
      <c r="D18" s="8"/>
    </row>
    <row r="19" spans="1:4" ht="15" customHeight="1">
      <c r="A19" s="493" t="s">
        <v>315</v>
      </c>
      <c r="B19" s="8" t="s">
        <v>312</v>
      </c>
      <c r="C19" s="8" t="s">
        <v>64</v>
      </c>
      <c r="D19" s="387" t="s">
        <v>493</v>
      </c>
    </row>
    <row r="20" spans="1:4" ht="13.5" thickBot="1">
      <c r="A20" s="494"/>
      <c r="B20" s="8" t="s">
        <v>313</v>
      </c>
      <c r="C20" s="8" t="s">
        <v>64</v>
      </c>
      <c r="D20" s="257" t="s">
        <v>494</v>
      </c>
    </row>
    <row r="21" spans="1:4" ht="12.75">
      <c r="A21" s="493" t="s">
        <v>311</v>
      </c>
      <c r="B21" s="8" t="s">
        <v>312</v>
      </c>
      <c r="C21" s="8"/>
      <c r="D21" s="422">
        <v>1</v>
      </c>
    </row>
    <row r="22" spans="1:4" ht="12.75">
      <c r="A22" s="493"/>
      <c r="B22" s="8" t="s">
        <v>313</v>
      </c>
      <c r="C22" s="8"/>
      <c r="D22" s="422">
        <v>1</v>
      </c>
    </row>
    <row r="23" spans="1:4" ht="7.5" customHeight="1">
      <c r="A23" s="45"/>
      <c r="C23" s="8"/>
      <c r="D23" s="387"/>
    </row>
    <row r="24" spans="1:4" ht="12.75">
      <c r="A24" s="45" t="s">
        <v>211</v>
      </c>
      <c r="C24" s="8" t="s">
        <v>212</v>
      </c>
      <c r="D24" s="423" t="s">
        <v>481</v>
      </c>
    </row>
    <row r="25" ht="6.75" customHeight="1" thickBot="1">
      <c r="A25" s="12"/>
    </row>
    <row r="26" spans="1:5" ht="12.75">
      <c r="A26" s="254" t="s">
        <v>67</v>
      </c>
      <c r="C26" s="8"/>
      <c r="E26" s="442" t="s">
        <v>296</v>
      </c>
    </row>
    <row r="27" spans="1:5" ht="12.75">
      <c r="A27" s="255" t="s">
        <v>68</v>
      </c>
      <c r="C27" s="8"/>
      <c r="E27" s="443" t="s">
        <v>297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286</v>
      </c>
      <c r="D31" s="420">
        <v>24319730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2082984.8745000002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869371</v>
      </c>
      <c r="E43" s="386">
        <f>D43</f>
        <v>869371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1213613.8745000002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5">
        <v>405529</v>
      </c>
      <c r="E47" s="386">
        <f aca="true" t="shared" si="0" ref="E47:E53">D47</f>
        <v>405529</v>
      </c>
      <c r="H47" s="40"/>
      <c r="J47" s="5"/>
      <c r="K47" s="5"/>
    </row>
    <row r="48" spans="1:11" ht="12.75">
      <c r="A48" t="s">
        <v>289</v>
      </c>
      <c r="D48" s="425">
        <v>404538</v>
      </c>
      <c r="E48" s="386">
        <f>D48</f>
        <v>404538</v>
      </c>
      <c r="F48" s="22"/>
      <c r="H48" s="40"/>
      <c r="J48" s="5"/>
      <c r="K48" s="5"/>
    </row>
    <row r="49" spans="1:11" ht="12.75">
      <c r="A49" t="s">
        <v>290</v>
      </c>
      <c r="D49" s="426">
        <v>404538</v>
      </c>
      <c r="E49" s="386">
        <v>0</v>
      </c>
      <c r="F49" s="22"/>
      <c r="H49" s="40"/>
      <c r="J49" s="5"/>
      <c r="K49" s="5"/>
    </row>
    <row r="50" spans="1:11" ht="12.75">
      <c r="A50" t="s">
        <v>291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437</v>
      </c>
      <c r="D51" s="427"/>
      <c r="E51" s="386">
        <f t="shared" si="0"/>
        <v>0</v>
      </c>
      <c r="H51" s="40"/>
      <c r="J51" s="5"/>
      <c r="K51" s="5"/>
    </row>
    <row r="52" spans="1:11" ht="12.75">
      <c r="A52" t="s">
        <v>461</v>
      </c>
      <c r="D52" s="427"/>
      <c r="E52" s="386">
        <f t="shared" si="0"/>
        <v>0</v>
      </c>
      <c r="H52" s="40"/>
      <c r="J52" s="5"/>
      <c r="K52" s="5"/>
    </row>
    <row r="53" spans="4:11" ht="12.75">
      <c r="D53" s="427"/>
      <c r="E53" s="386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1679438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12159865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1201394.662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12159865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881590.2124999999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539581.1441914769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710795.4173963806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710795.4173963806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881590.2124999999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50"/>
  <sheetViews>
    <sheetView zoomScale="75" zoomScaleNormal="75" zoomScalePageLayoutView="0" workbookViewId="0" topLeftCell="A173">
      <selection activeCell="G53" sqref="G53"/>
    </sheetView>
  </sheetViews>
  <sheetFormatPr defaultColWidth="9.140625" defaultRowHeight="12.75"/>
  <cols>
    <col min="1" max="1" width="61.003906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18.421875" style="0" bestFit="1" customWidth="1"/>
  </cols>
  <sheetData>
    <row r="1" spans="1:8" ht="12.75">
      <c r="A1" s="202" t="str">
        <f>REGINFO!A1</f>
        <v>PILs TAXES - EB-2008-381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463</v>
      </c>
      <c r="H1" s="209"/>
    </row>
    <row r="2" spans="1:8" ht="12.75">
      <c r="A2" s="210" t="s">
        <v>462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464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Peninsula West Utilities</v>
      </c>
      <c r="B6" s="114"/>
      <c r="D6" s="136"/>
      <c r="E6" s="114"/>
      <c r="G6" s="114"/>
      <c r="H6" s="464"/>
    </row>
    <row r="7" spans="1:8" ht="12.75">
      <c r="A7" s="210" t="str">
        <f>REGINFO!A4</f>
        <v>Reporting period:  2004</v>
      </c>
      <c r="B7" s="114"/>
      <c r="D7" s="136"/>
      <c r="E7" s="114"/>
      <c r="G7" s="114"/>
      <c r="H7" s="464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28">
        <f>REGINFO!B6</f>
        <v>366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255</v>
      </c>
      <c r="B10" s="428">
        <f>REGINFO!B7</f>
        <v>366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8">
        <f>REGINFO!E54</f>
        <v>1679438</v>
      </c>
      <c r="D16" s="17"/>
      <c r="E16" s="266">
        <f>G16-C16</f>
        <v>-453837</v>
      </c>
      <c r="F16" s="3"/>
      <c r="G16" s="266">
        <f>TAXREC!E50</f>
        <v>1225601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f>1851507-98979-65986</f>
        <v>1686542</v>
      </c>
      <c r="D20" s="18"/>
      <c r="E20" s="266">
        <f>G20-C20</f>
        <v>377794</v>
      </c>
      <c r="F20" s="6"/>
      <c r="G20" s="266">
        <f>TAXREC!E62</f>
        <v>2064336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TAXREC!E63</f>
        <v>0</v>
      </c>
      <c r="H21" s="150"/>
    </row>
    <row r="22" spans="1:8" ht="12.75">
      <c r="A22" s="157" t="s">
        <v>263</v>
      </c>
      <c r="B22" s="126">
        <v>4</v>
      </c>
      <c r="C22" s="260"/>
      <c r="D22" s="18"/>
      <c r="E22" s="266">
        <f>G22-C22</f>
        <v>11299</v>
      </c>
      <c r="F22" s="6"/>
      <c r="G22" s="266">
        <f>TAXREC!E64</f>
        <v>11299</v>
      </c>
      <c r="H22" s="150"/>
    </row>
    <row r="23" spans="1:8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TAXREC!E65</f>
        <v>0</v>
      </c>
      <c r="H23" s="150"/>
    </row>
    <row r="24" spans="1:8" ht="12.75">
      <c r="A24" s="157" t="s">
        <v>264</v>
      </c>
      <c r="B24" s="126">
        <v>5</v>
      </c>
      <c r="C24" s="260">
        <v>0</v>
      </c>
      <c r="D24" s="18"/>
      <c r="E24" s="266">
        <f>G24-C24</f>
        <v>0</v>
      </c>
      <c r="F24" s="6"/>
      <c r="G24" s="266">
        <f>TAXREC!E66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60"/>
      <c r="D26" s="18"/>
      <c r="E26" s="266">
        <f>G26-C26</f>
        <v>0</v>
      </c>
      <c r="F26" s="6"/>
      <c r="G26" s="266">
        <f>TAXREC!E93</f>
        <v>0</v>
      </c>
      <c r="H26" s="150"/>
    </row>
    <row r="27" spans="1:8" ht="12.75">
      <c r="A27" s="157" t="s">
        <v>158</v>
      </c>
      <c r="B27" s="126">
        <v>6</v>
      </c>
      <c r="C27" s="260"/>
      <c r="D27" s="18"/>
      <c r="E27" s="266">
        <f>G27-C27</f>
        <v>0</v>
      </c>
      <c r="F27" s="6"/>
      <c r="G27" s="266">
        <f>TAXREC!E94</f>
        <v>0</v>
      </c>
      <c r="H27" s="150"/>
    </row>
    <row r="28" spans="1:8" ht="12.75">
      <c r="A28" s="157" t="s">
        <v>157</v>
      </c>
      <c r="B28" s="126">
        <v>6</v>
      </c>
      <c r="C28" s="260"/>
      <c r="D28" s="18"/>
      <c r="E28" s="266">
        <f>G28-C28</f>
        <v>0</v>
      </c>
      <c r="F28" s="6"/>
      <c r="G28" s="266">
        <f>TAXREC!E68</f>
        <v>0</v>
      </c>
      <c r="H28" s="150"/>
    </row>
    <row r="29" spans="1:8" ht="12.75">
      <c r="A29" s="157" t="s">
        <v>156</v>
      </c>
      <c r="B29" s="126">
        <v>6</v>
      </c>
      <c r="C29" s="260"/>
      <c r="D29" s="18"/>
      <c r="E29" s="266">
        <f>G29-C29</f>
        <v>0</v>
      </c>
      <c r="F29" s="6"/>
      <c r="G29" s="266">
        <f>TAXREC!E69</f>
        <v>0</v>
      </c>
      <c r="H29" s="150"/>
    </row>
    <row r="30" spans="1:8" ht="15.75">
      <c r="A30" s="480" t="s">
        <v>393</v>
      </c>
      <c r="B30" s="126"/>
      <c r="C30" s="258"/>
      <c r="D30" s="18"/>
      <c r="E30" s="266">
        <f>G30-C30</f>
        <v>52806</v>
      </c>
      <c r="F30" s="6"/>
      <c r="G30" s="266">
        <f>TAXREC!E67</f>
        <v>52806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1080005</v>
      </c>
      <c r="D33" s="131"/>
      <c r="E33" s="266">
        <f aca="true" t="shared" si="0" ref="E33:E42">G33-C33</f>
        <v>351539</v>
      </c>
      <c r="F33" s="6"/>
      <c r="G33" s="266">
        <f>TAXREC!E98+TAXREC!E99</f>
        <v>1431544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TAXREC!E100</f>
        <v>0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TAXREC!E101</f>
        <v>0</v>
      </c>
      <c r="H35" s="150"/>
    </row>
    <row r="36" spans="1:8" ht="12.75">
      <c r="A36" s="157" t="s">
        <v>265</v>
      </c>
      <c r="B36" s="126">
        <v>10</v>
      </c>
      <c r="C36" s="260">
        <v>0</v>
      </c>
      <c r="D36" s="131"/>
      <c r="E36" s="266">
        <f t="shared" si="0"/>
        <v>0</v>
      </c>
      <c r="F36" s="6"/>
      <c r="G36" s="266">
        <f>TAXREC!E103+TAXREC!E104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710795.4173963806</v>
      </c>
      <c r="D37" s="131"/>
      <c r="E37" s="266">
        <f t="shared" si="0"/>
        <v>-21661.417396380566</v>
      </c>
      <c r="F37" s="6"/>
      <c r="G37" s="266">
        <f>TAXREC!E51</f>
        <v>689134</v>
      </c>
      <c r="H37" s="150"/>
    </row>
    <row r="38" spans="1:8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TAXREC!E105</f>
        <v>0</v>
      </c>
      <c r="H38" s="150"/>
    </row>
    <row r="39" spans="1:8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TAXREC!E106</f>
        <v>0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TAXREC!E107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TAXREC!E108</f>
        <v>0</v>
      </c>
      <c r="H41" s="150"/>
    </row>
    <row r="42" spans="1:8" ht="12.75">
      <c r="A42" s="154" t="s">
        <v>183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TAXREC!E110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60"/>
      <c r="D44" s="131"/>
      <c r="E44" s="266">
        <f>G44-C44</f>
        <v>0</v>
      </c>
      <c r="F44" s="6"/>
      <c r="G44" s="250">
        <f>TAXREC!E131</f>
        <v>0</v>
      </c>
      <c r="H44" s="150"/>
    </row>
    <row r="45" spans="1:8" ht="12.75">
      <c r="A45" s="157" t="s">
        <v>152</v>
      </c>
      <c r="B45" s="126">
        <v>12</v>
      </c>
      <c r="C45" s="260"/>
      <c r="D45" s="131"/>
      <c r="E45" s="266">
        <f>G45-C45</f>
        <v>0</v>
      </c>
      <c r="F45" s="6"/>
      <c r="G45" s="250">
        <f>TAXREC!E132</f>
        <v>0</v>
      </c>
      <c r="H45" s="150"/>
    </row>
    <row r="46" spans="1:8" ht="12.75">
      <c r="A46" s="157" t="s">
        <v>154</v>
      </c>
      <c r="B46" s="126">
        <v>12</v>
      </c>
      <c r="C46" s="260"/>
      <c r="D46" s="131"/>
      <c r="E46" s="266">
        <f>G46-C46</f>
        <v>0</v>
      </c>
      <c r="F46" s="6"/>
      <c r="G46" s="250">
        <f>TAXREC!E111</f>
        <v>0</v>
      </c>
      <c r="H46" s="150"/>
    </row>
    <row r="47" spans="1:8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6"/>
      <c r="G47" s="250">
        <f>TAXREC!E112</f>
        <v>0</v>
      </c>
      <c r="H47" s="150"/>
    </row>
    <row r="48" spans="1:8" ht="15.75">
      <c r="A48" s="480" t="s">
        <v>393</v>
      </c>
      <c r="B48" s="126"/>
      <c r="C48" s="258"/>
      <c r="D48" s="131"/>
      <c r="E48" s="266">
        <f>G48-C48</f>
        <v>165524</v>
      </c>
      <c r="F48" s="6"/>
      <c r="G48" s="250">
        <f>TAXREC!E109</f>
        <v>165524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327</v>
      </c>
      <c r="B50" s="124"/>
      <c r="C50" s="262">
        <f>C16+SUM(C20:C30)-SUM(C33:C48)</f>
        <v>1575179.5826036194</v>
      </c>
      <c r="D50" s="101"/>
      <c r="E50" s="262">
        <f>E16+SUM(E20:E30)-SUM(E33:E48)</f>
        <v>-507339.58260361943</v>
      </c>
      <c r="F50" s="430" t="s">
        <v>102</v>
      </c>
      <c r="G50" s="262">
        <f>G16+SUM(G20:G30)-SUM(G33:G48)</f>
        <v>1067840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335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339</v>
      </c>
      <c r="B53" s="126">
        <v>13</v>
      </c>
      <c r="C53" s="261">
        <f>IF($C$50&gt;'Tax Rates'!$E$11,'Tax Rates'!$F$16,IF($C$50&gt;'Tax Rates'!$C$11,'Tax Rates'!$E$16,'Tax Rates'!$C$16))</f>
        <v>0.3862</v>
      </c>
      <c r="D53" s="101"/>
      <c r="E53" s="267">
        <f>+G53-C53</f>
        <v>-0.027211841205245335</v>
      </c>
      <c r="F53" s="113"/>
      <c r="G53" s="472">
        <f>TAXREC!E152</f>
        <v>0.35898815879475465</v>
      </c>
      <c r="H53" s="150"/>
      <c r="I53" s="469" t="s">
        <v>102</v>
      </c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608334.3548015178</v>
      </c>
      <c r="D55" s="101"/>
      <c r="E55" s="266">
        <f>G55-C55</f>
        <v>-234133.3548015178</v>
      </c>
      <c r="F55" s="430" t="s">
        <v>366</v>
      </c>
      <c r="G55" s="263">
        <f>TAXREC!E145</f>
        <v>374201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30" t="s">
        <v>366</v>
      </c>
      <c r="G58" s="269">
        <f>TAXREC!E146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608334.3548015178</v>
      </c>
      <c r="D60" s="132"/>
      <c r="E60" s="268">
        <f>+E55-E58</f>
        <v>-234133.3548015178</v>
      </c>
      <c r="F60" s="430" t="s">
        <v>366</v>
      </c>
      <c r="G60" s="268">
        <f>+G55-G58</f>
        <v>374201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24319730</v>
      </c>
      <c r="D66" s="101"/>
      <c r="E66" s="266">
        <f>G66-C66</f>
        <v>2433125</v>
      </c>
      <c r="F66" s="6"/>
      <c r="G66" s="474">
        <v>26752855</v>
      </c>
      <c r="H66" s="150"/>
      <c r="I66" s="475"/>
    </row>
    <row r="67" spans="1:9" ht="12.75">
      <c r="A67" s="151" t="s">
        <v>359</v>
      </c>
      <c r="B67" s="124">
        <v>16</v>
      </c>
      <c r="C67" s="259">
        <f>IF(C66&gt;0,'Tax Rates'!C21,0)</f>
        <v>5000000</v>
      </c>
      <c r="D67" s="101"/>
      <c r="E67" s="266">
        <f>G67-C67</f>
        <v>-41391</v>
      </c>
      <c r="F67" s="6"/>
      <c r="G67" s="266">
        <f>'Tax Rates'!C57</f>
        <v>4958609</v>
      </c>
      <c r="H67" s="150"/>
      <c r="I67" s="475"/>
    </row>
    <row r="68" spans="1:8" ht="12.75">
      <c r="A68" s="151" t="s">
        <v>42</v>
      </c>
      <c r="B68" s="124"/>
      <c r="C68" s="263">
        <f>IF((C66-C67)&gt;0,C66-C67,0)</f>
        <v>19319730</v>
      </c>
      <c r="D68" s="101"/>
      <c r="E68" s="266">
        <f>SUM(E66:E67)</f>
        <v>2391734</v>
      </c>
      <c r="F68" s="113"/>
      <c r="G68" s="263">
        <f>G66-G67</f>
        <v>21794246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360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316</v>
      </c>
      <c r="B72" s="124"/>
      <c r="C72" s="263">
        <f>IF(C68&gt;0,C68*C70,0)*REGINFO!$B$6/REGINFO!$B$7</f>
        <v>57959.189999999995</v>
      </c>
      <c r="D72" s="100"/>
      <c r="E72" s="266">
        <f>+G72-C72</f>
        <v>7423.54800000001</v>
      </c>
      <c r="F72" s="476"/>
      <c r="G72" s="263">
        <f>IF(G68&gt;0,G68*G70,0)*REGINFO!$B$6/REGINFO!$B$7</f>
        <v>65382.738000000005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24319730</v>
      </c>
      <c r="D75" s="101"/>
      <c r="E75" s="266">
        <f>+G75-C75</f>
        <v>-24319730</v>
      </c>
      <c r="F75" s="6"/>
      <c r="G75" s="474">
        <v>0</v>
      </c>
      <c r="H75" s="150"/>
      <c r="I75" s="475"/>
    </row>
    <row r="76" spans="1:9" ht="12.75">
      <c r="A76" s="151" t="s">
        <v>359</v>
      </c>
      <c r="B76" s="124">
        <v>19</v>
      </c>
      <c r="C76" s="259">
        <f>IF(C75&gt;0,'Tax Rates'!C22,0)</f>
        <v>10000000</v>
      </c>
      <c r="D76" s="18"/>
      <c r="E76" s="266">
        <f>+G76-C76</f>
        <v>40000000</v>
      </c>
      <c r="F76" s="6"/>
      <c r="G76" s="266">
        <f>'Tax Rates'!C58</f>
        <v>50000000</v>
      </c>
      <c r="H76" s="150"/>
      <c r="I76" s="475"/>
    </row>
    <row r="77" spans="1:8" ht="12.75">
      <c r="A77" s="151" t="s">
        <v>42</v>
      </c>
      <c r="B77" s="124"/>
      <c r="C77" s="263">
        <f>IF((C75-C76)&gt;0,C75-C76,0)</f>
        <v>14319730</v>
      </c>
      <c r="D77" s="19"/>
      <c r="E77" s="266">
        <f>SUM(E75:E76)</f>
        <v>15680270</v>
      </c>
      <c r="F77" s="113"/>
      <c r="G77" s="263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360</v>
      </c>
      <c r="B79" s="124">
        <v>20</v>
      </c>
      <c r="C79" s="300">
        <f>'Tax Rates'!C19</f>
        <v>0.00225</v>
      </c>
      <c r="D79" s="101"/>
      <c r="E79" s="267">
        <f>G79-C79</f>
        <v>-0.0002499999999999998</v>
      </c>
      <c r="F79" s="6"/>
      <c r="G79" s="267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3">
        <f>IF(C77&gt;0,C77*C79,0)*REGINFO!$B$6/REGINFO!$B$7</f>
        <v>32219.392499999998</v>
      </c>
      <c r="D81" s="101"/>
      <c r="E81" s="266">
        <f>+G81-C81</f>
        <v>-32219.392499999998</v>
      </c>
      <c r="F81" s="6"/>
      <c r="G81" s="263">
        <f>G77*G79*B9/B10</f>
        <v>0</v>
      </c>
      <c r="H81" s="150"/>
    </row>
    <row r="82" spans="1:8" ht="12.75">
      <c r="A82" s="151" t="s">
        <v>318</v>
      </c>
      <c r="B82" s="124">
        <v>21</v>
      </c>
      <c r="C82" s="299">
        <f>IF(C77&gt;0,IF(C60&gt;0,C50*'Tax Rates'!C20,0),0)</f>
        <v>17642.011325160536</v>
      </c>
      <c r="D82" s="101"/>
      <c r="E82" s="266">
        <f>+G82-C82</f>
        <v>-17642.011325160536</v>
      </c>
      <c r="F82" s="6"/>
      <c r="G82" s="299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8" ht="12.75">
      <c r="A84" s="151" t="s">
        <v>32</v>
      </c>
      <c r="B84" s="124"/>
      <c r="C84" s="263">
        <f>C81-C82</f>
        <v>14577.381174839462</v>
      </c>
      <c r="D84" s="16"/>
      <c r="E84" s="266">
        <f>E81-E82</f>
        <v>-14577.381174839462</v>
      </c>
      <c r="F84" s="102"/>
      <c r="G84" s="263">
        <f>G81-G82</f>
        <v>0</v>
      </c>
      <c r="H84" s="160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1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367</v>
      </c>
      <c r="B90" s="126">
        <v>22</v>
      </c>
      <c r="C90" s="263">
        <f>C60/(1-C88)</f>
        <v>973334.9676824284</v>
      </c>
      <c r="D90" s="20"/>
      <c r="E90" s="138"/>
      <c r="F90" s="429" t="s">
        <v>483</v>
      </c>
      <c r="G90" s="269">
        <f>TAXREC!E157</f>
        <v>374201</v>
      </c>
      <c r="H90" s="150"/>
    </row>
    <row r="91" spans="1:8" ht="12.75">
      <c r="A91" s="157" t="s">
        <v>368</v>
      </c>
      <c r="B91" s="126">
        <v>23</v>
      </c>
      <c r="C91" s="263">
        <f>C84/(1-C88)</f>
        <v>23323.809879743138</v>
      </c>
      <c r="D91" s="20"/>
      <c r="E91" s="138"/>
      <c r="F91" s="429" t="s">
        <v>483</v>
      </c>
      <c r="G91" s="269">
        <f>TAXREC!E159</f>
        <v>0</v>
      </c>
      <c r="H91" s="150"/>
    </row>
    <row r="92" spans="1:8" ht="12.75">
      <c r="A92" s="157" t="s">
        <v>347</v>
      </c>
      <c r="B92" s="126">
        <v>24</v>
      </c>
      <c r="C92" s="263">
        <f>C72</f>
        <v>57959.189999999995</v>
      </c>
      <c r="D92" s="20"/>
      <c r="E92" s="138"/>
      <c r="F92" s="429" t="s">
        <v>483</v>
      </c>
      <c r="G92" s="269">
        <f>TAXREC!E158</f>
        <v>65383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474</v>
      </c>
      <c r="B95" s="124">
        <v>25</v>
      </c>
      <c r="C95" s="268">
        <f>SUM(C90:C93)</f>
        <v>1054617.9675621716</v>
      </c>
      <c r="D95" s="6"/>
      <c r="E95" s="138"/>
      <c r="F95" s="429" t="s">
        <v>483</v>
      </c>
      <c r="G95" s="412">
        <f>SUM(G90:G94)</f>
        <v>439584</v>
      </c>
      <c r="H95" s="163"/>
    </row>
    <row r="96" spans="1:8" ht="12.75">
      <c r="A96" s="402" t="s">
        <v>307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304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345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11299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362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363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361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478</v>
      </c>
      <c r="B112" s="126">
        <v>11</v>
      </c>
      <c r="C112" s="111"/>
      <c r="D112" s="3"/>
      <c r="E112" s="471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364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365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3">
        <f>SUM(E102:E107)-SUM(E109:E118)</f>
        <v>11299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482</v>
      </c>
      <c r="B122" s="126"/>
      <c r="C122" s="111"/>
      <c r="D122" s="3" t="s">
        <v>230</v>
      </c>
      <c r="E122" s="468">
        <f>+'Tax Rates'!F52</f>
        <v>0.3612</v>
      </c>
      <c r="F122" s="469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3">
        <f>E120*E122</f>
        <v>4081.1988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4081.1988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468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351</v>
      </c>
      <c r="B132" s="129"/>
      <c r="C132" s="111"/>
      <c r="D132" s="3"/>
      <c r="E132" s="484">
        <f>E128/(1-E130)</f>
        <v>6278.767384615386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354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1">
        <f>C50</f>
        <v>1575179.5826036194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468">
        <f>IF((E120+E136)&gt;'Tax Rates'!E47,'Tax Rates'!F52,IF((E120+E136)&gt;'Tax Rates'!D47,'Tax Rates'!E52,IF((E120+E136)&gt;'Tax Rates'!C47,'Tax Rates'!D52,'Tax Rates'!C52)))</f>
        <v>0.3612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2">
        <f>IF(E136&gt;0,E136*E138,0)</f>
        <v>568954.8652364274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3">
        <f>TAXREC!E146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1">
        <f>E140-E142</f>
        <v>568954.8652364274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238</v>
      </c>
      <c r="B146" s="129"/>
      <c r="C146" s="111"/>
      <c r="D146" s="117" t="s">
        <v>187</v>
      </c>
      <c r="E146" s="301">
        <f>C60</f>
        <v>608334.3548015178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1">
        <f>E144-E146</f>
        <v>-39379.48956509039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5" t="s">
        <v>20</v>
      </c>
      <c r="B150" s="129"/>
      <c r="C150" s="111"/>
      <c r="D150" s="118"/>
      <c r="E150" s="479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1">
        <f>C66</f>
        <v>24319730</v>
      </c>
      <c r="F151" s="37"/>
      <c r="G151" s="200"/>
      <c r="H151" s="163"/>
    </row>
    <row r="152" spans="1:8" ht="12.75">
      <c r="A152" s="170" t="s">
        <v>357</v>
      </c>
      <c r="B152" s="129"/>
      <c r="C152" s="111"/>
      <c r="D152" s="117" t="s">
        <v>187</v>
      </c>
      <c r="E152" s="304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1">
        <f>E151-E152</f>
        <v>19319730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358</v>
      </c>
      <c r="B155" s="129"/>
      <c r="C155" s="111"/>
      <c r="D155" s="118" t="s">
        <v>230</v>
      </c>
      <c r="E155" s="305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1">
        <f>IF(E153&gt;0,E153*E155*B9/B10,0)</f>
        <v>57959.189999999995</v>
      </c>
      <c r="F157" s="37"/>
      <c r="G157" s="200"/>
      <c r="H157" s="163"/>
    </row>
    <row r="158" spans="1:8" ht="25.5">
      <c r="A158" s="170" t="s">
        <v>308</v>
      </c>
      <c r="B158" s="129"/>
      <c r="C158" s="111"/>
      <c r="D158" s="117" t="s">
        <v>187</v>
      </c>
      <c r="E158" s="304">
        <f>C72</f>
        <v>57959.189999999995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73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5" t="s">
        <v>235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24319730</v>
      </c>
      <c r="F162" s="37"/>
      <c r="G162" s="200"/>
      <c r="H162" s="163"/>
    </row>
    <row r="163" spans="1:8" ht="12.75">
      <c r="A163" s="170" t="s">
        <v>356</v>
      </c>
      <c r="B163" s="129"/>
      <c r="C163" s="111"/>
      <c r="D163" s="117" t="s">
        <v>187</v>
      </c>
      <c r="E163" s="304">
        <f>IF(E162&gt;0,'Tax Rates'!C40,0)</f>
        <v>50000000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1">
        <f>E162-E163</f>
        <v>-25680270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309</v>
      </c>
      <c r="B166" s="129"/>
      <c r="C166" s="111"/>
      <c r="D166" s="118"/>
      <c r="E166" s="305">
        <f>'Tax Rates'!C55</f>
        <v>0.002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0</v>
      </c>
      <c r="F168" s="37"/>
      <c r="G168" s="200"/>
      <c r="H168" s="163"/>
    </row>
    <row r="169" spans="1:8" ht="12.75">
      <c r="A169" s="170" t="s">
        <v>319</v>
      </c>
      <c r="B169" s="129"/>
      <c r="C169" s="111"/>
      <c r="D169" s="117" t="s">
        <v>187</v>
      </c>
      <c r="E169" s="306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1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3" t="s">
        <v>346</v>
      </c>
      <c r="B172" s="129"/>
      <c r="C172" s="111"/>
      <c r="D172" s="117" t="s">
        <v>187</v>
      </c>
      <c r="E172" s="304">
        <f>C84</f>
        <v>14577.381174839462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73">
        <f>E170-E172</f>
        <v>-14577.381174839462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344</v>
      </c>
      <c r="B175" s="129"/>
      <c r="C175" s="111"/>
      <c r="D175" s="118"/>
      <c r="E175" s="468">
        <f>E130</f>
        <v>0.35000000000000003</v>
      </c>
      <c r="F175" s="469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1">
        <f>E148/(1-E175)</f>
        <v>-60583.83010013907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1">
        <f>IF(E164&gt;0,E173/(1-E175),-C91)</f>
        <v>-23323.809879743138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1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352</v>
      </c>
      <c r="B181" s="129"/>
      <c r="C181" s="111"/>
      <c r="D181" s="118" t="s">
        <v>188</v>
      </c>
      <c r="E181" s="483">
        <f>SUM(E177:E179)</f>
        <v>-83907.63997988221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477</v>
      </c>
      <c r="B183" s="129"/>
      <c r="C183" s="111"/>
      <c r="D183" s="118" t="s">
        <v>186</v>
      </c>
      <c r="E183" s="483">
        <f>E132</f>
        <v>6278.767384615386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353</v>
      </c>
      <c r="B185" s="129"/>
      <c r="C185" s="111"/>
      <c r="D185" s="118" t="s">
        <v>188</v>
      </c>
      <c r="E185" s="483">
        <f>E181+E183</f>
        <v>-77628.87259526682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7">
        <f>REGINFO!D62</f>
        <v>881590.2124999999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7">
        <f>REGINFO!D66</f>
        <v>710795.4173963806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491"/>
      <c r="D196" s="119"/>
      <c r="E196" s="307">
        <f>E193-E194</f>
        <v>170794.79510361934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88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251</v>
      </c>
      <c r="B201" s="126"/>
      <c r="C201" s="111"/>
      <c r="D201" s="119"/>
      <c r="E201" s="307">
        <f>G37+G42</f>
        <v>689134</v>
      </c>
      <c r="F201" s="3"/>
      <c r="G201" s="488"/>
      <c r="H201" s="163"/>
    </row>
    <row r="202" spans="1:8" ht="12.75">
      <c r="A202" s="154" t="s">
        <v>500</v>
      </c>
      <c r="B202" s="126"/>
      <c r="C202" s="111"/>
      <c r="D202" s="119"/>
      <c r="E202" s="307">
        <f>E193</f>
        <v>881590.2124999999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479</v>
      </c>
      <c r="B206" s="126"/>
      <c r="C206" s="111"/>
      <c r="D206" s="119"/>
      <c r="E206" s="47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8">
        <f>+E196-E204</f>
        <v>170794.79510361934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52" bottom="0.38" header="0.261811024" footer="0"/>
  <pageSetup fitToHeight="2" fitToWidth="1" horizontalDpi="600" verticalDpi="600" orientation="portrait" scale="42" r:id="rId1"/>
  <rowBreaks count="3" manualBreakCount="3">
    <brk id="85" max="255" man="1"/>
    <brk id="149" max="255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4"/>
  <sheetViews>
    <sheetView tabSelected="1" zoomScale="75" zoomScaleNormal="75" zoomScalePageLayoutView="0" workbookViewId="0" topLeftCell="A32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Peninsula West Utilities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86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325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258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222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323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324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>
        <v>26966651</v>
      </c>
      <c r="D31" s="285"/>
      <c r="E31" s="283">
        <f>C31-D31</f>
        <v>26966651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6417275</v>
      </c>
      <c r="D32" s="285"/>
      <c r="E32" s="283">
        <f>C32-D32</f>
        <v>6417275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375479</v>
      </c>
      <c r="D33" s="285">
        <v>0</v>
      </c>
      <c r="E33" s="283">
        <f>C33-D33</f>
        <v>375479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f>77951+602942</f>
        <v>680893</v>
      </c>
      <c r="D34" s="285"/>
      <c r="E34" s="283">
        <f>C34-D34</f>
        <v>680893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26966651</v>
      </c>
      <c r="D39" s="285"/>
      <c r="E39" s="283">
        <f>C39-D39</f>
        <v>26966651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2219759+14227</f>
        <v>2233986</v>
      </c>
      <c r="D40" s="285">
        <v>0</v>
      </c>
      <c r="E40" s="283">
        <f aca="true" t="shared" si="0" ref="E40:E48">C40-D40</f>
        <v>2233986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0</v>
      </c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v>1949724</v>
      </c>
      <c r="D42" s="285"/>
      <c r="E42" s="283">
        <f t="shared" si="0"/>
        <v>1949724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f>2078563-14227</f>
        <v>2064336</v>
      </c>
      <c r="D43" s="285">
        <v>0</v>
      </c>
      <c r="E43" s="283">
        <f t="shared" si="0"/>
        <v>2064336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>
        <v>0</v>
      </c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491</v>
      </c>
      <c r="B45" s="23" t="s">
        <v>187</v>
      </c>
      <c r="C45" s="284">
        <v>0</v>
      </c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80">
        <f>SUM(C31:C36)-SUM(C39:C49)</f>
        <v>1225601</v>
      </c>
      <c r="D50" s="280">
        <f>SUM(D31:D36)-SUM(D39:D49)</f>
        <v>0</v>
      </c>
      <c r="E50" s="280">
        <f>SUM(E31:E35)-SUM(E39:E48)</f>
        <v>1225601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4">
        <f>714597-25463</f>
        <v>689134</v>
      </c>
      <c r="D51" s="284"/>
      <c r="E51" s="281">
        <f>+C51-D51</f>
        <v>689134</v>
      </c>
      <c r="F51" s="11"/>
      <c r="G51" s="11"/>
      <c r="H51" s="6"/>
      <c r="I51" s="6"/>
    </row>
    <row r="52" spans="1:9" ht="12.75">
      <c r="A52" s="4" t="s">
        <v>501</v>
      </c>
      <c r="B52" s="23"/>
      <c r="C52" s="284">
        <v>25463</v>
      </c>
      <c r="D52" s="284"/>
      <c r="E52" s="492"/>
      <c r="F52" s="11"/>
      <c r="G52" s="11"/>
      <c r="H52" s="6"/>
      <c r="I52" s="6"/>
    </row>
    <row r="53" spans="1:7" ht="12.75">
      <c r="A53" t="s">
        <v>181</v>
      </c>
      <c r="B53" s="8" t="s">
        <v>187</v>
      </c>
      <c r="C53" s="284">
        <v>117000</v>
      </c>
      <c r="D53" s="284"/>
      <c r="E53" s="282">
        <f>+C53-D53</f>
        <v>117000</v>
      </c>
      <c r="F53" s="8"/>
      <c r="G53" s="414" t="s">
        <v>102</v>
      </c>
    </row>
    <row r="54" spans="1:6" ht="12.75">
      <c r="A54" s="2" t="s">
        <v>130</v>
      </c>
      <c r="B54" s="8" t="s">
        <v>188</v>
      </c>
      <c r="C54" s="280">
        <f>C50-C51-C52-C53</f>
        <v>394004</v>
      </c>
      <c r="D54" s="280">
        <f>D50-D51-D53</f>
        <v>0</v>
      </c>
      <c r="E54" s="280">
        <f>E50-E51-E53</f>
        <v>419467</v>
      </c>
      <c r="F54" s="8"/>
    </row>
    <row r="55" spans="1:6" ht="24">
      <c r="A55" s="86" t="s">
        <v>213</v>
      </c>
      <c r="B55" s="8"/>
      <c r="C55" s="29"/>
      <c r="D55" s="29"/>
      <c r="E55" s="29"/>
      <c r="F55" s="8"/>
    </row>
    <row r="56" spans="1:6" ht="12.75">
      <c r="A56" s="81"/>
      <c r="B56" s="8"/>
      <c r="C56" s="29"/>
      <c r="D56" s="29"/>
      <c r="E56" s="29"/>
      <c r="F56" s="8"/>
    </row>
    <row r="57" spans="1:6" ht="12.75">
      <c r="A57" s="14" t="s">
        <v>176</v>
      </c>
      <c r="B57" s="8"/>
      <c r="C57" s="29"/>
      <c r="D57" s="29"/>
      <c r="E57" s="29"/>
      <c r="F57" s="8"/>
    </row>
    <row r="58" spans="1:6" ht="12.75">
      <c r="A58" s="15" t="s">
        <v>164</v>
      </c>
      <c r="B58" s="8"/>
      <c r="C58" s="29"/>
      <c r="D58" s="29"/>
      <c r="E58" s="29"/>
      <c r="F58" s="8"/>
    </row>
    <row r="59" spans="1:6" ht="12.75">
      <c r="A59" s="2" t="s">
        <v>165</v>
      </c>
      <c r="B59" s="8"/>
      <c r="C59" s="44"/>
      <c r="D59" s="44"/>
      <c r="E59" s="44"/>
      <c r="F59" s="8"/>
    </row>
    <row r="60" spans="1:7" ht="12.75">
      <c r="A60" s="4" t="s">
        <v>98</v>
      </c>
      <c r="B60" s="8" t="s">
        <v>186</v>
      </c>
      <c r="C60" s="286">
        <f>C53</f>
        <v>117000</v>
      </c>
      <c r="D60" s="286">
        <f>D53</f>
        <v>0</v>
      </c>
      <c r="E60" s="271">
        <f>+C60-D60</f>
        <v>117000</v>
      </c>
      <c r="F60" s="8"/>
      <c r="G60" s="414" t="s">
        <v>102</v>
      </c>
    </row>
    <row r="61" spans="1:6" ht="12.75">
      <c r="A61" s="4" t="s">
        <v>326</v>
      </c>
      <c r="B61" s="8" t="s">
        <v>186</v>
      </c>
      <c r="C61" s="316">
        <v>0</v>
      </c>
      <c r="D61" s="316"/>
      <c r="E61" s="271">
        <f>+C61-D61</f>
        <v>0</v>
      </c>
      <c r="F61" s="8"/>
    </row>
    <row r="62" spans="1:7" ht="12.75">
      <c r="A62" t="s">
        <v>4</v>
      </c>
      <c r="B62" s="8" t="s">
        <v>186</v>
      </c>
      <c r="C62" s="286">
        <f>C43</f>
        <v>2064336</v>
      </c>
      <c r="D62" s="286">
        <f>D43</f>
        <v>0</v>
      </c>
      <c r="E62" s="271">
        <f>+C62-D62</f>
        <v>2064336</v>
      </c>
      <c r="F62" s="8"/>
      <c r="G62" s="414"/>
    </row>
    <row r="63" spans="1:6" ht="12.75">
      <c r="A63" t="s">
        <v>6</v>
      </c>
      <c r="B63" s="8" t="s">
        <v>186</v>
      </c>
      <c r="C63" s="316"/>
      <c r="D63" s="286">
        <v>0</v>
      </c>
      <c r="E63" s="271">
        <f>+C63-D63</f>
        <v>0</v>
      </c>
      <c r="F63" s="8"/>
    </row>
    <row r="64" spans="1:6" ht="12.75">
      <c r="A64" s="31" t="s">
        <v>278</v>
      </c>
      <c r="B64" s="8" t="s">
        <v>186</v>
      </c>
      <c r="C64" s="314">
        <f>'Tax Reserves'!C22</f>
        <v>11299</v>
      </c>
      <c r="D64" s="315">
        <f>'Tax Reserves'!D22</f>
        <v>0</v>
      </c>
      <c r="E64" s="271">
        <f>C64-D64</f>
        <v>11299</v>
      </c>
      <c r="F64" s="8"/>
    </row>
    <row r="65" spans="1:6" ht="12.75">
      <c r="A65" s="4" t="s">
        <v>52</v>
      </c>
      <c r="B65" s="8" t="s">
        <v>186</v>
      </c>
      <c r="C65" s="314">
        <f>'Tax Reserves'!C63</f>
        <v>0</v>
      </c>
      <c r="D65" s="315">
        <f>'Tax Reserves'!D63</f>
        <v>0</v>
      </c>
      <c r="E65" s="271">
        <f>+C65-D65</f>
        <v>0</v>
      </c>
      <c r="F65" s="8"/>
    </row>
    <row r="66" spans="1:6" ht="12.75">
      <c r="A66" t="s">
        <v>442</v>
      </c>
      <c r="B66" s="8" t="s">
        <v>186</v>
      </c>
      <c r="C66" s="285"/>
      <c r="D66" s="285"/>
      <c r="E66" s="271">
        <f>+C66-D66</f>
        <v>0</v>
      </c>
      <c r="F66" s="8"/>
    </row>
    <row r="67" spans="1:6" ht="15">
      <c r="A67" s="466" t="s">
        <v>393</v>
      </c>
      <c r="B67" s="8"/>
      <c r="C67" s="445">
        <f>'TAXREC 3 No True-up'!C47</f>
        <v>52806</v>
      </c>
      <c r="D67" s="445">
        <f>'TAXREC 3 No True-up'!D47</f>
        <v>0</v>
      </c>
      <c r="E67" s="271">
        <f>+C67-D67</f>
        <v>52806</v>
      </c>
      <c r="F67" s="8"/>
    </row>
    <row r="68" spans="1:6" ht="12.75">
      <c r="A68" t="s">
        <v>159</v>
      </c>
      <c r="B68" s="8" t="s">
        <v>186</v>
      </c>
      <c r="C68" s="250">
        <f>'TAXREC 2'!C77</f>
        <v>0</v>
      </c>
      <c r="D68" s="250">
        <f>'TAXREC 2'!D77</f>
        <v>0</v>
      </c>
      <c r="E68" s="271">
        <f>+C68-D68</f>
        <v>0</v>
      </c>
      <c r="F68" s="8"/>
    </row>
    <row r="69" spans="1:11" ht="12.75">
      <c r="A69" t="s">
        <v>160</v>
      </c>
      <c r="B69" s="8" t="s">
        <v>186</v>
      </c>
      <c r="C69" s="250">
        <f>'TAXREC 2'!C78</f>
        <v>0</v>
      </c>
      <c r="D69" s="250">
        <f>'TAXREC 2'!D78</f>
        <v>0</v>
      </c>
      <c r="E69" s="271">
        <f>+C69-D69</f>
        <v>0</v>
      </c>
      <c r="F69" s="8"/>
      <c r="G69" s="45"/>
      <c r="H69" s="45"/>
      <c r="I69" s="23"/>
      <c r="J69" s="23"/>
      <c r="K69" s="74"/>
    </row>
    <row r="70" spans="3:11" ht="12.75">
      <c r="C70" s="22"/>
      <c r="D70" s="22"/>
      <c r="E70" s="296"/>
      <c r="F70" s="8"/>
      <c r="G70" s="45"/>
      <c r="H70" s="45"/>
      <c r="I70" s="23"/>
      <c r="J70" s="23"/>
      <c r="K70" s="74"/>
    </row>
    <row r="71" spans="1:11" ht="12.75">
      <c r="A71" s="10" t="s">
        <v>106</v>
      </c>
      <c r="B71" s="8"/>
      <c r="C71" s="271">
        <f>SUM(C60:C69)</f>
        <v>2245441</v>
      </c>
      <c r="D71" s="271">
        <f>SUM(D60:D69)</f>
        <v>0</v>
      </c>
      <c r="E71" s="271">
        <f>SUM(E60:E69)</f>
        <v>2245441</v>
      </c>
      <c r="F71" s="8"/>
      <c r="G71" s="45"/>
      <c r="H71" s="45"/>
      <c r="I71" s="23"/>
      <c r="J71" s="45"/>
      <c r="K71" s="74"/>
    </row>
    <row r="72" spans="1:11" ht="12.75">
      <c r="A72" s="10"/>
      <c r="B72" s="8"/>
      <c r="C72" s="42"/>
      <c r="D72" s="42"/>
      <c r="E72" s="42"/>
      <c r="F72" s="8"/>
      <c r="G72" s="45"/>
      <c r="H72" s="45"/>
      <c r="I72" s="23"/>
      <c r="J72" s="45"/>
      <c r="K72" s="23"/>
    </row>
    <row r="73" spans="1:11" ht="12.75">
      <c r="A73" s="10" t="s">
        <v>206</v>
      </c>
      <c r="B73" s="8"/>
      <c r="C73" s="5"/>
      <c r="D73" s="5"/>
      <c r="E73" s="5"/>
      <c r="F73" s="8"/>
      <c r="G73" s="45"/>
      <c r="H73" s="45"/>
      <c r="I73" s="23"/>
      <c r="J73" s="23"/>
      <c r="K73" s="23"/>
    </row>
    <row r="74" spans="1:11" ht="12.75">
      <c r="A74" t="s">
        <v>5</v>
      </c>
      <c r="B74" s="8" t="s">
        <v>186</v>
      </c>
      <c r="C74" s="293"/>
      <c r="D74" s="293"/>
      <c r="E74" s="271">
        <f aca="true" t="shared" si="1" ref="E74:E80">+C74-D74</f>
        <v>0</v>
      </c>
      <c r="F74" s="8"/>
      <c r="G74" s="75"/>
      <c r="H74" s="76"/>
      <c r="I74" s="77"/>
      <c r="J74" s="77"/>
      <c r="K74" s="77"/>
    </row>
    <row r="75" spans="1:11" ht="12.75">
      <c r="A75" t="s">
        <v>147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t="s">
        <v>7</v>
      </c>
      <c r="B76" s="8" t="s">
        <v>186</v>
      </c>
      <c r="C76" s="293"/>
      <c r="D76" s="293"/>
      <c r="E76" s="271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4"/>
      <c r="B77" s="8" t="s">
        <v>186</v>
      </c>
      <c r="C77" s="481">
        <v>0</v>
      </c>
      <c r="D77" s="293"/>
      <c r="E77" s="477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7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4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8"/>
      <c r="B80" s="8" t="s">
        <v>186</v>
      </c>
      <c r="C80" s="293"/>
      <c r="D80" s="293"/>
      <c r="E80" s="271">
        <f t="shared" si="1"/>
        <v>0</v>
      </c>
      <c r="F80" s="8"/>
      <c r="G80" s="75"/>
      <c r="H80" s="76"/>
      <c r="I80" s="77"/>
      <c r="J80" s="76"/>
      <c r="K80" s="76"/>
    </row>
    <row r="81" spans="1:11" ht="12.75">
      <c r="A81" s="63" t="s">
        <v>50</v>
      </c>
      <c r="B81" s="8" t="s">
        <v>188</v>
      </c>
      <c r="C81" s="250">
        <f>SUM(C74:C80)</f>
        <v>0</v>
      </c>
      <c r="D81" s="250">
        <f>SUM(D74:D80)</f>
        <v>0</v>
      </c>
      <c r="E81" s="250">
        <f>SUM(E74:E80)</f>
        <v>0</v>
      </c>
      <c r="F81" s="8"/>
      <c r="G81" s="78"/>
      <c r="H81" s="76"/>
      <c r="I81" s="77"/>
      <c r="J81" s="77"/>
      <c r="K81" s="76"/>
    </row>
    <row r="82" spans="1:11" ht="12.75">
      <c r="A82" s="10"/>
      <c r="C82" s="22"/>
      <c r="D82" s="22"/>
      <c r="E82" s="22"/>
      <c r="F82" s="8"/>
      <c r="G82" s="76"/>
      <c r="H82" s="76"/>
      <c r="I82" s="72"/>
      <c r="J82" s="72"/>
      <c r="K82" s="72"/>
    </row>
    <row r="83" spans="1:11" ht="12.75">
      <c r="A83" s="4" t="s">
        <v>18</v>
      </c>
      <c r="B83" s="8" t="s">
        <v>188</v>
      </c>
      <c r="C83" s="250">
        <f>C71+C81</f>
        <v>2245441</v>
      </c>
      <c r="D83" s="250">
        <f>D71+D81</f>
        <v>0</v>
      </c>
      <c r="E83" s="250">
        <f>E71+E81</f>
        <v>2245441</v>
      </c>
      <c r="F83" s="8"/>
      <c r="G83" s="45"/>
      <c r="H83" s="45"/>
      <c r="I83" s="45"/>
      <c r="J83" s="45"/>
      <c r="K83" s="45"/>
    </row>
    <row r="84" spans="1:11" ht="12.75">
      <c r="A84" s="4"/>
      <c r="B84" s="8"/>
      <c r="C84" s="72"/>
      <c r="D84" s="72"/>
      <c r="E84" s="72"/>
      <c r="F84" s="8"/>
      <c r="G84" s="45"/>
      <c r="H84" s="45"/>
      <c r="I84" s="45"/>
      <c r="J84" s="45"/>
      <c r="K84" s="45"/>
    </row>
    <row r="85" spans="1:11" ht="12.75">
      <c r="A85" s="279" t="s">
        <v>174</v>
      </c>
      <c r="B85" s="45"/>
      <c r="C85" s="23"/>
      <c r="D85" s="23"/>
      <c r="E85" s="23"/>
      <c r="F85" s="8"/>
      <c r="G85" s="45"/>
      <c r="H85" s="45"/>
      <c r="I85" s="45"/>
      <c r="J85" s="45"/>
      <c r="K85" s="45"/>
    </row>
    <row r="86" spans="1:11" ht="12.75">
      <c r="A86" s="287" t="str">
        <f aca="true" t="shared" si="2" ref="A86:A92">IF($E74&gt;$C$13,A74," ")</f>
        <v> </v>
      </c>
      <c r="B86" s="272"/>
      <c r="C86" s="289">
        <f aca="true" t="shared" si="3" ref="C86:E90">IF($E74&gt;$C$13,C74,)</f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t="shared" si="3"/>
        <v>0</v>
      </c>
      <c r="D90" s="289">
        <f t="shared" si="3"/>
        <v>0</v>
      </c>
      <c r="E90" s="289">
        <f t="shared" si="3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aca="true" t="shared" si="4" ref="C91:E92">IF($E79&gt;$C$13,C79,)</f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tr">
        <f t="shared" si="2"/>
        <v> </v>
      </c>
      <c r="B92" s="272"/>
      <c r="C92" s="289">
        <f t="shared" si="4"/>
        <v>0</v>
      </c>
      <c r="D92" s="289">
        <f t="shared" si="4"/>
        <v>0</v>
      </c>
      <c r="E92" s="289">
        <f t="shared" si="4"/>
        <v>0</v>
      </c>
      <c r="F92" s="8"/>
      <c r="G92" s="45"/>
      <c r="H92" s="45"/>
      <c r="I92" s="45"/>
      <c r="J92" s="45"/>
      <c r="K92" s="45"/>
    </row>
    <row r="93" spans="1:11" ht="12.75">
      <c r="A93" s="288" t="s">
        <v>150</v>
      </c>
      <c r="B93" s="272"/>
      <c r="C93" s="278">
        <f>SUM(C86:C92)</f>
        <v>0</v>
      </c>
      <c r="D93" s="278">
        <f>SUM(D86:D92)</f>
        <v>0</v>
      </c>
      <c r="E93" s="278">
        <f>SUM(E86:E92)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430</v>
      </c>
      <c r="B94" s="272"/>
      <c r="C94" s="250">
        <f>C81-C93</f>
        <v>0</v>
      </c>
      <c r="D94" s="250">
        <f>D81-D93</f>
        <v>0</v>
      </c>
      <c r="E94" s="250">
        <f>E81-E93</f>
        <v>0</v>
      </c>
      <c r="F94" s="8"/>
      <c r="G94" s="45"/>
      <c r="H94" s="45"/>
      <c r="I94" s="45"/>
      <c r="J94" s="45"/>
      <c r="K94" s="45"/>
    </row>
    <row r="95" spans="1:11" ht="12.75">
      <c r="A95" s="272" t="s">
        <v>196</v>
      </c>
      <c r="B95" s="272"/>
      <c r="C95" s="250">
        <f>C93+C94</f>
        <v>0</v>
      </c>
      <c r="D95" s="250">
        <f>D93+D94</f>
        <v>0</v>
      </c>
      <c r="E95" s="250">
        <f>E93+E94</f>
        <v>0</v>
      </c>
      <c r="F95" s="8"/>
      <c r="G95" s="45"/>
      <c r="H95" s="45"/>
      <c r="I95" s="45"/>
      <c r="J95" s="45"/>
      <c r="K95" s="45"/>
    </row>
    <row r="96" spans="1:11" ht="12.75">
      <c r="A96" s="2"/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s="12" t="s">
        <v>55</v>
      </c>
      <c r="B97" s="8"/>
      <c r="C97" s="5"/>
      <c r="D97" s="5"/>
      <c r="E97" s="5"/>
      <c r="F97" s="8"/>
      <c r="G97" s="45"/>
      <c r="H97" s="45"/>
      <c r="I97" s="45"/>
      <c r="J97" s="45"/>
      <c r="K97" s="45"/>
    </row>
    <row r="98" spans="1:11" ht="12.75">
      <c r="A98" t="s">
        <v>27</v>
      </c>
      <c r="B98" s="8" t="s">
        <v>187</v>
      </c>
      <c r="C98" s="293">
        <v>1306729</v>
      </c>
      <c r="D98" s="293"/>
      <c r="E98" s="271">
        <f>+C98-D98</f>
        <v>1306729</v>
      </c>
      <c r="F98" s="8"/>
      <c r="G98" s="45"/>
      <c r="H98" s="45"/>
      <c r="I98" s="45"/>
      <c r="J98" s="45"/>
      <c r="K98" s="45"/>
    </row>
    <row r="99" spans="1:11" ht="12.75">
      <c r="A99" t="s">
        <v>14</v>
      </c>
      <c r="B99" s="8" t="s">
        <v>187</v>
      </c>
      <c r="C99" s="293">
        <v>124815</v>
      </c>
      <c r="D99" s="293"/>
      <c r="E99" s="271">
        <f>+C99-D99</f>
        <v>124815</v>
      </c>
      <c r="F99" s="8"/>
      <c r="G99" s="45"/>
      <c r="H99" s="45"/>
      <c r="I99" s="45"/>
      <c r="J99" s="45"/>
      <c r="K99" s="45"/>
    </row>
    <row r="100" spans="1:11" ht="12.75">
      <c r="A100" t="s">
        <v>11</v>
      </c>
      <c r="B100" s="8" t="s">
        <v>187</v>
      </c>
      <c r="C100" s="293">
        <v>0</v>
      </c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t="s">
        <v>38</v>
      </c>
      <c r="B101" s="8" t="s">
        <v>187</v>
      </c>
      <c r="C101" s="293"/>
      <c r="D101" s="293"/>
      <c r="E101" s="271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86">
        <f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71">
        <f aca="true" t="shared" si="5" ref="E103:E110">+C103-D103</f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94</v>
      </c>
      <c r="B104" s="8" t="s">
        <v>187</v>
      </c>
      <c r="C104" s="293"/>
      <c r="D104" s="293"/>
      <c r="E104" s="28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261</v>
      </c>
      <c r="B105" s="8" t="s">
        <v>187</v>
      </c>
      <c r="C105" s="317">
        <f>'Tax Reserves'!C35</f>
        <v>0</v>
      </c>
      <c r="D105" s="317">
        <f>'Tax Reserves'!D35</f>
        <v>0</v>
      </c>
      <c r="E105" s="27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279</v>
      </c>
      <c r="B106" s="8" t="s">
        <v>187</v>
      </c>
      <c r="C106" s="317">
        <f>'Tax Reserves'!C50</f>
        <v>0</v>
      </c>
      <c r="D106" s="317">
        <f>'Tax Reserves'!D50</f>
        <v>0</v>
      </c>
      <c r="E106" s="28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12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2.75">
      <c r="A108" s="10" t="s">
        <v>13</v>
      </c>
      <c r="B108" s="8" t="s">
        <v>187</v>
      </c>
      <c r="C108" s="293"/>
      <c r="D108" s="293"/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5">
      <c r="A109" s="466" t="s">
        <v>393</v>
      </c>
      <c r="B109" s="8"/>
      <c r="C109" s="253">
        <f>'TAXREC 3 No True-up'!C73</f>
        <v>165524</v>
      </c>
      <c r="D109" s="253">
        <f>'TAXREC 3 No True-up'!D73</f>
        <v>0</v>
      </c>
      <c r="E109" s="271">
        <f t="shared" si="5"/>
        <v>165524</v>
      </c>
      <c r="F109" s="8"/>
      <c r="G109" s="45"/>
      <c r="H109" s="45"/>
      <c r="I109" s="45"/>
      <c r="J109" s="45"/>
      <c r="K109" s="45"/>
    </row>
    <row r="110" spans="1:11" ht="12.75">
      <c r="A110" s="31" t="s">
        <v>182</v>
      </c>
      <c r="B110" s="8" t="s">
        <v>187</v>
      </c>
      <c r="C110" s="293"/>
      <c r="D110" s="293"/>
      <c r="E110" s="282">
        <f t="shared" si="5"/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187</v>
      </c>
      <c r="C111" s="250">
        <f>'TAXREC 2'!C119</f>
        <v>0</v>
      </c>
      <c r="D111" s="250">
        <f>'TAXREC 2'!D119</f>
        <v>0</v>
      </c>
      <c r="E111" s="250">
        <f>'TAXREC 2'!E119</f>
        <v>0</v>
      </c>
      <c r="F111" s="8"/>
      <c r="G111" s="45"/>
      <c r="H111" s="45"/>
      <c r="I111" s="45"/>
      <c r="J111" s="45"/>
      <c r="K111" s="45"/>
    </row>
    <row r="112" spans="1:11" ht="12.75">
      <c r="A112" t="s">
        <v>162</v>
      </c>
      <c r="B112" s="8" t="s">
        <v>187</v>
      </c>
      <c r="C112" s="250">
        <f>'TAXREC 2'!C120</f>
        <v>0</v>
      </c>
      <c r="D112" s="250">
        <f>'TAXREC 2'!D120</f>
        <v>0</v>
      </c>
      <c r="E112" s="250">
        <f>'TAXREC 2'!E120</f>
        <v>0</v>
      </c>
      <c r="F112" s="8"/>
      <c r="G112" s="45"/>
      <c r="H112" s="45"/>
      <c r="I112" s="23"/>
      <c r="J112" s="23"/>
      <c r="K112" s="74"/>
    </row>
    <row r="113" spans="1:11" ht="12.75">
      <c r="A113" s="4"/>
      <c r="B113" s="8"/>
      <c r="C113" s="22"/>
      <c r="D113" s="22"/>
      <c r="E113" s="295"/>
      <c r="F113" s="8"/>
      <c r="G113" s="45"/>
      <c r="H113" s="45"/>
      <c r="I113" s="23"/>
      <c r="J113" s="45"/>
      <c r="K113" s="74"/>
    </row>
    <row r="114" spans="1:11" ht="12.75">
      <c r="A114" s="4" t="s">
        <v>163</v>
      </c>
      <c r="B114" s="8" t="s">
        <v>188</v>
      </c>
      <c r="C114" s="250">
        <f>SUM(C98:C112)</f>
        <v>1597068</v>
      </c>
      <c r="D114" s="250">
        <f>SUM(D98:D112)</f>
        <v>0</v>
      </c>
      <c r="E114" s="250">
        <f>SUM(E98:E112)</f>
        <v>1597068</v>
      </c>
      <c r="F114" s="8"/>
      <c r="G114" s="45"/>
      <c r="H114" s="45"/>
      <c r="I114" s="23"/>
      <c r="J114" s="45"/>
      <c r="K114" s="23"/>
    </row>
    <row r="115" spans="1:11" ht="12.75">
      <c r="A115" s="10" t="s">
        <v>205</v>
      </c>
      <c r="B115" s="8"/>
      <c r="C115" s="5"/>
      <c r="D115" s="5"/>
      <c r="E115" s="5"/>
      <c r="F115" s="8"/>
      <c r="G115" s="45"/>
      <c r="H115" s="45"/>
      <c r="I115" s="23"/>
      <c r="J115" s="23"/>
      <c r="K115" s="23"/>
    </row>
    <row r="116" spans="1:11" ht="12.75">
      <c r="A116" s="2" t="s">
        <v>16</v>
      </c>
      <c r="B116" s="8" t="s">
        <v>187</v>
      </c>
      <c r="C116" s="293"/>
      <c r="D116" s="293"/>
      <c r="E116" s="271">
        <f>+C116-D116</f>
        <v>0</v>
      </c>
      <c r="F116" s="8"/>
      <c r="G116" s="75"/>
      <c r="H116" s="76"/>
      <c r="I116" s="77"/>
      <c r="J116" s="77"/>
      <c r="K116" s="77"/>
    </row>
    <row r="117" spans="1:11" ht="12.75">
      <c r="A117" s="67" t="s">
        <v>221</v>
      </c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 t="s">
        <v>187</v>
      </c>
      <c r="C118" s="293"/>
      <c r="D118" s="293"/>
      <c r="E118" s="271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7"/>
      <c r="B119" s="8"/>
      <c r="C119" s="293"/>
      <c r="D119" s="293"/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68"/>
      <c r="B120" s="8" t="s">
        <v>187</v>
      </c>
      <c r="C120" s="293"/>
      <c r="D120" s="293"/>
      <c r="E120" s="271">
        <f>+C120-D120</f>
        <v>0</v>
      </c>
      <c r="F120" s="8"/>
      <c r="G120" s="75"/>
      <c r="H120" s="76"/>
      <c r="I120" s="76"/>
      <c r="J120" s="76"/>
      <c r="K120" s="76"/>
    </row>
    <row r="121" spans="1:11" ht="12.75">
      <c r="A121" s="10" t="s">
        <v>51</v>
      </c>
      <c r="B121" s="8" t="s">
        <v>188</v>
      </c>
      <c r="C121" s="250">
        <f>SUM(C115:C120)</f>
        <v>0</v>
      </c>
      <c r="D121" s="250">
        <f>SUM(D115:D120)</f>
        <v>0</v>
      </c>
      <c r="E121" s="250">
        <f>SUM(E115:E120)</f>
        <v>0</v>
      </c>
      <c r="F121" s="8"/>
      <c r="G121" s="78"/>
      <c r="H121" s="76"/>
      <c r="I121" s="76"/>
      <c r="J121" s="76"/>
      <c r="K121" s="76"/>
    </row>
    <row r="122" spans="2:11" ht="12.75">
      <c r="B122" s="8"/>
      <c r="C122" s="22"/>
      <c r="D122" s="22"/>
      <c r="E122" s="22"/>
      <c r="F122" s="8"/>
      <c r="G122" s="76"/>
      <c r="H122" s="76"/>
      <c r="I122" s="72"/>
      <c r="J122" s="72"/>
      <c r="K122" s="72"/>
    </row>
    <row r="123" spans="1:11" ht="12.75">
      <c r="A123" s="4" t="s">
        <v>19</v>
      </c>
      <c r="B123" s="8" t="s">
        <v>188</v>
      </c>
      <c r="C123" s="250">
        <f>C114+C121</f>
        <v>1597068</v>
      </c>
      <c r="D123" s="250">
        <f>D114+D121</f>
        <v>0</v>
      </c>
      <c r="E123" s="250">
        <f>+E114+E121</f>
        <v>1597068</v>
      </c>
      <c r="F123" s="8"/>
      <c r="G123" s="45"/>
      <c r="H123" s="45"/>
      <c r="I123" s="45"/>
      <c r="J123" s="45"/>
      <c r="K123" s="45"/>
    </row>
    <row r="124" spans="2:11" ht="12.75">
      <c r="B124" s="8"/>
      <c r="C124" s="22"/>
      <c r="D124" s="22"/>
      <c r="E124" s="22"/>
      <c r="F124" s="8"/>
      <c r="G124" s="45"/>
      <c r="H124" s="45"/>
      <c r="I124" s="45"/>
      <c r="J124" s="45"/>
      <c r="K124" s="45"/>
    </row>
    <row r="125" spans="1:11" ht="12.75">
      <c r="A125" s="290" t="s">
        <v>175</v>
      </c>
      <c r="C125" s="8"/>
      <c r="D125" s="8"/>
      <c r="E125" s="8"/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aca="true" t="shared" si="6" ref="C126:E130">IF($E116&gt;$C$13,C116,)</f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>IF($E117&gt;$C$13,D117,)</f>
        <v>0</v>
      </c>
      <c r="E127" s="289">
        <f>IF($E117&gt;$C$13,E117,)</f>
        <v>0</v>
      </c>
      <c r="F127" s="8"/>
      <c r="G127" s="45"/>
      <c r="H127" s="45"/>
      <c r="I127" s="45"/>
      <c r="J127" s="45"/>
      <c r="K127" s="45"/>
    </row>
    <row r="128" spans="1:11" ht="12.75">
      <c r="A128" s="287" t="str">
        <f>IF($E118&gt;$C$13,A118," ")</f>
        <v> </v>
      </c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/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tr">
        <f>IF($E120&gt;$C$13,A120," ")</f>
        <v> </v>
      </c>
      <c r="B130" s="272"/>
      <c r="C130" s="289">
        <f t="shared" si="6"/>
        <v>0</v>
      </c>
      <c r="D130" s="289">
        <f t="shared" si="6"/>
        <v>0</v>
      </c>
      <c r="E130" s="289">
        <f t="shared" si="6"/>
        <v>0</v>
      </c>
      <c r="F130" s="8"/>
      <c r="G130" s="45"/>
      <c r="H130" s="45"/>
      <c r="I130" s="45"/>
      <c r="J130" s="45"/>
      <c r="K130" s="45"/>
    </row>
    <row r="131" spans="1:11" ht="12.75">
      <c r="A131" s="288" t="s">
        <v>198</v>
      </c>
      <c r="B131" s="272"/>
      <c r="C131" s="250">
        <f>SUM(C126:C130)</f>
        <v>0</v>
      </c>
      <c r="D131" s="250">
        <f>SUM(D126:D130)</f>
        <v>0</v>
      </c>
      <c r="E131" s="250">
        <f>SUM(E126:E130)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199</v>
      </c>
      <c r="B132" s="272"/>
      <c r="C132" s="250">
        <f>C121-C131</f>
        <v>0</v>
      </c>
      <c r="D132" s="250">
        <f>D121-D131</f>
        <v>0</v>
      </c>
      <c r="E132" s="250">
        <f>E121-E131</f>
        <v>0</v>
      </c>
      <c r="F132" s="8"/>
      <c r="G132" s="45"/>
      <c r="H132" s="45"/>
      <c r="I132" s="45"/>
      <c r="J132" s="45"/>
      <c r="K132" s="45"/>
    </row>
    <row r="133" spans="1:11" ht="12.75">
      <c r="A133" s="272" t="s">
        <v>197</v>
      </c>
      <c r="B133" s="272"/>
      <c r="C133" s="250">
        <f>C131+C132</f>
        <v>0</v>
      </c>
      <c r="D133" s="250">
        <f>D131+D132</f>
        <v>0</v>
      </c>
      <c r="E133" s="250">
        <f>E131+E132</f>
        <v>0</v>
      </c>
      <c r="F133" s="8"/>
      <c r="G133" s="45"/>
      <c r="H133" s="45"/>
      <c r="I133" s="45"/>
      <c r="J133" s="45"/>
      <c r="K133" s="45"/>
    </row>
    <row r="134" spans="2:11" ht="12.75">
      <c r="B134" s="8"/>
      <c r="C134" s="22"/>
      <c r="D134" s="22"/>
      <c r="E134" s="22"/>
      <c r="F134" s="8"/>
      <c r="G134" s="45"/>
      <c r="H134" s="45"/>
      <c r="I134" s="45"/>
      <c r="J134" s="45"/>
      <c r="K134" s="45"/>
    </row>
    <row r="135" spans="1:11" ht="12.75">
      <c r="A135" s="13" t="s">
        <v>81</v>
      </c>
      <c r="B135" s="8" t="s">
        <v>188</v>
      </c>
      <c r="C135" s="250">
        <f>+C54+C83-C123</f>
        <v>1042377</v>
      </c>
      <c r="D135" s="250">
        <f>D54+D83-D123</f>
        <v>0</v>
      </c>
      <c r="E135" s="250">
        <f>E54+E83-E123</f>
        <v>1067840</v>
      </c>
      <c r="F135" s="8"/>
      <c r="G135" s="45"/>
      <c r="H135" s="45"/>
      <c r="I135" s="45"/>
      <c r="J135" s="45"/>
      <c r="K135" s="45"/>
    </row>
    <row r="136" spans="1:11" ht="12.75">
      <c r="A136" s="12" t="s">
        <v>46</v>
      </c>
      <c r="B136" s="8"/>
      <c r="D136" s="30"/>
      <c r="E136" s="30"/>
      <c r="F136" s="8"/>
      <c r="G136" s="45"/>
      <c r="H136" s="45"/>
      <c r="I136" s="45"/>
      <c r="J136" s="45"/>
      <c r="K136" s="45"/>
    </row>
    <row r="137" spans="1:11" ht="12.75">
      <c r="A137" s="12" t="s">
        <v>373</v>
      </c>
      <c r="B137" s="8" t="s">
        <v>187</v>
      </c>
      <c r="C137" s="293">
        <v>0</v>
      </c>
      <c r="D137" s="293"/>
      <c r="E137" s="26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 t="s">
        <v>374</v>
      </c>
      <c r="B138" s="8" t="s">
        <v>187</v>
      </c>
      <c r="C138" s="309"/>
      <c r="D138" s="309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309"/>
      <c r="D139" s="309"/>
      <c r="E139" s="392">
        <f>C139-D139</f>
        <v>0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188</v>
      </c>
      <c r="C140" s="251">
        <f>C135-C137-C138-C139</f>
        <v>1042377</v>
      </c>
      <c r="D140" s="251">
        <f>D135-D137-D138-D139</f>
        <v>0</v>
      </c>
      <c r="E140" s="251">
        <f>E135-E137-E138-E139</f>
        <v>1067840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7"/>
      <c r="D141" s="87"/>
      <c r="E141" s="87"/>
      <c r="F141" s="8"/>
      <c r="G141" s="45"/>
      <c r="H141" s="45"/>
      <c r="I141" s="45"/>
      <c r="J141" s="45"/>
      <c r="K141" s="45"/>
    </row>
    <row r="142" spans="1:11" ht="12.75">
      <c r="A142" s="318" t="s">
        <v>305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186</v>
      </c>
      <c r="C143" s="297">
        <v>230397</v>
      </c>
      <c r="D143" s="485">
        <f>D140*C150</f>
        <v>0</v>
      </c>
      <c r="E143" s="251">
        <f>C143-D143</f>
        <v>230397</v>
      </c>
      <c r="F143" s="8"/>
      <c r="G143" s="45"/>
      <c r="H143" s="45"/>
      <c r="I143" s="45"/>
      <c r="J143" s="45"/>
      <c r="K143" s="45"/>
    </row>
    <row r="144" spans="1:11" ht="12.75">
      <c r="A144" s="46" t="s">
        <v>321</v>
      </c>
      <c r="B144" s="8" t="s">
        <v>186</v>
      </c>
      <c r="C144" s="297">
        <v>143804</v>
      </c>
      <c r="D144" s="485">
        <f>D140*C151</f>
        <v>0</v>
      </c>
      <c r="E144" s="291">
        <f>C144-D144</f>
        <v>143804</v>
      </c>
      <c r="F144" s="8"/>
      <c r="G144" s="45"/>
      <c r="H144" s="45"/>
      <c r="I144" s="45"/>
      <c r="J144" s="45"/>
      <c r="K144" s="45"/>
    </row>
    <row r="145" spans="1:11" ht="12.75">
      <c r="A145" s="46" t="s">
        <v>172</v>
      </c>
      <c r="B145" s="8" t="s">
        <v>188</v>
      </c>
      <c r="C145" s="251">
        <f>C143+C144</f>
        <v>374201</v>
      </c>
      <c r="D145" s="251">
        <f>D143+D144</f>
        <v>0</v>
      </c>
      <c r="E145" s="251">
        <f>E143+E144</f>
        <v>374201</v>
      </c>
      <c r="F145" s="8"/>
      <c r="G145" s="45"/>
      <c r="H145" s="45"/>
      <c r="I145" s="45"/>
      <c r="J145" s="45"/>
      <c r="K145" s="45"/>
    </row>
    <row r="146" spans="1:11" ht="12.75">
      <c r="A146" s="46" t="s">
        <v>333</v>
      </c>
      <c r="B146" s="8" t="s">
        <v>187</v>
      </c>
      <c r="C146" s="297">
        <v>0</v>
      </c>
      <c r="D146" s="485"/>
      <c r="E146" s="292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18" t="s">
        <v>99</v>
      </c>
      <c r="B147" s="8" t="s">
        <v>188</v>
      </c>
      <c r="C147" s="251">
        <f>C145-C146</f>
        <v>374201</v>
      </c>
      <c r="D147" s="251">
        <f>D145-D146</f>
        <v>0</v>
      </c>
      <c r="E147" s="251">
        <f>E145-E146</f>
        <v>374201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18" t="s">
        <v>305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328</v>
      </c>
      <c r="B150" s="8"/>
      <c r="C150" s="403">
        <f>C143/C140</f>
        <v>0.2210303949530736</v>
      </c>
      <c r="D150" s="5"/>
      <c r="E150" s="404">
        <f>C150</f>
        <v>0.2210303949530736</v>
      </c>
      <c r="F150" s="8"/>
      <c r="G150" s="482" t="s">
        <v>102</v>
      </c>
      <c r="H150" s="45"/>
      <c r="I150" s="45"/>
      <c r="J150" s="45"/>
      <c r="K150" s="45"/>
    </row>
    <row r="151" spans="1:11" ht="12.75">
      <c r="A151" s="46" t="s">
        <v>329</v>
      </c>
      <c r="B151" s="8"/>
      <c r="C151" s="403">
        <f>C144/C140</f>
        <v>0.13795776384168107</v>
      </c>
      <c r="D151" s="5"/>
      <c r="E151" s="404">
        <f>C151</f>
        <v>0.13795776384168107</v>
      </c>
      <c r="F151" s="8"/>
      <c r="G151" s="482" t="s">
        <v>102</v>
      </c>
      <c r="H151" s="45"/>
      <c r="I151" s="45"/>
      <c r="J151" s="45"/>
      <c r="K151" s="45"/>
    </row>
    <row r="152" spans="1:11" ht="12.75">
      <c r="A152" t="s">
        <v>330</v>
      </c>
      <c r="B152" s="8"/>
      <c r="C152" s="404">
        <f>SUM(C150:C151)</f>
        <v>0.35898815879475465</v>
      </c>
      <c r="D152" s="5"/>
      <c r="E152" s="404">
        <f>SUM(E150:E151)</f>
        <v>0.35898815879475465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355</v>
      </c>
      <c r="B154" s="8"/>
    </row>
    <row r="155" spans="1:2" ht="12.75">
      <c r="A155" s="14"/>
      <c r="B155" s="8"/>
    </row>
    <row r="156" spans="1:2" ht="12.75">
      <c r="A156" s="2" t="s">
        <v>473</v>
      </c>
      <c r="B156" s="8"/>
    </row>
    <row r="157" spans="1:5" ht="12.75">
      <c r="A157" t="s">
        <v>218</v>
      </c>
      <c r="B157" s="85" t="s">
        <v>186</v>
      </c>
      <c r="C157" s="250">
        <f>C147</f>
        <v>374201</v>
      </c>
      <c r="D157" s="250">
        <f>D147</f>
        <v>0</v>
      </c>
      <c r="E157" s="250">
        <f>E147</f>
        <v>374201</v>
      </c>
    </row>
    <row r="158" spans="1:5" ht="12.75">
      <c r="A158" t="s">
        <v>20</v>
      </c>
      <c r="B158" s="85" t="s">
        <v>186</v>
      </c>
      <c r="C158" s="478">
        <v>65383</v>
      </c>
      <c r="D158" s="250"/>
      <c r="E158" s="250">
        <f>C158+D158</f>
        <v>65383</v>
      </c>
    </row>
    <row r="159" spans="1:5" ht="12.75">
      <c r="A159" t="s">
        <v>217</v>
      </c>
      <c r="B159" s="85" t="s">
        <v>186</v>
      </c>
      <c r="C159" s="478">
        <v>0</v>
      </c>
      <c r="D159" s="250"/>
      <c r="E159" s="250">
        <f>C159+D159</f>
        <v>0</v>
      </c>
    </row>
    <row r="160" ht="12.75">
      <c r="B160" s="8"/>
    </row>
    <row r="161" spans="1:5" ht="12.75">
      <c r="A161" s="2" t="s">
        <v>302</v>
      </c>
      <c r="B161" s="65" t="s">
        <v>188</v>
      </c>
      <c r="C161" s="250">
        <f>C157+C158+C159</f>
        <v>439584</v>
      </c>
      <c r="D161" s="250">
        <f>D157+D158+D159</f>
        <v>0</v>
      </c>
      <c r="E161" s="250">
        <f>E157+E158+E159</f>
        <v>439584</v>
      </c>
    </row>
    <row r="162" ht="12.75">
      <c r="C162" s="84"/>
    </row>
    <row r="163" ht="12.75">
      <c r="C163" s="8"/>
    </row>
    <row r="164" ht="12.75">
      <c r="E164" s="22"/>
    </row>
  </sheetData>
  <sheetProtection/>
  <hyperlinks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5" location="'Tax Reserves'!C21" display="'Tax Reserves'!C21"/>
    <hyperlink ref="D65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3" fitToWidth="1" horizontalDpi="600" verticalDpi="600" orientation="portrait" scale="83" r:id="rId1"/>
  <rowBreaks count="1" manualBreakCount="1"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Peninsula West Utilities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280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281</v>
      </c>
      <c r="B15" s="60"/>
      <c r="C15" s="293">
        <v>11299</v>
      </c>
      <c r="D15" s="293"/>
      <c r="E15" s="250">
        <f t="shared" si="0"/>
        <v>11299</v>
      </c>
    </row>
    <row r="16" spans="1:5" ht="12.75">
      <c r="A16" s="60" t="s">
        <v>282</v>
      </c>
      <c r="B16" s="60"/>
      <c r="C16" s="293"/>
      <c r="D16" s="293"/>
      <c r="E16" s="250">
        <f t="shared" si="0"/>
        <v>0</v>
      </c>
    </row>
    <row r="17" spans="1:5" ht="12.75">
      <c r="A17" s="60" t="s">
        <v>283</v>
      </c>
      <c r="B17" s="60"/>
      <c r="C17" s="293"/>
      <c r="D17" s="293"/>
      <c r="E17" s="250">
        <f t="shared" si="0"/>
        <v>0</v>
      </c>
    </row>
    <row r="18" spans="1:5" ht="12.75">
      <c r="A18" s="60" t="s">
        <v>447</v>
      </c>
      <c r="B18" s="60"/>
      <c r="C18" s="293"/>
      <c r="D18" s="293"/>
      <c r="E18" s="250">
        <f t="shared" si="0"/>
        <v>0</v>
      </c>
    </row>
    <row r="19" spans="1:5" ht="12.75">
      <c r="A19" s="60" t="s">
        <v>447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11299</v>
      </c>
      <c r="D22" s="250">
        <f>SUM(D13:D21)</f>
        <v>0</v>
      </c>
      <c r="E22" s="250">
        <f>SUM(E13:E21)</f>
        <v>11299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280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281</v>
      </c>
      <c r="B27" s="60"/>
      <c r="C27" s="293"/>
      <c r="D27" s="293"/>
      <c r="E27" s="250">
        <f t="shared" si="1"/>
        <v>0</v>
      </c>
    </row>
    <row r="28" spans="1:5" ht="12.75">
      <c r="A28" s="60" t="s">
        <v>282</v>
      </c>
      <c r="B28" s="60"/>
      <c r="C28" s="293"/>
      <c r="D28" s="293"/>
      <c r="E28" s="250">
        <f t="shared" si="1"/>
        <v>0</v>
      </c>
    </row>
    <row r="29" spans="1:5" ht="12.75">
      <c r="A29" s="60" t="s">
        <v>283</v>
      </c>
      <c r="B29" s="60"/>
      <c r="C29" s="293"/>
      <c r="D29" s="293"/>
      <c r="E29" s="250">
        <f t="shared" si="1"/>
        <v>0</v>
      </c>
    </row>
    <row r="30" spans="1:5" ht="12.75">
      <c r="A30" s="60" t="s">
        <v>447</v>
      </c>
      <c r="B30" s="60"/>
      <c r="C30" s="293"/>
      <c r="D30" s="293"/>
      <c r="E30" s="250">
        <f t="shared" si="1"/>
        <v>0</v>
      </c>
    </row>
    <row r="31" spans="1:5" ht="12.75">
      <c r="A31" s="60" t="s">
        <v>447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266</v>
      </c>
      <c r="B43" s="60"/>
      <c r="C43" s="293"/>
      <c r="D43" s="293"/>
      <c r="E43" s="250">
        <f t="shared" si="2"/>
        <v>0</v>
      </c>
    </row>
    <row r="44" spans="1:5" ht="12.75">
      <c r="A44" s="60" t="s">
        <v>267</v>
      </c>
      <c r="B44" s="60"/>
      <c r="C44" s="293"/>
      <c r="D44" s="293"/>
      <c r="E44" s="250">
        <f t="shared" si="2"/>
        <v>0</v>
      </c>
    </row>
    <row r="45" spans="1:5" ht="12.75">
      <c r="A45" s="60" t="s">
        <v>268</v>
      </c>
      <c r="B45" s="60"/>
      <c r="C45" s="293"/>
      <c r="D45" s="293"/>
      <c r="E45" s="250">
        <f t="shared" si="2"/>
        <v>0</v>
      </c>
    </row>
    <row r="46" spans="1:5" ht="12.75">
      <c r="A46" s="60" t="s">
        <v>269</v>
      </c>
      <c r="B46" s="60"/>
      <c r="C46" s="293"/>
      <c r="D46" s="293"/>
      <c r="E46" s="250">
        <f t="shared" si="2"/>
        <v>0</v>
      </c>
    </row>
    <row r="47" spans="1:5" ht="12.75">
      <c r="A47" s="60" t="s">
        <v>447</v>
      </c>
      <c r="B47" s="60"/>
      <c r="C47" s="293"/>
      <c r="D47" s="293"/>
      <c r="E47" s="250">
        <f t="shared" si="2"/>
        <v>0</v>
      </c>
    </row>
    <row r="48" spans="1:5" ht="12.75">
      <c r="A48" s="60" t="s">
        <v>447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0"/>
      <c r="C55" s="293"/>
      <c r="D55" s="293"/>
      <c r="E55" s="250">
        <f t="shared" si="3"/>
        <v>0</v>
      </c>
    </row>
    <row r="56" spans="1:5" ht="12.75">
      <c r="A56" s="245" t="s">
        <v>267</v>
      </c>
      <c r="B56" s="60"/>
      <c r="C56" s="293"/>
      <c r="D56" s="293"/>
      <c r="E56" s="250">
        <f t="shared" si="3"/>
        <v>0</v>
      </c>
    </row>
    <row r="57" spans="1:5" ht="12.75">
      <c r="A57" s="245" t="s">
        <v>268</v>
      </c>
      <c r="B57" s="60"/>
      <c r="C57" s="293"/>
      <c r="D57" s="293"/>
      <c r="E57" s="250">
        <f t="shared" si="3"/>
        <v>0</v>
      </c>
    </row>
    <row r="58" spans="1:5" ht="12.75">
      <c r="A58" s="245" t="s">
        <v>269</v>
      </c>
      <c r="B58" s="60"/>
      <c r="C58" s="293"/>
      <c r="D58" s="293"/>
      <c r="E58" s="250">
        <f t="shared" si="3"/>
        <v>0</v>
      </c>
    </row>
    <row r="59" spans="1:5" ht="12.75">
      <c r="A59" s="60" t="s">
        <v>447</v>
      </c>
      <c r="B59" s="60"/>
      <c r="C59" s="293"/>
      <c r="D59" s="293"/>
      <c r="E59" s="250">
        <f t="shared" si="3"/>
        <v>0</v>
      </c>
    </row>
    <row r="60" spans="1:5" ht="12.75">
      <c r="A60" s="60" t="s">
        <v>447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48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C32" sqref="C3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465</v>
      </c>
      <c r="B5" s="8"/>
      <c r="C5" s="8" t="s">
        <v>2</v>
      </c>
      <c r="D5" s="8"/>
      <c r="E5" s="8"/>
      <c r="F5" s="8"/>
    </row>
    <row r="6" spans="1:6" ht="12.75">
      <c r="A6" s="414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Peninsula West Utilities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59"/>
      <c r="E10" s="25"/>
      <c r="F10" s="20"/>
    </row>
    <row r="11" spans="1:6" ht="12.75">
      <c r="A11" s="2" t="s">
        <v>119</v>
      </c>
      <c r="B11" s="20"/>
      <c r="C11" s="487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4"/>
      <c r="D17" s="294"/>
      <c r="E17" s="311">
        <f>C17-D17</f>
        <v>0</v>
      </c>
    </row>
    <row r="18" spans="1:5" ht="12.75">
      <c r="A18" s="66" t="s">
        <v>252</v>
      </c>
      <c r="B18" t="s">
        <v>186</v>
      </c>
      <c r="C18" s="294"/>
      <c r="D18" s="294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4"/>
      <c r="D19" s="294"/>
      <c r="E19" s="311">
        <f t="shared" si="0"/>
        <v>0</v>
      </c>
    </row>
    <row r="20" spans="1:5" ht="12.75">
      <c r="A20" s="66" t="s">
        <v>448</v>
      </c>
      <c r="B20" t="s">
        <v>186</v>
      </c>
      <c r="C20" s="294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6"/>
      <c r="B22" t="s">
        <v>186</v>
      </c>
      <c r="C22" s="294"/>
      <c r="D22" s="294"/>
      <c r="E22" s="311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253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6" t="s">
        <v>471</v>
      </c>
      <c r="B36" t="s">
        <v>186</v>
      </c>
      <c r="C36" s="294"/>
      <c r="D36" s="294"/>
      <c r="E36" s="311">
        <f t="shared" si="0"/>
        <v>0</v>
      </c>
    </row>
    <row r="37" spans="1:5" ht="12.75">
      <c r="A37" s="66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66"/>
      <c r="B41" t="s">
        <v>186</v>
      </c>
      <c r="C41" s="293"/>
      <c r="D41" s="293"/>
      <c r="E41" s="250">
        <f t="shared" si="0"/>
        <v>0</v>
      </c>
    </row>
    <row r="42" spans="1:5" ht="12.75">
      <c r="A42" s="66"/>
      <c r="B42" t="s">
        <v>186</v>
      </c>
      <c r="C42" s="293"/>
      <c r="D42" s="293"/>
      <c r="E42" s="250">
        <f t="shared" si="0"/>
        <v>0</v>
      </c>
    </row>
    <row r="43" spans="1:5" ht="12.75">
      <c r="A43" s="66"/>
      <c r="B43" t="s">
        <v>186</v>
      </c>
      <c r="C43" s="293"/>
      <c r="D43" s="293"/>
      <c r="E43" s="250">
        <f t="shared" si="0"/>
        <v>0</v>
      </c>
    </row>
    <row r="44" spans="1:5" ht="12.75">
      <c r="A44" s="66"/>
      <c r="B44" t="s">
        <v>186</v>
      </c>
      <c r="C44" s="293"/>
      <c r="D44" s="293"/>
      <c r="E44" s="250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4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 aca="true" t="shared" si="2" ref="A50:A65"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 t="shared" si="2"/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 t="shared" si="2"/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t="shared" si="2"/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 t="shared" si="2"/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 t="shared" si="2"/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 t="shared" si="2"/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 t="shared" si="2"/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 t="shared" si="2"/>
        <v> </v>
      </c>
      <c r="B64" s="272"/>
      <c r="C64" s="250">
        <f t="shared" si="1"/>
        <v>0</v>
      </c>
      <c r="D64" s="250">
        <f t="shared" si="1"/>
        <v>0</v>
      </c>
      <c r="E64" s="250">
        <f t="shared" si="1"/>
        <v>0</v>
      </c>
    </row>
    <row r="65" spans="1:5" ht="12.75">
      <c r="A65" s="274" t="str">
        <f t="shared" si="2"/>
        <v> </v>
      </c>
      <c r="B65" s="272"/>
      <c r="C65" s="250">
        <f>IF($E33&gt;$C$11,C33,)</f>
        <v>0</v>
      </c>
      <c r="D65" s="250">
        <f aca="true" t="shared" si="3" ref="C65:E76">IF($E34&gt;$C$11,D34,)</f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0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0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6" t="s">
        <v>375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6"/>
      <c r="B93" s="8" t="s">
        <v>187</v>
      </c>
      <c r="C93" s="293"/>
      <c r="D93" s="293"/>
      <c r="E93" s="250">
        <f t="shared" si="5"/>
        <v>0</v>
      </c>
    </row>
    <row r="94" spans="1:5" ht="12.75">
      <c r="A94" s="66"/>
      <c r="B94" s="8" t="s">
        <v>187</v>
      </c>
      <c r="C94" s="293"/>
      <c r="D94" s="293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6" t="s">
        <v>472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6"/>
      <c r="B97" s="8" t="s">
        <v>187</v>
      </c>
      <c r="C97" s="293"/>
      <c r="D97" s="293"/>
      <c r="E97" s="250">
        <f t="shared" si="5"/>
        <v>0</v>
      </c>
    </row>
    <row r="98" spans="1:5" ht="12.75">
      <c r="A98" s="66"/>
      <c r="B98" s="8" t="s">
        <v>187</v>
      </c>
      <c r="C98" s="293"/>
      <c r="D98" s="293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3" fitToWidth="1" horizontalDpi="600" verticalDpi="600" orientation="portrait" scale="8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1" activePane="bottomRight" state="frozen"/>
      <selection pane="topLeft" activeCell="F48" sqref="F48"/>
      <selection pane="topRight" activeCell="F48" sqref="F48"/>
      <selection pane="bottomLeft" activeCell="F48" sqref="F48"/>
      <selection pane="bottomRight" activeCell="C63" sqref="C6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383</v>
      </c>
      <c r="E3" s="91"/>
    </row>
    <row r="4" spans="1:6" ht="15.75">
      <c r="A4" s="463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Peninsula West Utilities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386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452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6" t="s">
        <v>389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6" t="s">
        <v>390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453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436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388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387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431</v>
      </c>
      <c r="B32" t="s">
        <v>186</v>
      </c>
      <c r="C32" s="294">
        <v>5376</v>
      </c>
      <c r="D32" s="294"/>
      <c r="E32" s="311">
        <f t="shared" si="0"/>
        <v>5376</v>
      </c>
    </row>
    <row r="33" spans="1:5" ht="12.75">
      <c r="A33" s="66" t="s">
        <v>432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449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80" t="s">
        <v>450</v>
      </c>
      <c r="C35" s="294">
        <v>800</v>
      </c>
      <c r="D35" s="294"/>
      <c r="E35" s="311">
        <f t="shared" si="0"/>
        <v>800</v>
      </c>
    </row>
    <row r="36" spans="1:5" ht="12.75">
      <c r="A36" s="66" t="s">
        <v>433</v>
      </c>
      <c r="C36" s="294">
        <v>25463</v>
      </c>
      <c r="D36" s="294"/>
      <c r="E36" s="311">
        <f t="shared" si="0"/>
        <v>25463</v>
      </c>
    </row>
    <row r="37" spans="1:5" ht="12.75">
      <c r="A37" s="66" t="s">
        <v>434</v>
      </c>
      <c r="C37" s="294"/>
      <c r="D37" s="294"/>
      <c r="E37" s="311">
        <f t="shared" si="0"/>
        <v>0</v>
      </c>
    </row>
    <row r="38" spans="1:5" ht="12.75">
      <c r="A38" s="80" t="s">
        <v>391</v>
      </c>
      <c r="C38" s="294"/>
      <c r="D38" s="294"/>
      <c r="E38" s="311">
        <f t="shared" si="0"/>
        <v>0</v>
      </c>
    </row>
    <row r="39" spans="1:5" ht="12.75">
      <c r="A39" s="66" t="s">
        <v>497</v>
      </c>
      <c r="B39" t="s">
        <v>186</v>
      </c>
      <c r="C39" s="294">
        <v>6939</v>
      </c>
      <c r="D39" s="294"/>
      <c r="E39" s="311">
        <f t="shared" si="0"/>
        <v>6939</v>
      </c>
    </row>
    <row r="40" spans="1:5" ht="12.75">
      <c r="A40" s="80" t="s">
        <v>385</v>
      </c>
      <c r="B40" t="s">
        <v>186</v>
      </c>
      <c r="C40" s="294"/>
      <c r="D40" s="294"/>
      <c r="E40" s="311">
        <f t="shared" si="0"/>
        <v>0</v>
      </c>
    </row>
    <row r="41" spans="1:5" ht="12.75">
      <c r="A41" s="66" t="s">
        <v>456</v>
      </c>
      <c r="B41" t="s">
        <v>186</v>
      </c>
      <c r="C41" s="294"/>
      <c r="D41" s="294"/>
      <c r="E41" s="311">
        <f t="shared" si="0"/>
        <v>0</v>
      </c>
    </row>
    <row r="42" spans="1:5" ht="12.75">
      <c r="A42" s="490" t="s">
        <v>498</v>
      </c>
      <c r="B42" t="s">
        <v>186</v>
      </c>
      <c r="C42" s="294">
        <v>14228</v>
      </c>
      <c r="D42" s="294"/>
      <c r="E42" s="311">
        <f t="shared" si="0"/>
        <v>14228</v>
      </c>
    </row>
    <row r="43" spans="1:5" ht="12.75">
      <c r="A43" s="67" t="s">
        <v>203</v>
      </c>
      <c r="B43" t="s">
        <v>186</v>
      </c>
      <c r="C43" s="294"/>
      <c r="D43" s="294"/>
      <c r="E43" s="311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6"/>
      <c r="B46" t="s">
        <v>186</v>
      </c>
      <c r="C46" s="293"/>
      <c r="D46" s="293"/>
      <c r="E46" s="278"/>
    </row>
    <row r="47" spans="1:5" ht="12.75">
      <c r="A47" s="448" t="s">
        <v>395</v>
      </c>
      <c r="B47" t="s">
        <v>188</v>
      </c>
      <c r="C47" s="250">
        <f>SUM(C19:C46)</f>
        <v>52806</v>
      </c>
      <c r="D47" s="250">
        <f>SUM(D19:D46)</f>
        <v>0</v>
      </c>
      <c r="E47" s="250">
        <f>SUM(E19:E46)</f>
        <v>52806</v>
      </c>
    </row>
    <row r="48" ht="12.75">
      <c r="A48" s="66"/>
    </row>
    <row r="49" ht="12.75">
      <c r="A49" s="80" t="s">
        <v>144</v>
      </c>
    </row>
    <row r="51" spans="1:5" ht="12.75">
      <c r="A51" s="70" t="s">
        <v>386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6" t="s">
        <v>452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387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435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6" t="s">
        <v>443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6" t="s">
        <v>455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451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6" t="s">
        <v>454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66" t="s">
        <v>499</v>
      </c>
      <c r="B59" s="8" t="s">
        <v>187</v>
      </c>
      <c r="C59" s="293">
        <v>21641</v>
      </c>
      <c r="D59" s="293"/>
      <c r="E59" s="250">
        <f t="shared" si="1"/>
        <v>21641</v>
      </c>
    </row>
    <row r="60" spans="1:5" ht="12.75">
      <c r="A60" s="467" t="s">
        <v>392</v>
      </c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67" t="s">
        <v>385</v>
      </c>
      <c r="B62" s="8" t="s">
        <v>187</v>
      </c>
      <c r="C62" s="293">
        <f>11840+132043</f>
        <v>143883</v>
      </c>
      <c r="D62" s="293"/>
      <c r="E62" s="250">
        <f aca="true" t="shared" si="2" ref="E62:E72">C62-D62</f>
        <v>143883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t="s">
        <v>492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6"/>
      <c r="B67" s="8" t="s">
        <v>187</v>
      </c>
      <c r="C67" s="293"/>
      <c r="D67" s="293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6"/>
      <c r="B69" s="8" t="s">
        <v>187</v>
      </c>
      <c r="C69" s="293"/>
      <c r="D69" s="293"/>
      <c r="E69" s="250">
        <f t="shared" si="2"/>
        <v>0</v>
      </c>
    </row>
    <row r="70" spans="1:5" ht="12.75">
      <c r="A70" s="66"/>
      <c r="B70" s="8" t="s">
        <v>187</v>
      </c>
      <c r="C70" s="293"/>
      <c r="D70" s="293"/>
      <c r="E70" s="250">
        <f t="shared" si="2"/>
        <v>0</v>
      </c>
    </row>
    <row r="71" spans="1:5" ht="12.75">
      <c r="A71" s="66"/>
      <c r="B71" s="8" t="s">
        <v>187</v>
      </c>
      <c r="C71" s="293"/>
      <c r="D71" s="293"/>
      <c r="E71" s="250">
        <f t="shared" si="2"/>
        <v>0</v>
      </c>
    </row>
    <row r="72" spans="1:5" ht="12.75">
      <c r="A72" s="66"/>
      <c r="B72" s="8" t="s">
        <v>187</v>
      </c>
      <c r="C72" s="293"/>
      <c r="D72" s="293"/>
      <c r="E72" s="278">
        <f t="shared" si="2"/>
        <v>0</v>
      </c>
    </row>
    <row r="73" spans="1:5" ht="12.75">
      <c r="A73" s="447" t="s">
        <v>394</v>
      </c>
      <c r="B73" s="8" t="s">
        <v>188</v>
      </c>
      <c r="C73" s="250">
        <f>SUM(C51:C72)</f>
        <v>165524</v>
      </c>
      <c r="D73" s="250">
        <f>SUM(D51:D72)</f>
        <v>0</v>
      </c>
      <c r="E73" s="250">
        <f>SUM(E51:E72)</f>
        <v>165524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EB-2008-381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306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Peninsula West Utilities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9" t="s">
        <v>336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01" t="s">
        <v>475</v>
      </c>
      <c r="B8" s="502"/>
      <c r="C8" s="502"/>
      <c r="D8" s="502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467</v>
      </c>
      <c r="B10" s="325"/>
      <c r="C10" s="374" t="s">
        <v>111</v>
      </c>
      <c r="D10" s="374"/>
      <c r="E10" s="374" t="s">
        <v>111</v>
      </c>
      <c r="F10" s="375" t="s">
        <v>476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408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303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331</v>
      </c>
      <c r="B21" s="405" t="s">
        <v>469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332</v>
      </c>
      <c r="B22" s="406" t="s">
        <v>470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5" t="s">
        <v>490</v>
      </c>
      <c r="B23" s="496"/>
      <c r="C23" s="496"/>
      <c r="D23" s="496"/>
      <c r="E23" s="496"/>
      <c r="F23" s="496"/>
      <c r="G23" s="437"/>
      <c r="H23" s="419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0"/>
      <c r="B24" s="411"/>
      <c r="C24" s="411"/>
      <c r="D24" s="411"/>
      <c r="E24" s="411"/>
      <c r="F24" s="411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9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01" t="s">
        <v>486</v>
      </c>
      <c r="B26" s="502"/>
      <c r="C26" s="502"/>
      <c r="D26" s="502"/>
      <c r="E26" s="502"/>
      <c r="F26" s="502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439</v>
      </c>
      <c r="B28" s="325"/>
      <c r="C28" s="368" t="s">
        <v>111</v>
      </c>
      <c r="D28" s="368" t="s">
        <v>111</v>
      </c>
      <c r="E28" s="368" t="s">
        <v>111</v>
      </c>
      <c r="F28" s="369" t="s">
        <v>489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8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408">
        <v>2004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8">
        <v>2004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408">
        <v>2004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8">
        <v>2004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8">
        <v>2004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8">
        <v>2004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487</v>
      </c>
      <c r="B39" s="405" t="s">
        <v>469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488</v>
      </c>
      <c r="B40" s="406" t="s">
        <v>485</v>
      </c>
      <c r="C40" s="361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7" t="s">
        <v>334</v>
      </c>
      <c r="B41" s="496"/>
      <c r="C41" s="496"/>
      <c r="D41" s="496"/>
      <c r="E41" s="496"/>
      <c r="F41" s="496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8"/>
      <c r="B42" s="498"/>
      <c r="C42" s="498"/>
      <c r="D42" s="498"/>
      <c r="E42" s="498"/>
      <c r="F42" s="498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9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7" t="s">
        <v>484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489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8">
        <v>2004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298</v>
      </c>
      <c r="B50" s="244"/>
      <c r="C50" s="350">
        <v>0.1312</v>
      </c>
      <c r="D50" s="350">
        <v>0.2212</v>
      </c>
      <c r="E50" s="351">
        <v>0.2229</v>
      </c>
      <c r="F50" s="351">
        <v>0.2212</v>
      </c>
      <c r="G50" s="193"/>
      <c r="H50" s="489">
        <v>0.2212</v>
      </c>
      <c r="I50" s="489">
        <f>+H50-F50</f>
        <v>0</v>
      </c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0.055</v>
      </c>
      <c r="D51" s="352">
        <v>0.055</v>
      </c>
      <c r="E51" s="353">
        <v>0.1377</v>
      </c>
      <c r="F51" s="353">
        <v>0.14</v>
      </c>
      <c r="G51" s="193"/>
      <c r="H51" s="489">
        <v>0.14</v>
      </c>
      <c r="I51" s="489">
        <f>+H51-F51</f>
        <v>0</v>
      </c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259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0.3606</v>
      </c>
      <c r="F52" s="331">
        <f>SUM(F50:F51)</f>
        <v>0.3612</v>
      </c>
      <c r="G52" s="193"/>
      <c r="H52" s="489">
        <f>+H50+H51</f>
        <v>0.3612</v>
      </c>
      <c r="I52" s="489">
        <f>+H52-F52</f>
        <v>0</v>
      </c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0.002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348</v>
      </c>
      <c r="B57" s="405" t="s">
        <v>469</v>
      </c>
      <c r="C57" s="360">
        <v>4958609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349</v>
      </c>
      <c r="B58" s="406" t="s">
        <v>485</v>
      </c>
      <c r="C58" s="361">
        <v>50000000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5" t="s">
        <v>350</v>
      </c>
      <c r="B59" s="499"/>
      <c r="C59" s="499"/>
      <c r="D59" s="499"/>
      <c r="E59" s="499"/>
      <c r="F59" s="499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00"/>
      <c r="B60" s="500"/>
      <c r="C60" s="500"/>
      <c r="D60" s="500"/>
      <c r="E60" s="500"/>
      <c r="F60" s="500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B4">
      <selection activeCell="G17" sqref="G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Peninsula West Utilities</v>
      </c>
      <c r="O3" s="415" t="str">
        <f>REGINFO!E1</f>
        <v>Version 2009.1</v>
      </c>
    </row>
    <row r="4" spans="1:15" ht="12.75">
      <c r="A4" s="2" t="str">
        <f>REGINFO!A4</f>
        <v>Reporting period:  2004</v>
      </c>
      <c r="E4" s="416" t="s">
        <v>320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3">
        <v>0</v>
      </c>
      <c r="D11" s="389"/>
      <c r="E11" s="395">
        <f>C22</f>
        <v>28032</v>
      </c>
      <c r="F11" s="418"/>
      <c r="G11" s="395">
        <f>E22</f>
        <v>137264</v>
      </c>
      <c r="H11" s="418"/>
      <c r="I11" s="395">
        <f>G22</f>
        <v>245176</v>
      </c>
      <c r="J11" s="389"/>
      <c r="K11" s="395">
        <f>I22</f>
        <v>167547.12740473315</v>
      </c>
      <c r="L11" s="389"/>
      <c r="M11" s="395">
        <f>K22</f>
        <v>167547.12740473315</v>
      </c>
      <c r="N11" s="389"/>
      <c r="O11" s="395">
        <f>C11</f>
        <v>0</v>
      </c>
    </row>
    <row r="12" spans="1:15" ht="27" customHeight="1">
      <c r="A12" s="80" t="s">
        <v>396</v>
      </c>
      <c r="B12" s="65" t="s">
        <v>189</v>
      </c>
      <c r="C12" s="394"/>
      <c r="D12" s="390"/>
      <c r="E12" s="394"/>
      <c r="F12" s="94"/>
      <c r="G12" s="417">
        <f>C12+E12</f>
        <v>0</v>
      </c>
      <c r="H12" s="94"/>
      <c r="I12" s="417">
        <f>(E12/12*9)+(G12/12*3)</f>
        <v>0</v>
      </c>
      <c r="J12" s="390"/>
      <c r="K12" s="417">
        <f>E12/12*3</f>
        <v>0</v>
      </c>
      <c r="L12" s="390"/>
      <c r="M12" s="417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0" t="s">
        <v>438</v>
      </c>
      <c r="B13" s="65"/>
      <c r="C13" s="417"/>
      <c r="D13" s="390"/>
      <c r="E13" s="417"/>
      <c r="F13" s="94"/>
      <c r="G13" s="417"/>
      <c r="H13" s="94"/>
      <c r="I13" s="417"/>
      <c r="J13" s="390"/>
      <c r="K13" s="394"/>
      <c r="L13" s="390"/>
      <c r="M13" s="417"/>
      <c r="N13" s="390"/>
      <c r="O13" s="395">
        <f t="shared" si="0"/>
        <v>0</v>
      </c>
    </row>
    <row r="14" spans="1:15" ht="25.5">
      <c r="A14" s="80" t="s">
        <v>397</v>
      </c>
      <c r="B14" s="65" t="s">
        <v>189</v>
      </c>
      <c r="C14" s="394"/>
      <c r="D14" s="390"/>
      <c r="E14" s="394"/>
      <c r="F14" s="94"/>
      <c r="G14" s="394"/>
      <c r="H14" s="94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398</v>
      </c>
      <c r="B15" s="65" t="s">
        <v>189</v>
      </c>
      <c r="C15" s="394">
        <v>0</v>
      </c>
      <c r="D15" s="390"/>
      <c r="E15" s="394">
        <v>-278</v>
      </c>
      <c r="F15" s="94"/>
      <c r="G15" s="394">
        <v>0</v>
      </c>
      <c r="H15" s="94"/>
      <c r="I15" s="417">
        <f>TAXCALC!E132</f>
        <v>6278.767384615386</v>
      </c>
      <c r="J15" s="390"/>
      <c r="K15" s="394"/>
      <c r="L15" s="390"/>
      <c r="N15" s="390"/>
      <c r="O15" s="395">
        <f t="shared" si="0"/>
        <v>6000.767384615386</v>
      </c>
    </row>
    <row r="16" spans="1:15" ht="27" customHeight="1">
      <c r="A16" s="80" t="s">
        <v>399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0" t="s">
        <v>400</v>
      </c>
      <c r="B17" s="65" t="s">
        <v>189</v>
      </c>
      <c r="C17" s="394">
        <v>28032</v>
      </c>
      <c r="D17" s="390"/>
      <c r="E17" s="394">
        <v>109510</v>
      </c>
      <c r="F17" s="94"/>
      <c r="G17" s="394">
        <v>107912</v>
      </c>
      <c r="H17" s="94"/>
      <c r="I17" s="417">
        <f>TAXCALC!E181</f>
        <v>-83907.63997988221</v>
      </c>
      <c r="J17" s="390"/>
      <c r="K17" s="394"/>
      <c r="L17" s="390"/>
      <c r="N17" s="390"/>
      <c r="O17" s="395">
        <f t="shared" si="0"/>
        <v>161546.36002011778</v>
      </c>
    </row>
    <row r="18" spans="1:15" ht="25.5">
      <c r="A18" s="80" t="s">
        <v>401</v>
      </c>
      <c r="B18" s="65" t="s">
        <v>189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31" t="s">
        <v>402</v>
      </c>
      <c r="B19" s="65" t="s">
        <v>189</v>
      </c>
      <c r="C19" s="394"/>
      <c r="D19" s="390"/>
      <c r="E19" s="394"/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0" t="s">
        <v>468</v>
      </c>
      <c r="B20" s="65" t="s">
        <v>187</v>
      </c>
      <c r="C20" s="417">
        <v>0</v>
      </c>
      <c r="D20" s="390"/>
      <c r="E20" s="394"/>
      <c r="F20" s="94"/>
      <c r="G20" s="394"/>
      <c r="H20" s="94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8"/>
    </row>
    <row r="22" spans="1:15" ht="13.5" thickBot="1">
      <c r="A22" s="80" t="s">
        <v>372</v>
      </c>
      <c r="B22" s="34"/>
      <c r="C22" s="396">
        <f>SUM(C11:C20)</f>
        <v>28032</v>
      </c>
      <c r="D22" s="418"/>
      <c r="E22" s="396">
        <f>SUM(E11:E20)</f>
        <v>137264</v>
      </c>
      <c r="F22" s="418"/>
      <c r="G22" s="396">
        <f>SUM(G11:G20)</f>
        <v>245176</v>
      </c>
      <c r="H22" s="418"/>
      <c r="I22" s="396">
        <f>SUM(I11:I20)</f>
        <v>167547.12740473315</v>
      </c>
      <c r="J22" s="389"/>
      <c r="K22" s="396">
        <f>SUM(K11:K20)</f>
        <v>167547.12740473315</v>
      </c>
      <c r="L22" s="389"/>
      <c r="M22" s="396">
        <f>SUM(M11:M21)</f>
        <v>167547.12740473315</v>
      </c>
      <c r="N22" s="389"/>
      <c r="O22" s="449">
        <f>SUM(O11:O20)</f>
        <v>167547.12740473315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403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404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405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50" t="s">
        <v>406</v>
      </c>
      <c r="B31" s="79"/>
      <c r="C31" s="79"/>
      <c r="D31" s="79"/>
      <c r="E31" s="79"/>
      <c r="F31" s="79"/>
      <c r="G31" s="79"/>
      <c r="H31" s="79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04" t="s">
        <v>407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19"/>
      <c r="Q33" s="419"/>
      <c r="R33" s="419"/>
      <c r="S33" s="419"/>
    </row>
    <row r="34" spans="1:19" ht="12.75">
      <c r="A34" s="503" t="s">
        <v>408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19"/>
      <c r="Q34" s="419"/>
      <c r="R34" s="419"/>
      <c r="S34" s="419"/>
    </row>
    <row r="35" spans="1:19" ht="12.75">
      <c r="A35" s="503" t="s">
        <v>429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19"/>
      <c r="Q35" s="419"/>
      <c r="R35" s="419"/>
      <c r="S35" s="419"/>
    </row>
    <row r="36" spans="1:19" ht="12.75">
      <c r="A36" s="503" t="s">
        <v>409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19"/>
      <c r="Q36" s="419"/>
      <c r="R36" s="419"/>
      <c r="S36" s="419"/>
    </row>
    <row r="37" spans="1:19" ht="12.75">
      <c r="A37" s="436" t="s">
        <v>369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370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410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411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412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413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414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415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416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417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418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415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419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420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421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422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423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379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424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425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381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380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382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426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427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428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03" t="s">
        <v>458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3" t="s">
        <v>371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SUZANNEW</cp:lastModifiedBy>
  <cp:lastPrinted>2011-10-13T15:40:43Z</cp:lastPrinted>
  <dcterms:created xsi:type="dcterms:W3CDTF">2001-11-07T16:15:53Z</dcterms:created>
  <dcterms:modified xsi:type="dcterms:W3CDTF">2012-03-07T20:04:02Z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