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69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<sst xmlns="http://schemas.openxmlformats.org/spreadsheetml/2006/main" count="886" uniqueCount="511">
  <si>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</si>
  <si>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</si>
  <si>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</si>
  <si>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</si>
  <si>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</si>
  <si>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</si>
  <si>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</si>
  <si>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</si>
  <si>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</si>
  <si>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</si>
  <si>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</si>
  <si>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</si>
  <si>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</si>
  <si>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</si>
  <si>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</si>
  <si>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</si>
  <si>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</si>
  <si>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</si>
  <si>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</si>
  <si>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</si>
  <si>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</si>
  <si>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</si>
  <si>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</si>
  <si>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</si>
  <si>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</si>
  <si>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</si>
  <si>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</si>
  <si>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</si>
  <si>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</si>
  <si>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</si>
  <si>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</si>
  <si>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</si>
  <si>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</si>
  <si>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</si>
  <si>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</si>
  <si>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</si>
  <si>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</si>
  <si>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</si>
  <si>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</si>
  <si>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</si>
  <si>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</si>
  <si>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</si>
  <si>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</si>
  <si>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</si>
  <si>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</si>
  <si>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</si>
  <si>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</si>
  <si>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</si>
  <si>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</si>
  <si>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</si>
  <si>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</si>
  <si>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</si>
  <si>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</si>
  <si>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</si>
  <si>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</si>
  <si>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</si>
  <si>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</si>
  <si>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</si>
  <si>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</si>
  <si>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</si>
  <si>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</si>
  <si>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</si>
  <si>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</si>
  <si>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</si>
  <si>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</si>
  <si>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</si>
  <si>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</si>
  <si>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</si>
  <si>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</si>
  <si>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</si>
  <si>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</si>
  <si>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</si>
  <si>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</si>
  <si>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</si>
  <si>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</si>
  <si>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</si>
  <si>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</si>
  <si>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</si>
  <si>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</si>
  <si>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</si>
  <si>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</si>
  <si>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</si>
  <si>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</si>
  <si>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</si>
  <si>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</si>
  <si>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</si>
  <si>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</si>
  <si>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</si>
  <si>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</si>
  <si>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</si>
  <si>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</si>
  <si>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</si>
  <si>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</si>
  <si>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</si>
  <si>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</si>
  <si>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</si>
  <si>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</si>
  <si>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</si>
  <si>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</si>
  <si>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</si>
  <si>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</si>
  <si>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</si>
  <si>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</si>
  <si>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</si>
  <si>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</si>
  <si>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</si>
  <si>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</si>
  <si>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</si>
  <si>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</si>
  <si>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</si>
  <si>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</si>
  <si>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</si>
  <si>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</si>
  <si>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</si>
  <si>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</si>
  <si>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</si>
  <si>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</si>
  <si>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</si>
  <si>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</si>
  <si>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</si>
  <si>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</si>
  <si>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</si>
  <si>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</si>
  <si>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</si>
  <si>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</si>
  <si>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</si>
  <si>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</si>
  <si>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</si>
  <si>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</si>
  <si>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</si>
  <si>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</si>
  <si>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</si>
  <si>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</si>
  <si>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</si>
  <si>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</si>
  <si>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</si>
  <si>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</si>
  <si>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</si>
  <si>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</si>
  <si>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</si>
  <si>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</si>
  <si>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</si>
  <si>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</si>
  <si>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</si>
  <si>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</si>
  <si>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</si>
  <si>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</si>
  <si>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</si>
  <si>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</si>
  <si>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</si>
  <si>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</si>
  <si>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</si>
  <si>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</si>
  <si>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</si>
  <si>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</si>
  <si>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</si>
  <si>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</si>
  <si>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</si>
  <si>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</si>
  <si>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</si>
  <si>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</si>
  <si>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</si>
  <si>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</si>
  <si>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</si>
  <si>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</si>
  <si>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</si>
  <si>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</si>
  <si>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</si>
  <si>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</si>
  <si>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</si>
  <si>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</si>
  <si>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</si>
  <si>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</si>
  <si>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</si>
  <si>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</si>
  <si>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</si>
  <si>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</si>
  <si>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</si>
  <si>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</si>
  <si>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</si>
  <si>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</si>
  <si>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</si>
  <si>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</si>
  <si>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</si>
  <si>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</si>
  <si>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</si>
  <si>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</si>
  <si>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</si>
  <si>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</si>
  <si>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</si>
  <si>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</si>
  <si>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</si>
  <si>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</si>
  <si>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</si>
  <si>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</si>
  <si>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</si>
  <si>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</si>
  <si>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</si>
  <si>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</si>
  <si>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</si>
  <si>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</si>
  <si>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</si>
  <si>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</si>
  <si>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</si>
  <si>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</si>
  <si>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</si>
  <si>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</si>
  <si>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</si>
  <si>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</si>
  <si>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</si>
  <si>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</si>
  <si>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</si>
  <si>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</si>
  <si>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</si>
  <si>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</si>
  <si>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</si>
  <si>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</si>
  <si>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</si>
  <si>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</si>
  <si>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</si>
  <si>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</si>
  <si>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</si>
  <si>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</si>
  <si>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</si>
  <si>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</si>
  <si>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</si>
  <si>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</si>
  <si>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</si>
  <si>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</si>
  <si>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</si>
  <si>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</si>
  <si>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</si>
  <si>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</si>
  <si>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</si>
  <si>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</si>
  <si>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</si>
  <si>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</si>
  <si>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</si>
  <si>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</si>
  <si>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</si>
  <si>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</si>
  <si>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</si>
  <si>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</si>
  <si>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</si>
  <si>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</si>
  <si>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</si>
  <si>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</si>
  <si>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</si>
  <si>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</si>
  <si>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</si>
  <si>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</si>
  <si>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</si>
  <si>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</si>
  <si>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</si>
  <si>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</si>
  <si>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</si>
  <si>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</si>
  <si>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</si>
  <si>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</si>
  <si>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</si>
  <si>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</si>
  <si>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</si>
  <si>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</si>
  <si>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</si>
  <si>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</si>
  <si>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</si>
  <si>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</si>
  <si>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</si>
  <si>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</si>
  <si>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</si>
  <si>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</si>
  <si>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</si>
  <si>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</si>
  <si>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</si>
  <si>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</si>
  <si>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</si>
  <si>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</si>
  <si>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</si>
  <si>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</si>
  <si>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</si>
  <si>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</si>
  <si>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</si>
  <si>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</si>
  <si>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</si>
  <si>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</si>
  <si>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</si>
  <si>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</si>
  <si>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</si>
  <si>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</si>
  <si>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</si>
  <si>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</si>
  <si>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</si>
  <si>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</si>
  <si>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</si>
  <si>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</si>
  <si>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</si>
  <si>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</si>
  <si>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</si>
  <si>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</si>
  <si>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</si>
  <si>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</si>
  <si>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</si>
  <si>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</si>
  <si>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</si>
  <si>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</si>
  <si>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</si>
  <si>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</si>
  <si>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</si>
  <si>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</si>
  <si>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</si>
  <si>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</si>
  <si>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</si>
  <si>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</si>
  <si>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</si>
  <si>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</si>
  <si>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</si>
  <si>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</si>
  <si>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</si>
  <si>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</si>
  <si>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</si>
  <si>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</si>
  <si>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</si>
  <si>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</si>
  <si>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</si>
  <si>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</si>
  <si>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</si>
  <si>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</si>
  <si>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</si>
  <si>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</si>
  <si>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</si>
  <si>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</si>
  <si>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</si>
  <si>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</si>
  <si>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</si>
  <si>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</si>
  <si>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</si>
  <si>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</si>
  <si>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</si>
  <si>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</si>
  <si>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</si>
  <si>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</si>
  <si>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</si>
  <si>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</si>
  <si>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</si>
  <si>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</si>
  <si>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</si>
  <si>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</si>
  <si>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</si>
  <si>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</si>
  <si>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</si>
  <si>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</si>
  <si>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</si>
  <si>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</si>
  <si>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</si>
  <si>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</si>
  <si>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</si>
  <si>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</si>
  <si>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</si>
  <si>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</si>
  <si>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</si>
  <si>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</si>
  <si>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</si>
  <si>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</si>
  <si>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</si>
  <si>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</si>
  <si>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</si>
  <si>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</si>
  <si>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</si>
  <si>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</si>
  <si>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</si>
  <si>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</si>
  <si>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</si>
  <si>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</si>
  <si>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</si>
  <si>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</si>
  <si>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</si>
  <si>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</si>
  <si>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</si>
  <si>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</si>
  <si>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</si>
  <si>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</si>
  <si>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</si>
  <si>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</si>
  <si>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</si>
  <si>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</si>
  <si>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</si>
  <si>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</si>
  <si>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</si>
  <si>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</si>
  <si>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</si>
  <si>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</si>
  <si>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</si>
  <si>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</si>
  <si>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</si>
  <si>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</si>
  <si>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</si>
  <si>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</si>
  <si>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</si>
  <si>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</si>
  <si>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</si>
  <si>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</si>
  <si>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</si>
  <si>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</si>
  <si>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</si>
  <si>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</si>
  <si>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</si>
  <si>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</si>
  <si>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</si>
  <si>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</si>
  <si>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</si>
  <si>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</si>
  <si>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</si>
  <si>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</si>
  <si>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</si>
  <si>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</si>
  <si>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</si>
  <si>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</si>
  <si>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</si>
  <si>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</si>
  <si>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</si>
  <si>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</si>
  <si>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</si>
  <si>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</si>
  <si>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</si>
  <si>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</si>
  <si>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</si>
  <si>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</si>
  <si>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</si>
  <si>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</si>
  <si>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</si>
  <si>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</si>
  <si>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</si>
  <si>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</si>
  <si>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</si>
  <si>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</si>
  <si>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</si>
  <si>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</si>
  <si>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</si>
  <si>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</si>
  <si>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</si>
  <si>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</si>
  <si>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</si>
  <si>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</si>
  <si>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</si>
  <si>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</si>
  <si>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</si>
  <si>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</si>
  <si>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</si>
  <si>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</si>
  <si>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</si>
  <si>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</si>
  <si>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</si>
  <si>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</si>
  <si>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</si>
  <si>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</si>
  <si>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</si>
  <si>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</si>
  <si>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</si>
  <si>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</si>
  <si>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</si>
  <si>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</si>
  <si>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</si>
  <si>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</si>
  <si>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</si>
  <si>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</si>
  <si>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</si>
  <si>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</si>
  <si>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</si>
  <si>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</si>
  <si>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</si>
  <si>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</si>
  <si>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</si>
  <si>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</si>
  <si>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</si>
  <si>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</si>
  <si>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</si>
  <si>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</si>
  <si>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</si>
  <si>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</si>
  <si>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</si>
  <si>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</si>
  <si>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</si>
  <si>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</si>
  <si>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</si>
  <si>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</si>
  <si>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</si>
  <si>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</si>
  <si>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</si>
  <si>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</si>
  <si>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</si>
  <si>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</si>
  <si>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</si>
  <si>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</si>
  <si>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</si>
  <si>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</si>
  <si>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</si>
  <si>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PILs TAXES - EB-2011-0207</t>
  </si>
  <si>
    <t>Y</t>
  </si>
  <si>
    <t>N</t>
  </si>
  <si>
    <t>Total deemed interest  (REGINFO CELL D62)</t>
  </si>
  <si>
    <t>Income per T5013</t>
  </si>
  <si>
    <t>Operating costs of Qualifying transitional asset</t>
  </si>
  <si>
    <t>^</t>
  </si>
  <si>
    <t>Includes OCT, LCT</t>
  </si>
  <si>
    <t>Includes LCT</t>
  </si>
  <si>
    <t>Allowance for deferred restructuring cost</t>
  </si>
  <si>
    <t>Allowance for pre-market energy variance</t>
  </si>
  <si>
    <t xml:space="preserve"> ='s T2 SCH1 (01)</t>
  </si>
  <si>
    <t>= T2 SCH1</t>
  </si>
  <si>
    <t>Utility Name: Lakefield Distribution Inc.</t>
  </si>
  <si>
    <t>Regulatory Adjustment - Re Notice of Objection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</si>
</sst>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37" fontId="59" fillId="0" borderId="0" xfId="0" applyNumberFormat="1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3" fontId="3" fillId="37" borderId="14" xfId="0" applyNumberFormat="1" applyFont="1" applyFill="1" applyBorder="1" applyAlignment="1" applyProtection="1">
      <alignment horizontal="right" vertical="top"/>
      <protection/>
    </xf>
    <xf numFmtId="3" fontId="3" fillId="36" borderId="14" xfId="0" applyNumberFormat="1" applyFon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45" borderId="0" xfId="0" applyFont="1" applyFill="1" applyAlignment="1">
      <alignment vertical="top" wrapText="1"/>
    </xf>
    <xf numFmtId="10" fontId="0" fillId="40" borderId="14" xfId="63" applyFont="1" applyFill="1" applyBorder="1" applyAlignment="1" applyProtection="1">
      <alignment vertical="top"/>
      <protection locked="0"/>
    </xf>
    <xf numFmtId="3" fontId="0" fillId="44" borderId="17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ont="1" applyFill="1" applyBorder="1" applyAlignment="1">
      <alignment vertical="top"/>
    </xf>
    <xf numFmtId="0" fontId="60" fillId="0" borderId="0" xfId="0" applyFont="1" applyAlignment="1">
      <alignment vertical="top"/>
    </xf>
    <xf numFmtId="37" fontId="0" fillId="45" borderId="14" xfId="0" applyNumberFormat="1" applyFill="1" applyBorder="1" applyAlignment="1" applyProtection="1">
      <alignment/>
      <protection locked="0"/>
    </xf>
    <xf numFmtId="0" fontId="0" fillId="0" borderId="0" xfId="0" applyFont="1" applyAlignment="1">
      <alignment vertical="top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37" fontId="61" fillId="0" borderId="0" xfId="0" applyNumberFormat="1" applyFont="1" applyBorder="1" applyAlignment="1">
      <alignment horizontal="center" vertical="center"/>
    </xf>
    <xf numFmtId="3" fontId="0" fillId="46" borderId="0" xfId="0" applyNumberFormat="1" applyFill="1" applyAlignment="1">
      <alignment/>
    </xf>
    <xf numFmtId="3" fontId="0" fillId="40" borderId="14" xfId="0" applyNumberFormat="1" applyFont="1" applyFill="1" applyBorder="1" applyAlignment="1" applyProtection="1">
      <alignment horizontal="right" vertical="top"/>
      <protection locked="0"/>
    </xf>
    <xf numFmtId="3" fontId="0" fillId="44" borderId="14" xfId="0" applyNumberFormat="1" applyFont="1" applyFill="1" applyBorder="1" applyAlignment="1" applyProtection="1">
      <alignment vertical="top"/>
      <protection/>
    </xf>
    <xf numFmtId="3" fontId="0" fillId="40" borderId="15" xfId="0" applyNumberFormat="1" applyFont="1" applyFill="1" applyBorder="1" applyAlignment="1">
      <alignment vertical="top"/>
    </xf>
    <xf numFmtId="37" fontId="0" fillId="36" borderId="14" xfId="0" applyNumberFormat="1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vertical="top"/>
      <protection/>
    </xf>
    <xf numFmtId="37" fontId="0" fillId="0" borderId="0" xfId="0" applyNumberFormat="1" applyFont="1" applyAlignment="1">
      <alignment vertical="top"/>
    </xf>
    <xf numFmtId="37" fontId="0" fillId="44" borderId="14" xfId="0" applyNumberFormat="1" applyFont="1" applyFill="1" applyBorder="1" applyAlignment="1">
      <alignment vertical="top"/>
    </xf>
    <xf numFmtId="37" fontId="0" fillId="40" borderId="14" xfId="0" applyNumberFormat="1" applyFont="1" applyFill="1" applyBorder="1" applyAlignment="1">
      <alignment vertical="top"/>
    </xf>
    <xf numFmtId="10" fontId="0" fillId="40" borderId="14" xfId="0" applyNumberFormat="1" applyFont="1" applyFill="1" applyBorder="1" applyAlignment="1">
      <alignment vertical="top"/>
    </xf>
    <xf numFmtId="10" fontId="0" fillId="36" borderId="14" xfId="0" applyNumberFormat="1" applyFont="1" applyFill="1" applyBorder="1" applyAlignment="1">
      <alignment vertical="top"/>
    </xf>
    <xf numFmtId="3" fontId="0" fillId="36" borderId="14" xfId="0" applyNumberFormat="1" applyFont="1" applyFill="1" applyBorder="1" applyAlignment="1" applyProtection="1">
      <alignment vertical="top"/>
      <protection/>
    </xf>
    <xf numFmtId="3" fontId="0" fillId="40" borderId="14" xfId="0" applyNumberFormat="1" applyFont="1" applyFill="1" applyBorder="1" applyAlignment="1" applyProtection="1">
      <alignment vertical="top"/>
      <protection/>
    </xf>
    <xf numFmtId="0" fontId="0" fillId="0" borderId="0" xfId="0" applyFont="1" applyAlignment="1" quotePrefix="1">
      <alignment vertical="top"/>
    </xf>
    <xf numFmtId="0" fontId="0" fillId="0" borderId="0" xfId="0" applyFont="1" applyFill="1" applyBorder="1" applyAlignment="1" quotePrefix="1">
      <alignment vertical="top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D44" sqref="D4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496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509</v>
      </c>
      <c r="C3" s="8"/>
      <c r="D3" s="453" t="s">
        <v>449</v>
      </c>
      <c r="E3" s="8"/>
      <c r="F3" s="8"/>
      <c r="G3" s="8"/>
      <c r="H3" s="8"/>
    </row>
    <row r="4" spans="1:8" ht="12.75">
      <c r="A4" s="2" t="s">
        <v>478</v>
      </c>
      <c r="C4" s="8"/>
      <c r="D4" s="452" t="s">
        <v>444</v>
      </c>
      <c r="E4" s="426"/>
      <c r="H4" s="8"/>
    </row>
    <row r="5" spans="1:8" ht="12.75">
      <c r="A5" s="52"/>
      <c r="C5" s="8"/>
      <c r="D5" s="451" t="s">
        <v>445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498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1" t="s">
        <v>316</v>
      </c>
      <c r="B19" s="8" t="s">
        <v>313</v>
      </c>
      <c r="C19" s="8" t="s">
        <v>64</v>
      </c>
      <c r="D19" s="388"/>
    </row>
    <row r="20" spans="1:4" ht="13.5" thickBot="1">
      <c r="A20" s="522"/>
      <c r="B20" s="8" t="s">
        <v>314</v>
      </c>
      <c r="C20" s="8" t="s">
        <v>64</v>
      </c>
      <c r="D20" s="258"/>
    </row>
    <row r="21" spans="1:4" ht="12.75">
      <c r="A21" s="521" t="s">
        <v>312</v>
      </c>
      <c r="B21" s="8" t="s">
        <v>313</v>
      </c>
      <c r="C21" s="8"/>
      <c r="D21" s="422">
        <v>1</v>
      </c>
    </row>
    <row r="22" spans="1:4" ht="12.75">
      <c r="A22" s="521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1" t="s">
        <v>297</v>
      </c>
    </row>
    <row r="27" spans="1:5" ht="12.75">
      <c r="A27" s="256" t="s">
        <v>68</v>
      </c>
      <c r="C27" s="8"/>
      <c r="E27" s="442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0">
        <v>1514121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129684.46365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41341</v>
      </c>
      <c r="E43" s="387">
        <f>D43</f>
        <v>41341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88343.46365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16021</v>
      </c>
      <c r="E47" s="387">
        <f aca="true" t="shared" si="0" ref="E47:E53">D47</f>
        <v>16021</v>
      </c>
      <c r="H47" s="40"/>
      <c r="J47" s="5"/>
      <c r="K47" s="5"/>
    </row>
    <row r="48" spans="1:11" ht="12.75">
      <c r="A48" t="s">
        <v>290</v>
      </c>
      <c r="D48" s="425">
        <v>16021</v>
      </c>
      <c r="E48" s="387">
        <f>D48</f>
        <v>16021</v>
      </c>
      <c r="F48" s="22"/>
      <c r="H48" s="40"/>
      <c r="J48" s="5"/>
      <c r="K48" s="5"/>
    </row>
    <row r="49" spans="1:11" ht="12.75">
      <c r="A49" t="s">
        <v>291</v>
      </c>
      <c r="D49" s="425">
        <v>16021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6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6"/>
      <c r="E51" s="387">
        <f t="shared" si="0"/>
        <v>0</v>
      </c>
      <c r="H51" s="40"/>
      <c r="J51" s="5"/>
      <c r="K51" s="5"/>
    </row>
    <row r="52" spans="1:11" ht="12.75">
      <c r="A52" t="s">
        <v>464</v>
      </c>
      <c r="D52" s="426"/>
      <c r="E52" s="387">
        <f t="shared" si="0"/>
        <v>0</v>
      </c>
      <c r="H52" s="40"/>
      <c r="J52" s="5"/>
      <c r="K52" s="5"/>
    </row>
    <row r="53" spans="4:11" ht="12.75">
      <c r="D53" s="426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73383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757060.5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74797.5774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757060.5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54886.886249999996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24277.553998832456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31058.187390542906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31058.187390542906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54886.886249999996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483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4" r:id="rId1"/>
  <headerFooter alignWithMargins="0">
    <oddHeader>&amp;C&amp;F  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">
      <selection activeCell="I224" sqref="I22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13.28125" style="0" bestFit="1" customWidth="1"/>
    <col min="7" max="7" width="14.00390625" style="0" customWidth="1"/>
    <col min="8" max="8" width="4.421875" style="0" customWidth="1"/>
    <col min="9" max="9" width="32.28125" style="0" bestFit="1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EB-2011-0207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Lakefield Distribution Inc.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7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7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100237</v>
      </c>
      <c r="D16" s="17"/>
      <c r="E16" s="267">
        <f>G16-C16</f>
        <v>-6879</v>
      </c>
      <c r="F16" s="3"/>
      <c r="G16" s="267">
        <f>TAXREC!E50</f>
        <v>93358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71051</v>
      </c>
      <c r="D20" s="18"/>
      <c r="E20" s="267">
        <f>G20-C20</f>
        <v>-3008</v>
      </c>
      <c r="F20" s="6"/>
      <c r="G20" s="267">
        <f>TAXREC!E61</f>
        <v>68043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9" t="s">
        <v>397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53525</v>
      </c>
      <c r="D33" s="132"/>
      <c r="E33" s="267">
        <f aca="true" t="shared" si="0" ref="E33:E42">G33-C33</f>
        <v>-796</v>
      </c>
      <c r="F33" s="6"/>
      <c r="G33" s="267">
        <f>TAXREC!E97+TAXREC!E98</f>
        <v>52729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42424</v>
      </c>
      <c r="D37" s="132"/>
      <c r="E37" s="267">
        <f t="shared" si="0"/>
        <v>-41052</v>
      </c>
      <c r="F37" s="6"/>
      <c r="G37" s="267">
        <f>TAXREC!E51</f>
        <v>1372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9" t="s">
        <v>397</v>
      </c>
      <c r="B48" s="127"/>
      <c r="C48" s="259"/>
      <c r="D48" s="132"/>
      <c r="E48" s="267">
        <f>G48-C48</f>
        <v>43570</v>
      </c>
      <c r="F48" s="6"/>
      <c r="G48" s="251">
        <f>TAXREC!E108</f>
        <v>43570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9" ht="12.75">
      <c r="A50" s="152" t="s">
        <v>330</v>
      </c>
      <c r="B50" s="125"/>
      <c r="C50" s="263">
        <f>C16+SUM(C20:C30)-SUM(C33:C48)</f>
        <v>75339</v>
      </c>
      <c r="D50" s="102"/>
      <c r="E50" s="263">
        <f>E16+SUM(E20:E30)-SUM(E33:E48)</f>
        <v>-11609</v>
      </c>
      <c r="F50" s="429"/>
      <c r="G50" s="263">
        <f>G16+SUM(G20:G30)-SUM(G33:G48)</f>
        <v>63730</v>
      </c>
      <c r="H50" s="160"/>
      <c r="I50" s="518" t="s">
        <v>507</v>
      </c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0.19499560131024798</v>
      </c>
      <c r="F53" s="114"/>
      <c r="G53" s="471">
        <f>TAXREC!E151</f>
        <v>0.386195601310248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14404.8168</v>
      </c>
      <c r="D55" s="102"/>
      <c r="E55" s="267">
        <f>G55-C55</f>
        <v>-6151.8168000000005</v>
      </c>
      <c r="F55" s="429" t="s">
        <v>370</v>
      </c>
      <c r="G55" s="264">
        <f>TAXREC!E144</f>
        <v>8253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9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14404.8168</v>
      </c>
      <c r="D60" s="133"/>
      <c r="E60" s="269">
        <f>+E55-E58</f>
        <v>-6151.8168000000005</v>
      </c>
      <c r="F60" s="429" t="s">
        <v>370</v>
      </c>
      <c r="G60" s="269">
        <f>+G55-G58</f>
        <v>8253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1514121</v>
      </c>
      <c r="D66" s="102"/>
      <c r="E66" s="267">
        <f>G66-C66</f>
        <v>90332</v>
      </c>
      <c r="F66" s="6"/>
      <c r="G66" s="473">
        <v>1604453</v>
      </c>
      <c r="H66" s="151"/>
      <c r="I66" s="474" t="s">
        <v>476</v>
      </c>
    </row>
    <row r="67" spans="1:9" ht="12.75">
      <c r="A67" s="152" t="s">
        <v>363</v>
      </c>
      <c r="B67" s="125">
        <v>16</v>
      </c>
      <c r="C67" s="260">
        <v>162000</v>
      </c>
      <c r="D67" s="102"/>
      <c r="E67" s="267">
        <f>G67-C67</f>
        <v>-48813</v>
      </c>
      <c r="F67" s="6"/>
      <c r="G67" s="473">
        <v>113187</v>
      </c>
      <c r="H67" s="151"/>
      <c r="I67" s="520"/>
    </row>
    <row r="68" spans="1:8" ht="12.75">
      <c r="A68" s="152" t="s">
        <v>42</v>
      </c>
      <c r="B68" s="125"/>
      <c r="C68" s="264">
        <f>IF((C66-C67)&gt;0,C66-C67,0)</f>
        <v>1352121</v>
      </c>
      <c r="D68" s="102"/>
      <c r="E68" s="267">
        <f>SUM(E66:E67)</f>
        <v>41519</v>
      </c>
      <c r="F68" s="114"/>
      <c r="G68" s="264">
        <f>G66-G67</f>
        <v>1491266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364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4056.3630000000003</v>
      </c>
      <c r="D72" s="101"/>
      <c r="E72" s="267">
        <f>+G72-C72</f>
        <v>417.4349999999995</v>
      </c>
      <c r="F72" s="475" t="s">
        <v>477</v>
      </c>
      <c r="G72" s="264">
        <f>IF(G68&gt;0,G68*G70,0)*REGINFO!$B$6/REGINFO!$B$7</f>
        <v>4473.798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1514121</v>
      </c>
      <c r="D75" s="102"/>
      <c r="E75" s="267">
        <f>+G75-C75</f>
        <v>41127</v>
      </c>
      <c r="F75" s="6"/>
      <c r="G75" s="473">
        <v>1555248</v>
      </c>
      <c r="H75" s="151"/>
      <c r="I75" s="474" t="s">
        <v>476</v>
      </c>
    </row>
    <row r="76" spans="1:9" ht="12.75">
      <c r="A76" s="152" t="s">
        <v>363</v>
      </c>
      <c r="B76" s="125">
        <v>19</v>
      </c>
      <c r="C76" s="260">
        <v>324000</v>
      </c>
      <c r="D76" s="18"/>
      <c r="E76" s="267">
        <f>+G76-C76</f>
        <v>-324000</v>
      </c>
      <c r="F76" s="6"/>
      <c r="G76" s="473">
        <v>0</v>
      </c>
      <c r="H76" s="151"/>
      <c r="I76" s="474" t="s">
        <v>476</v>
      </c>
    </row>
    <row r="77" spans="1:8" ht="12.75">
      <c r="A77" s="152" t="s">
        <v>42</v>
      </c>
      <c r="B77" s="125"/>
      <c r="C77" s="264">
        <f>IF((C75-C76)&gt;0,C75-C76,0)</f>
        <v>1190121</v>
      </c>
      <c r="D77" s="19"/>
      <c r="E77" s="267">
        <f>SUM(E75:E76)</f>
        <v>-282873</v>
      </c>
      <c r="F77" s="114"/>
      <c r="G77" s="264">
        <f>G75-G76</f>
        <v>1555248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364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2677.77225</v>
      </c>
      <c r="D81" s="102"/>
      <c r="E81" s="267">
        <f>+G81-C81</f>
        <v>821.53575</v>
      </c>
      <c r="F81" s="6"/>
      <c r="G81" s="264">
        <f>G77*G79*B9/B10</f>
        <v>3499.308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843.7968</v>
      </c>
      <c r="D82" s="102"/>
      <c r="E82" s="267">
        <f>+G82-C82</f>
        <v>-604.7968</v>
      </c>
      <c r="F82" s="6"/>
      <c r="G82" s="300">
        <v>239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1833.97545</v>
      </c>
      <c r="D84" s="16"/>
      <c r="E84" s="267">
        <f>E81-E82</f>
        <v>1426.33255</v>
      </c>
      <c r="F84" s="103"/>
      <c r="G84" s="264">
        <f>G81-G82</f>
        <v>3260.308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0.18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17566.84975609756</v>
      </c>
      <c r="D90" s="20"/>
      <c r="E90" s="139"/>
      <c r="F90" s="428" t="s">
        <v>488</v>
      </c>
      <c r="G90" s="270">
        <f>TAXREC!E156</f>
        <v>8253</v>
      </c>
      <c r="H90" s="151"/>
    </row>
    <row r="91" spans="1:8" ht="12.75">
      <c r="A91" s="158" t="s">
        <v>372</v>
      </c>
      <c r="B91" s="127">
        <v>23</v>
      </c>
      <c r="C91" s="264">
        <f>C84/(1-C88)</f>
        <v>2236.555426829268</v>
      </c>
      <c r="D91" s="20"/>
      <c r="E91" s="139"/>
      <c r="F91" s="428" t="s">
        <v>488</v>
      </c>
      <c r="G91" s="270">
        <f>TAXREC!E158</f>
        <v>3260</v>
      </c>
      <c r="H91" s="151"/>
    </row>
    <row r="92" spans="1:8" ht="12.75">
      <c r="A92" s="158" t="s">
        <v>351</v>
      </c>
      <c r="B92" s="127">
        <v>24</v>
      </c>
      <c r="C92" s="264">
        <f>C72</f>
        <v>4056.3630000000003</v>
      </c>
      <c r="D92" s="20"/>
      <c r="E92" s="139"/>
      <c r="F92" s="428" t="s">
        <v>488</v>
      </c>
      <c r="G92" s="270">
        <f>TAXREC!E157</f>
        <v>4474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69">
        <f>SUM(C90:C93)</f>
        <v>23859.76818292683</v>
      </c>
      <c r="D95" s="6"/>
      <c r="E95" s="139"/>
      <c r="F95" s="428" t="s">
        <v>488</v>
      </c>
      <c r="G95" s="412">
        <f>SUM(G90:G94)</f>
        <v>15987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0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231</v>
      </c>
      <c r="E122" s="467">
        <f>+'Tax Rates'!C52</f>
        <v>0.1912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7">
        <f>IF((E120+C50)&gt;'Tax Rates'!$E$47,'Tax Rates'!$F$52-1.12%,IF((E120+C50)&gt;'Tax Rates'!$C$47,'Tax Rates'!$E$52-1.12%,IF((E120+C50)&gt;'Tax Rates'!$C$47,'Tax Rates'!$C$52-1.12%,'Tax Rates'!$C$52-1.12%)))</f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3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75339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7">
        <f>IF((E120+E136)&gt;'Tax Rates'!E47,'Tax Rates'!F52,IF((E120+E136)&gt;'Tax Rates'!C47,'Tax Rates'!E52,IF((E120+E136)&gt;'Tax Rates'!C47,'Tax Rates'!D52,'Tax Rates'!C52)))</f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14404.8168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9" ht="12.75">
      <c r="A142" s="171" t="s">
        <v>238</v>
      </c>
      <c r="B142" s="130"/>
      <c r="C142" s="112"/>
      <c r="D142" s="118" t="s">
        <v>188</v>
      </c>
      <c r="E142" s="495"/>
      <c r="F142" s="37"/>
      <c r="G142" s="201"/>
      <c r="H142" s="164"/>
      <c r="I142" s="49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14404.8168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14404.8168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8"/>
      <c r="F150" s="37"/>
      <c r="G150" s="201"/>
      <c r="H150" s="164"/>
    </row>
    <row r="151" spans="1:9" ht="12.75">
      <c r="A151" s="171" t="s">
        <v>17</v>
      </c>
      <c r="B151" s="130"/>
      <c r="C151" s="112"/>
      <c r="D151" s="119" t="s">
        <v>189</v>
      </c>
      <c r="E151" s="302">
        <f>C66</f>
        <v>1514121</v>
      </c>
      <c r="F151" s="37"/>
      <c r="G151" s="201"/>
      <c r="H151" s="164"/>
      <c r="I151" s="494" t="s">
        <v>102</v>
      </c>
    </row>
    <row r="152" spans="1:8" ht="12.75">
      <c r="A152" s="171" t="s">
        <v>361</v>
      </c>
      <c r="B152" s="130"/>
      <c r="C152" s="112"/>
      <c r="D152" s="118" t="s">
        <v>188</v>
      </c>
      <c r="E152" s="305">
        <f>+G67</f>
        <v>113187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1400934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4202.802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4056.3630000000003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146.4389999999994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9" ht="12.75">
      <c r="A162" s="171" t="s">
        <v>17</v>
      </c>
      <c r="B162" s="130"/>
      <c r="C162" s="112"/>
      <c r="D162" s="119"/>
      <c r="E162" s="302">
        <f>C75</f>
        <v>1514121</v>
      </c>
      <c r="F162" s="37"/>
      <c r="G162" s="201"/>
      <c r="H162" s="164"/>
      <c r="I162" s="494" t="s">
        <v>102</v>
      </c>
    </row>
    <row r="163" spans="1:8" ht="12.75">
      <c r="A163" s="171" t="s">
        <v>360</v>
      </c>
      <c r="B163" s="130"/>
      <c r="C163" s="112"/>
      <c r="D163" s="118" t="s">
        <v>188</v>
      </c>
      <c r="E163" s="305">
        <f>+G76</f>
        <v>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1514121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3406.7722499999995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843.7968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2562.9754499999995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350</v>
      </c>
      <c r="B172" s="130"/>
      <c r="C172" s="112"/>
      <c r="D172" s="118" t="s">
        <v>188</v>
      </c>
      <c r="E172" s="305">
        <f>C84</f>
        <v>1833.97545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728.9999999999995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7">
        <f>IF((E120+G50)&gt;'Tax Rates'!E47,'Tax Rates'!F52-1.12%,IF((E120+G50)&gt;'Tax Rates'!D47,'Tax Rates'!E52-1.12%,IF((E120+G50)&gt;'Tax Rates'!C47,'Tax Rates'!D52,'Tax Rates'!C52-1.12%)))</f>
        <v>0.375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1166.3999999999992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146.4389999999994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2">
        <f>SUM(E177:E179)</f>
        <v>1312.8389999999986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2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9" ht="15">
      <c r="A185" s="173" t="s">
        <v>357</v>
      </c>
      <c r="B185" s="130"/>
      <c r="C185" s="112"/>
      <c r="D185" s="119" t="s">
        <v>189</v>
      </c>
      <c r="E185" s="302">
        <f>E181+E183</f>
        <v>1312.8389999999986</v>
      </c>
      <c r="F185" s="37"/>
      <c r="G185" s="201"/>
      <c r="H185" s="164"/>
      <c r="I185" s="494" t="s">
        <v>102</v>
      </c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54886.886249999996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31058.187390542906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23828.69885945709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1372</v>
      </c>
      <c r="F201" s="3"/>
      <c r="G201" s="481"/>
      <c r="H201" s="164"/>
    </row>
    <row r="202" spans="1:8" ht="12.75">
      <c r="A202" s="484" t="s">
        <v>499</v>
      </c>
      <c r="B202" s="127"/>
      <c r="C202" s="112"/>
      <c r="D202" s="120"/>
      <c r="E202" s="308">
        <f>REGINFO!D62</f>
        <v>54886.886249999996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23828.69885945709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483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498031496" right="0.236220472440945" top="0.66" bottom="0.35" header="0.19" footer="0"/>
  <pageSetup fitToHeight="2" horizontalDpi="600" verticalDpi="600" orientation="portrait" scale="55" r:id="rId1"/>
  <headerFooter alignWithMargins="0">
    <oddHeader>&amp;C&amp;F  &amp;A</oddHeader>
    <oddFooter>&amp;C&amp;P of &amp;N&amp;R&amp;"Arial,Bold"&amp;9&amp;A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63"/>
  <sheetViews>
    <sheetView workbookViewId="0" topLeftCell="A1">
      <selection activeCell="G110" sqref="G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98" customWidth="1"/>
    <col min="7" max="7" width="42.14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EB-2011-0207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99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499"/>
      <c r="G6" s="3"/>
      <c r="H6" s="3"/>
      <c r="I6" s="3"/>
    </row>
    <row r="7" spans="1:9" ht="12.75">
      <c r="A7" s="2" t="str">
        <f>REGINFO!A3</f>
        <v>Utility Name: Lakefield Distribution Inc.</v>
      </c>
      <c r="B7" s="20"/>
      <c r="C7" s="25"/>
      <c r="D7" s="25"/>
      <c r="E7" s="25"/>
      <c r="F7" s="499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499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499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499"/>
      <c r="G10" s="3"/>
      <c r="H10" s="3"/>
      <c r="I10" s="3"/>
    </row>
    <row r="11" spans="1:9" ht="13.5" thickBot="1">
      <c r="A11" s="2" t="s">
        <v>122</v>
      </c>
      <c r="B11" s="20"/>
      <c r="C11" s="443">
        <f>REGINFO!B6</f>
        <v>365</v>
      </c>
      <c r="D11" s="37" t="s">
        <v>127</v>
      </c>
      <c r="E11" s="25"/>
      <c r="F11" s="499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99"/>
      <c r="G12" s="3"/>
      <c r="H12" s="3"/>
      <c r="I12" s="3"/>
    </row>
    <row r="13" spans="1:9" ht="13.5" thickBot="1">
      <c r="A13" s="35" t="s">
        <v>217</v>
      </c>
      <c r="C13" s="492">
        <v>0</v>
      </c>
      <c r="D13" s="83" t="s">
        <v>186</v>
      </c>
      <c r="E13" s="25"/>
      <c r="F13" s="499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499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499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499"/>
      <c r="G16" s="3"/>
      <c r="H16" s="3"/>
      <c r="I16" s="3"/>
    </row>
    <row r="17" spans="1:5" ht="12.75">
      <c r="A17" s="2" t="s">
        <v>285</v>
      </c>
      <c r="B17" s="20" t="s">
        <v>64</v>
      </c>
      <c r="C17" s="8"/>
      <c r="E17" s="26"/>
    </row>
    <row r="18" spans="1:5" ht="12.75">
      <c r="A18" s="55" t="s">
        <v>258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500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500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500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500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500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500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504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50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500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2877463</v>
      </c>
      <c r="D31" s="286"/>
      <c r="E31" s="284">
        <f>C31-D31</f>
        <v>2877463</v>
      </c>
      <c r="F31" s="500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544830</v>
      </c>
      <c r="D32" s="286"/>
      <c r="E32" s="284">
        <f>C32-D32</f>
        <v>544830</v>
      </c>
      <c r="F32" s="500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30264</v>
      </c>
      <c r="D33" s="286"/>
      <c r="E33" s="284">
        <f>C33-D33</f>
        <v>30264</v>
      </c>
      <c r="F33" s="500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500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500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500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500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500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f>+C31</f>
        <v>2877463</v>
      </c>
      <c r="D39" s="286"/>
      <c r="E39" s="284">
        <f>C39-D39</f>
        <v>2877463</v>
      </c>
      <c r="F39" s="500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170193</v>
      </c>
      <c r="D40" s="286"/>
      <c r="E40" s="284">
        <f aca="true" t="shared" si="0" ref="E40:E48">C40-D40</f>
        <v>170193</v>
      </c>
      <c r="F40" s="500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91517</v>
      </c>
      <c r="D41" s="286"/>
      <c r="E41" s="284">
        <f t="shared" si="0"/>
        <v>91517</v>
      </c>
      <c r="F41" s="500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147483</v>
      </c>
      <c r="D42" s="286"/>
      <c r="E42" s="284">
        <f t="shared" si="0"/>
        <v>147483</v>
      </c>
      <c r="F42" s="500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68043</v>
      </c>
      <c r="D43" s="286"/>
      <c r="E43" s="284">
        <f t="shared" si="0"/>
        <v>68043</v>
      </c>
      <c r="F43" s="500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4500</v>
      </c>
      <c r="D44" s="286"/>
      <c r="E44" s="284">
        <f t="shared" si="0"/>
        <v>4500</v>
      </c>
      <c r="F44" s="500"/>
      <c r="G44" s="11"/>
      <c r="H44" s="6"/>
      <c r="I44" s="6"/>
    </row>
    <row r="45" spans="1:11" ht="12.75">
      <c r="A45" s="31" t="s">
        <v>495</v>
      </c>
      <c r="B45" s="23" t="s">
        <v>188</v>
      </c>
      <c r="C45" s="285">
        <v>0</v>
      </c>
      <c r="D45" s="286"/>
      <c r="E45" s="284">
        <f t="shared" si="0"/>
        <v>0</v>
      </c>
      <c r="F45" s="500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500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500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500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500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93358</v>
      </c>
      <c r="D50" s="281">
        <f>SUM(D31:D36)-SUM(D39:D49)</f>
        <v>0</v>
      </c>
      <c r="E50" s="281">
        <f>SUM(E31:E35)-SUM(E39:E48)</f>
        <v>93358</v>
      </c>
      <c r="F50" s="500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1372</v>
      </c>
      <c r="D51" s="285"/>
      <c r="E51" s="282">
        <f>+C51-D51</f>
        <v>1372</v>
      </c>
      <c r="F51" s="500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10987</v>
      </c>
      <c r="D52" s="285"/>
      <c r="E52" s="283">
        <f>+C52-D52</f>
        <v>10987</v>
      </c>
      <c r="G52" s="414" t="s">
        <v>504</v>
      </c>
    </row>
    <row r="53" spans="1:6" ht="12.75">
      <c r="A53" s="2" t="s">
        <v>131</v>
      </c>
      <c r="B53" s="8" t="s">
        <v>189</v>
      </c>
      <c r="C53" s="486">
        <f>C50-C51-C52</f>
        <v>80999</v>
      </c>
      <c r="D53" s="281">
        <f>D50-D51-D52</f>
        <v>0</v>
      </c>
      <c r="E53" s="281">
        <f>E50-E51-E52</f>
        <v>80999</v>
      </c>
      <c r="F53" s="497"/>
    </row>
    <row r="54" spans="1:5" ht="24">
      <c r="A54" s="87" t="s">
        <v>214</v>
      </c>
      <c r="B54" s="8"/>
      <c r="C54" s="29"/>
      <c r="D54" s="29"/>
      <c r="E54" s="29"/>
    </row>
    <row r="55" spans="1:5" ht="12.75">
      <c r="A55" s="82"/>
      <c r="B55" s="8"/>
      <c r="C55" s="29"/>
      <c r="D55" s="29"/>
      <c r="E55" s="29"/>
    </row>
    <row r="56" spans="1:5" ht="12.75">
      <c r="A56" s="14" t="s">
        <v>177</v>
      </c>
      <c r="B56" s="8"/>
      <c r="C56" s="29"/>
      <c r="D56" s="29"/>
      <c r="E56" s="29"/>
    </row>
    <row r="57" spans="1:5" ht="12.75">
      <c r="A57" s="15" t="s">
        <v>165</v>
      </c>
      <c r="B57" s="8"/>
      <c r="C57" s="29"/>
      <c r="D57" s="29"/>
      <c r="E57" s="29"/>
    </row>
    <row r="58" spans="1:5" ht="12.75">
      <c r="A58" s="2" t="s">
        <v>166</v>
      </c>
      <c r="B58" s="8"/>
      <c r="C58" s="44"/>
      <c r="D58" s="44"/>
      <c r="E58" s="44"/>
    </row>
    <row r="59" spans="1:7" ht="12.75">
      <c r="A59" s="4" t="s">
        <v>98</v>
      </c>
      <c r="B59" s="8" t="s">
        <v>187</v>
      </c>
      <c r="C59" s="507">
        <v>10987</v>
      </c>
      <c r="D59" s="287">
        <f>D52</f>
        <v>0</v>
      </c>
      <c r="E59" s="272">
        <f>+C59-D59</f>
        <v>10987</v>
      </c>
      <c r="F59" s="497"/>
      <c r="G59" s="414" t="s">
        <v>503</v>
      </c>
    </row>
    <row r="60" spans="1:5" ht="12.75">
      <c r="A60" s="4" t="s">
        <v>329</v>
      </c>
      <c r="B60" s="8" t="s">
        <v>187</v>
      </c>
      <c r="C60" s="317"/>
      <c r="D60" s="317"/>
      <c r="E60" s="272">
        <f>+C60-D60</f>
        <v>0</v>
      </c>
    </row>
    <row r="61" spans="1:7" ht="12.75">
      <c r="A61" t="s">
        <v>4</v>
      </c>
      <c r="B61" s="8" t="s">
        <v>187</v>
      </c>
      <c r="C61" s="506">
        <f>+C43</f>
        <v>68043</v>
      </c>
      <c r="D61" s="287">
        <f>D43</f>
        <v>0</v>
      </c>
      <c r="E61" s="272">
        <f>+C61-D61</f>
        <v>68043</v>
      </c>
      <c r="F61" s="497"/>
      <c r="G61" s="414"/>
    </row>
    <row r="62" spans="1:5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</row>
    <row r="63" spans="1:5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</row>
    <row r="64" spans="1:5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</row>
    <row r="65" spans="1:5" ht="12.75">
      <c r="A65" t="s">
        <v>446</v>
      </c>
      <c r="B65" s="8" t="s">
        <v>187</v>
      </c>
      <c r="C65" s="286"/>
      <c r="D65" s="286"/>
      <c r="E65" s="272">
        <f>+C65-D65</f>
        <v>0</v>
      </c>
    </row>
    <row r="66" spans="1:5" ht="15">
      <c r="A66" s="465" t="s">
        <v>397</v>
      </c>
      <c r="B66" s="8"/>
      <c r="C66" s="444">
        <f>'TAXREC 3 No True-Up'!C47</f>
        <v>0</v>
      </c>
      <c r="D66" s="444">
        <f>'TAXREC 3 No True-Up'!D47</f>
        <v>0</v>
      </c>
      <c r="E66" s="272">
        <f>+C66-D66</f>
        <v>0</v>
      </c>
    </row>
    <row r="67" spans="1:5" ht="12.75">
      <c r="A67" t="s">
        <v>160</v>
      </c>
      <c r="B67" s="8" t="s">
        <v>187</v>
      </c>
      <c r="C67" s="507">
        <f>'TAXREC 2'!C77</f>
        <v>0</v>
      </c>
      <c r="D67" s="251">
        <f>'TAXREC 2'!D77</f>
        <v>0</v>
      </c>
      <c r="E67" s="272">
        <f>+C67-D67</f>
        <v>0</v>
      </c>
    </row>
    <row r="68" spans="1:10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497"/>
      <c r="H68" s="23"/>
      <c r="I68" s="45"/>
      <c r="J68" s="75"/>
    </row>
    <row r="69" spans="3:10" ht="12.75">
      <c r="C69" s="22"/>
      <c r="D69" s="22"/>
      <c r="E69" s="297"/>
      <c r="G69" s="45"/>
      <c r="H69" s="23"/>
      <c r="I69" s="45"/>
      <c r="J69" s="23"/>
    </row>
    <row r="70" spans="1:8" ht="12.75">
      <c r="A70" s="10" t="s">
        <v>106</v>
      </c>
      <c r="B70" s="8"/>
      <c r="C70" s="272">
        <f>SUM(C59:C68)</f>
        <v>79030</v>
      </c>
      <c r="D70" s="272">
        <f>SUM(D59:D68)</f>
        <v>0</v>
      </c>
      <c r="E70" s="272">
        <f>SUM(E59:E68)</f>
        <v>79030</v>
      </c>
      <c r="G70" s="45"/>
      <c r="H70" s="45"/>
    </row>
    <row r="71" spans="1:13" ht="12.75">
      <c r="A71" s="10"/>
      <c r="B71" s="8"/>
      <c r="C71" s="42"/>
      <c r="D71" s="42"/>
      <c r="E71" s="42"/>
      <c r="G71" s="45"/>
      <c r="H71" s="45"/>
      <c r="K71" s="23"/>
      <c r="L71" s="45"/>
      <c r="M71" s="75"/>
    </row>
    <row r="72" spans="1:13" ht="12.75">
      <c r="A72" s="10" t="s">
        <v>207</v>
      </c>
      <c r="B72" s="8"/>
      <c r="C72" s="5"/>
      <c r="D72" s="5"/>
      <c r="E72" s="5"/>
      <c r="G72" s="45"/>
      <c r="H72" s="45"/>
      <c r="I72" s="23"/>
      <c r="J72" s="23"/>
      <c r="K72" s="23"/>
      <c r="L72" s="45"/>
      <c r="M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493">
        <v>0</v>
      </c>
      <c r="D74" s="294"/>
      <c r="E74" s="272">
        <f t="shared" si="1"/>
        <v>0</v>
      </c>
      <c r="F74" s="497"/>
      <c r="G74" s="76"/>
      <c r="H74" s="77"/>
      <c r="I74" s="78"/>
      <c r="J74" s="77"/>
      <c r="K74" s="77"/>
    </row>
    <row r="75" spans="1:6" ht="12.75">
      <c r="A75" t="s">
        <v>7</v>
      </c>
      <c r="B75" s="8" t="s">
        <v>187</v>
      </c>
      <c r="C75" s="493"/>
      <c r="D75" s="294"/>
      <c r="E75" s="272">
        <f t="shared" si="1"/>
        <v>0</v>
      </c>
      <c r="F75" s="497"/>
    </row>
    <row r="76" spans="1:11" ht="12.75">
      <c r="A76" s="65" t="s">
        <v>482</v>
      </c>
      <c r="B76" s="8" t="s">
        <v>187</v>
      </c>
      <c r="C76" s="476"/>
      <c r="D76" s="294"/>
      <c r="E76" s="477">
        <f t="shared" si="1"/>
        <v>0</v>
      </c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487">
        <f>C70+C80</f>
        <v>79030</v>
      </c>
      <c r="D82" s="251">
        <f>D70+D80</f>
        <v>0</v>
      </c>
      <c r="E82" s="251">
        <f>E70+E80</f>
        <v>79030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3">
        <v>52729</v>
      </c>
      <c r="D97" s="294"/>
      <c r="E97" s="272">
        <f>+C97-D97</f>
        <v>52729</v>
      </c>
      <c r="F97" s="497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493">
        <v>0</v>
      </c>
      <c r="D98" s="294"/>
      <c r="E98" s="272">
        <f>+C98-D98</f>
        <v>0</v>
      </c>
      <c r="F98" s="497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G107" s="45"/>
      <c r="H107" s="45"/>
      <c r="I107" s="45"/>
      <c r="J107" s="45"/>
      <c r="K107" s="45"/>
    </row>
    <row r="108" spans="1:11" ht="15">
      <c r="A108" s="465" t="s">
        <v>397</v>
      </c>
      <c r="B108" s="8"/>
      <c r="C108" s="254">
        <f>'TAXREC 3 No True-Up'!C73</f>
        <v>43570</v>
      </c>
      <c r="D108" s="254">
        <f>'TAXREC 3 No True-Up'!D73</f>
        <v>0</v>
      </c>
      <c r="E108" s="272">
        <f t="shared" si="5"/>
        <v>43570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G110" s="503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96299</v>
      </c>
      <c r="D113" s="251">
        <f>SUM(D97:D111)</f>
        <v>0</v>
      </c>
      <c r="E113" s="251">
        <f>SUM(E97:E111)</f>
        <v>96299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>
        <v>0</v>
      </c>
      <c r="D117" s="294"/>
      <c r="E117" s="272">
        <f>+C117-D117</f>
        <v>0</v>
      </c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96299</v>
      </c>
      <c r="D122" s="251">
        <f>D113+D120</f>
        <v>0</v>
      </c>
      <c r="E122" s="251">
        <f>+E113+E120</f>
        <v>96299</v>
      </c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503" t="s">
        <v>102</v>
      </c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63730</v>
      </c>
      <c r="D134" s="251">
        <f>D53+D82-D122</f>
        <v>0</v>
      </c>
      <c r="E134" s="251">
        <f>E53+E82-E122</f>
        <v>63730</v>
      </c>
      <c r="F134" s="497" t="s">
        <v>502</v>
      </c>
      <c r="G134" s="519" t="s">
        <v>508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503"/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310">
        <v>42360</v>
      </c>
      <c r="D136" s="294"/>
      <c r="E136" s="264">
        <f>C136-D136</f>
        <v>42360</v>
      </c>
      <c r="G136" s="30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508"/>
      <c r="D137" s="310"/>
      <c r="E137" s="393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508"/>
      <c r="D138" s="310"/>
      <c r="E138" s="393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509">
        <f>C134-C136-C137-C138</f>
        <v>21370</v>
      </c>
      <c r="D139" s="252">
        <f>D134-D136-D137-D138</f>
        <v>0</v>
      </c>
      <c r="E139" s="252">
        <f>E134-E136-E137-E138</f>
        <v>21370</v>
      </c>
      <c r="G139" s="33"/>
      <c r="H139" s="45"/>
      <c r="I139" s="45"/>
      <c r="J139" s="45"/>
      <c r="K139" s="45"/>
    </row>
    <row r="140" spans="1:11" ht="12.75">
      <c r="A140" s="46"/>
      <c r="B140" s="8"/>
      <c r="C140" s="510"/>
      <c r="D140" s="88"/>
      <c r="E140" s="8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11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512">
        <v>5582</v>
      </c>
      <c r="D142" s="491"/>
      <c r="E142" s="252">
        <f>C142-D142</f>
        <v>5582</v>
      </c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512">
        <v>2671</v>
      </c>
      <c r="D143" s="298"/>
      <c r="E143" s="292">
        <f>C143-D143</f>
        <v>2671</v>
      </c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509">
        <f>C142+C143</f>
        <v>8253</v>
      </c>
      <c r="D144" s="252">
        <f>D142+D143</f>
        <v>0</v>
      </c>
      <c r="E144" s="252">
        <f>E142+E143</f>
        <v>8253</v>
      </c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513">
        <v>0</v>
      </c>
      <c r="D145" s="298"/>
      <c r="E145" s="293">
        <f>C145-D145</f>
        <v>0</v>
      </c>
      <c r="G145" s="503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509">
        <f>C144-C145</f>
        <v>8253</v>
      </c>
      <c r="D146" s="252">
        <f>D144-D145</f>
        <v>0</v>
      </c>
      <c r="E146" s="252">
        <f>E144-E145</f>
        <v>8253</v>
      </c>
      <c r="G146" s="45"/>
      <c r="H146" s="45"/>
      <c r="I146" s="45"/>
      <c r="J146" s="45"/>
      <c r="K146" s="45"/>
    </row>
    <row r="147" spans="2:11" ht="12.75">
      <c r="B147" s="8"/>
      <c r="C147" s="511"/>
      <c r="D147" s="5"/>
      <c r="E147" s="5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11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514">
        <f>+C142/C139</f>
        <v>0.2612072999532054</v>
      </c>
      <c r="D149" s="489"/>
      <c r="E149" s="404">
        <f>C149</f>
        <v>0.2612072999532054</v>
      </c>
      <c r="G149" s="45" t="s">
        <v>471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514">
        <f>+C143/C139</f>
        <v>0.12498830135704259</v>
      </c>
      <c r="D150" s="489"/>
      <c r="E150" s="404">
        <f>C150</f>
        <v>0.12498830135704259</v>
      </c>
      <c r="G150" s="45" t="s">
        <v>472</v>
      </c>
      <c r="H150" s="45"/>
      <c r="I150" s="45"/>
      <c r="J150" s="45"/>
      <c r="K150" s="45"/>
    </row>
    <row r="151" spans="1:11" ht="12.75">
      <c r="A151" t="s">
        <v>333</v>
      </c>
      <c r="B151" s="8"/>
      <c r="C151" s="515">
        <f>SUM(C149:C150)</f>
        <v>0.386195601310248</v>
      </c>
      <c r="D151" s="480" t="s">
        <v>490</v>
      </c>
      <c r="E151" s="404">
        <f>SUM(E149:E150)</f>
        <v>0.386195601310248</v>
      </c>
      <c r="G151" s="45"/>
      <c r="H151" s="45"/>
      <c r="I151" s="45"/>
      <c r="J151" s="45"/>
      <c r="K151" s="45"/>
    </row>
    <row r="152" spans="2:11" ht="12.75">
      <c r="B152" s="8"/>
      <c r="C152" s="511"/>
      <c r="D152" s="5"/>
      <c r="E152" s="5"/>
      <c r="G152" s="45"/>
      <c r="H152" s="45"/>
      <c r="I152" s="45"/>
      <c r="J152" s="45"/>
      <c r="K152" s="45"/>
    </row>
    <row r="153" spans="1:3" ht="12.75">
      <c r="A153" s="14" t="s">
        <v>359</v>
      </c>
      <c r="B153" s="8"/>
      <c r="C153" s="496"/>
    </row>
    <row r="154" spans="1:3" ht="12.75">
      <c r="A154" s="14"/>
      <c r="B154" s="8"/>
      <c r="C154" s="496"/>
    </row>
    <row r="155" spans="1:3" ht="12.75">
      <c r="A155" s="2" t="s">
        <v>487</v>
      </c>
      <c r="B155" s="8"/>
      <c r="C155" s="496"/>
    </row>
    <row r="156" spans="1:5" ht="12.75">
      <c r="A156" t="s">
        <v>219</v>
      </c>
      <c r="B156" s="86" t="s">
        <v>187</v>
      </c>
      <c r="C156" s="516">
        <f>C146</f>
        <v>8253</v>
      </c>
      <c r="D156" s="251">
        <f>D146</f>
        <v>0</v>
      </c>
      <c r="E156" s="251">
        <f>E146</f>
        <v>8253</v>
      </c>
    </row>
    <row r="157" spans="1:5" ht="12.75">
      <c r="A157" t="s">
        <v>20</v>
      </c>
      <c r="B157" s="86" t="s">
        <v>187</v>
      </c>
      <c r="C157" s="517">
        <v>4474</v>
      </c>
      <c r="D157" s="251"/>
      <c r="E157" s="251">
        <f>C157+D157</f>
        <v>4474</v>
      </c>
    </row>
    <row r="158" spans="1:5" ht="12.75">
      <c r="A158" t="s">
        <v>218</v>
      </c>
      <c r="B158" s="86" t="s">
        <v>187</v>
      </c>
      <c r="C158" s="507">
        <v>3260</v>
      </c>
      <c r="D158" s="251"/>
      <c r="E158" s="251">
        <f>C158+D158</f>
        <v>3260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15987</v>
      </c>
      <c r="D160" s="251">
        <f>D156+D157+D158</f>
        <v>0</v>
      </c>
      <c r="E160" s="251">
        <f>E156+E157+E158</f>
        <v>15987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fitToWidth="1" horizontalDpi="600" verticalDpi="600" orientation="portrait" scale="59" r:id="rId1"/>
  <headerFooter alignWithMargins="0">
    <oddHeader>&amp;C&amp;F  &amp;A</oddHeader>
    <oddFooter>&amp;C&amp;P of &amp;N&amp;R&amp;"Arial,Bold"&amp;9&amp;A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EB-2011-0207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Lakefield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451</v>
      </c>
      <c r="B47" s="61"/>
      <c r="C47" s="294"/>
      <c r="D47" s="294"/>
      <c r="E47" s="251">
        <f t="shared" si="2"/>
        <v>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451</v>
      </c>
      <c r="B59" s="61"/>
      <c r="C59" s="294"/>
      <c r="D59" s="294"/>
      <c r="E59" s="251">
        <f t="shared" si="3"/>
        <v>0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8" r:id="rId1"/>
  <headerFooter alignWithMargins="0">
    <oddHeader>&amp;C&amp;F  &amp;A</oddHeader>
    <oddFooter>&amp;C&amp;P of &amp;N&amp;R&amp;"Arial,Bold"&amp;9&amp;A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94" sqref="A9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EB-2011-0207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468</v>
      </c>
      <c r="B5" s="8"/>
      <c r="C5" s="8" t="s">
        <v>2</v>
      </c>
      <c r="D5" s="8"/>
      <c r="E5" s="8"/>
      <c r="F5" s="8"/>
    </row>
    <row r="6" spans="1:6" ht="12.75">
      <c r="A6" s="414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Lakefield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480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485"/>
      <c r="B37" t="s">
        <v>187</v>
      </c>
      <c r="C37" s="294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0"/>
      <c r="B41" t="s">
        <v>187</v>
      </c>
      <c r="C41" s="488">
        <v>0</v>
      </c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4">
        <v>0</v>
      </c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5" t="s">
        <v>510</v>
      </c>
      <c r="B92" s="8" t="s">
        <v>188</v>
      </c>
      <c r="C92" s="294"/>
      <c r="D92" s="294"/>
      <c r="E92" s="251"/>
    </row>
    <row r="93" spans="1:5" ht="12.75">
      <c r="A93" s="490"/>
      <c r="B93" s="8" t="s">
        <v>188</v>
      </c>
      <c r="C93" s="488"/>
      <c r="D93" s="294"/>
      <c r="E93" s="251">
        <f t="shared" si="5"/>
        <v>0</v>
      </c>
    </row>
    <row r="94" spans="1:5" ht="12.75">
      <c r="A94" s="485" t="s">
        <v>501</v>
      </c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481</v>
      </c>
      <c r="B96" s="8" t="s">
        <v>188</v>
      </c>
      <c r="C96" s="294"/>
      <c r="D96" s="294"/>
      <c r="E96" s="251">
        <f t="shared" si="5"/>
        <v>0</v>
      </c>
    </row>
    <row r="97" spans="2:5" ht="12.75"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6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 t="shared" si="6"/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 t="shared" si="6"/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 t="shared" si="6"/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 t="shared" si="6"/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 t="shared" si="6"/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IF($E97&gt;$C$11,'TAXREC 3 No True-Up'!A69,"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headerFooter alignWithMargins="0">
    <oddHeader>&amp;C&amp;F &amp;A</oddHeader>
    <oddFooter>&amp;C&amp;P of &amp;N&amp;R&amp;"Arial,Bold"&amp;9&amp;A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61" sqref="F61:F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EB-2011-0207</v>
      </c>
    </row>
    <row r="3" spans="1:5" ht="12.75">
      <c r="A3" s="2" t="s">
        <v>387</v>
      </c>
      <c r="E3" s="92"/>
    </row>
    <row r="4" spans="1:6" ht="15.75">
      <c r="A4" s="462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Lakefield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6" ht="15">
      <c r="A32" s="67" t="s">
        <v>435</v>
      </c>
      <c r="B32" t="s">
        <v>187</v>
      </c>
      <c r="C32" s="295"/>
      <c r="D32" s="295"/>
      <c r="E32" s="312">
        <f t="shared" si="0"/>
        <v>0</v>
      </c>
      <c r="F32" s="502"/>
    </row>
    <row r="33" spans="1:5" ht="12.75">
      <c r="A33" s="67" t="s">
        <v>436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96" t="s">
        <v>500</v>
      </c>
      <c r="B44" t="s">
        <v>187</v>
      </c>
      <c r="C44" s="488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7" t="s">
        <v>399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6" ht="15">
      <c r="A64" s="466" t="s">
        <v>396</v>
      </c>
      <c r="B64" s="8" t="s">
        <v>188</v>
      </c>
      <c r="C64" s="488">
        <v>0</v>
      </c>
      <c r="D64" s="294"/>
      <c r="E64" s="251">
        <f t="shared" si="2"/>
        <v>0</v>
      </c>
      <c r="F64" s="502"/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6" t="s">
        <v>389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6" ht="15">
      <c r="A69" s="490" t="s">
        <v>505</v>
      </c>
      <c r="B69" s="8" t="s">
        <v>188</v>
      </c>
      <c r="C69" s="488">
        <v>17344</v>
      </c>
      <c r="D69" s="294"/>
      <c r="E69" s="251">
        <f t="shared" si="2"/>
        <v>17344</v>
      </c>
      <c r="F69" s="502"/>
    </row>
    <row r="70" spans="1:6" ht="15">
      <c r="A70" s="490" t="s">
        <v>506</v>
      </c>
      <c r="B70" s="8" t="s">
        <v>188</v>
      </c>
      <c r="C70" s="488">
        <v>26226</v>
      </c>
      <c r="D70" s="294"/>
      <c r="E70" s="251">
        <f t="shared" si="2"/>
        <v>26226</v>
      </c>
      <c r="F70" s="502"/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6" t="s">
        <v>398</v>
      </c>
      <c r="B73" s="8" t="s">
        <v>189</v>
      </c>
      <c r="C73" s="251">
        <f>SUM(C51:C72)</f>
        <v>43570</v>
      </c>
      <c r="D73" s="251">
        <f>SUM(D51:D72)</f>
        <v>0</v>
      </c>
      <c r="E73" s="251">
        <f>SUM(E51:E72)</f>
        <v>43570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&amp;C&amp;F &amp;A</oddHeader>
    <oddFooter>&amp;C&amp;P of &amp;N&amp;R&amp;"Arial,Bold"&amp;9&amp;A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C52" sqref="C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0.421875" style="8" bestFit="1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EB-2011-0207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Lakefield Distribution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9" t="s">
        <v>492</v>
      </c>
      <c r="B8" s="530"/>
      <c r="C8" s="530"/>
      <c r="D8" s="530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5" t="s">
        <v>474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6" t="s">
        <v>475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3" t="s">
        <v>494</v>
      </c>
      <c r="B23" s="524"/>
      <c r="C23" s="524"/>
      <c r="D23" s="524"/>
      <c r="E23" s="524"/>
      <c r="F23" s="524"/>
      <c r="G23" s="436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1" t="s">
        <v>486</v>
      </c>
      <c r="B26" s="532"/>
      <c r="C26" s="532"/>
      <c r="D26" s="532"/>
      <c r="E26" s="532"/>
      <c r="F26" s="53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111</v>
      </c>
      <c r="D28" s="369"/>
      <c r="E28" s="369" t="s">
        <v>111</v>
      </c>
      <c r="F28" s="370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8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8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483</v>
      </c>
      <c r="B39" s="405" t="s">
        <v>474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484</v>
      </c>
      <c r="B40" s="406" t="s">
        <v>475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5" t="s">
        <v>337</v>
      </c>
      <c r="B41" s="524"/>
      <c r="C41" s="524"/>
      <c r="D41" s="524"/>
      <c r="E41" s="524"/>
      <c r="F41" s="52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6"/>
      <c r="B42" s="526"/>
      <c r="C42" s="526"/>
      <c r="D42" s="526"/>
      <c r="E42" s="526"/>
      <c r="F42" s="52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485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0.2612</v>
      </c>
      <c r="F50" s="352">
        <v>0.2612</v>
      </c>
      <c r="G50" s="194"/>
      <c r="H50" s="482"/>
      <c r="I50" s="482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0.125</v>
      </c>
      <c r="F51" s="354">
        <v>0.125</v>
      </c>
      <c r="G51" s="194"/>
      <c r="H51" s="482"/>
      <c r="I51" s="482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0.3862</v>
      </c>
      <c r="F52" s="332">
        <f>SUM(F50:F51)</f>
        <v>0.3862</v>
      </c>
      <c r="G52" s="194"/>
      <c r="H52" s="482"/>
      <c r="I52" s="482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352</v>
      </c>
      <c r="B57" s="405" t="s">
        <v>474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353</v>
      </c>
      <c r="B58" s="406" t="s">
        <v>475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3" t="s">
        <v>354</v>
      </c>
      <c r="B59" s="527"/>
      <c r="C59" s="527"/>
      <c r="D59" s="527"/>
      <c r="E59" s="527"/>
      <c r="F59" s="52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8"/>
      <c r="B60" s="528"/>
      <c r="C60" s="528"/>
      <c r="D60" s="528"/>
      <c r="E60" s="528"/>
      <c r="F60" s="52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91" bottom="0.35" header="0.19" footer="0"/>
  <pageSetup fitToHeight="1" fitToWidth="1" horizontalDpi="600" verticalDpi="600" orientation="portrait" scale="73" r:id="rId1"/>
  <headerFooter alignWithMargins="0">
    <oddHeader>&amp;C&amp;F &amp;A</oddHeader>
    <oddFooter>&amp;C&amp;P of &amp;N&amp;R&amp;"Arial,Bold"&amp;9&amp;A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EB-2011-0207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Lakefield Distribution Inc.</v>
      </c>
      <c r="O3" s="415" t="str">
        <f>REGINFO!E1</f>
        <v>Version 2009.1</v>
      </c>
    </row>
    <row r="4" spans="1:15" ht="12.75">
      <c r="A4" s="2" t="str">
        <f>REGINFO!A4</f>
        <v>Reporting period:  2002</v>
      </c>
      <c r="E4" s="416" t="s">
        <v>323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400</v>
      </c>
      <c r="B12" s="66" t="s">
        <v>190</v>
      </c>
      <c r="C12" s="395">
        <v>0</v>
      </c>
      <c r="D12" s="391"/>
      <c r="E12" s="395"/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442</v>
      </c>
      <c r="B13" s="66"/>
      <c r="C13" s="395"/>
      <c r="D13" s="391"/>
      <c r="E13" s="395"/>
      <c r="F13" s="95"/>
      <c r="G13" s="395"/>
      <c r="H13" s="95"/>
      <c r="I13" s="395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401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402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505">
        <f>TAXCALC!E132</f>
        <v>0</v>
      </c>
      <c r="N15" s="391"/>
      <c r="O15" s="396">
        <f t="shared" si="0"/>
        <v>0</v>
      </c>
    </row>
    <row r="16" spans="1:15" ht="27" customHeight="1">
      <c r="A16" s="81" t="s">
        <v>403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404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505">
        <f>TAXCALC!E181</f>
        <v>1312.8389999999986</v>
      </c>
      <c r="N17" s="391"/>
      <c r="O17" s="396">
        <f t="shared" si="0"/>
        <v>1312.8389999999986</v>
      </c>
    </row>
    <row r="18" spans="1:15" ht="25.5">
      <c r="A18" s="81" t="s">
        <v>405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0" t="s">
        <v>406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473</v>
      </c>
      <c r="B20" s="66" t="s">
        <v>188</v>
      </c>
      <c r="C20" s="395"/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376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1312.8389999999986</v>
      </c>
      <c r="N22" s="390"/>
      <c r="O22" s="448">
        <f>SUM(O11:O20)</f>
        <v>1312.8389999999986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8"/>
      <c r="M23" s="440"/>
      <c r="N23" s="188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407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8"/>
      <c r="M27" s="188"/>
      <c r="N27" s="188"/>
      <c r="O27" s="188"/>
    </row>
    <row r="28" spans="1:15" ht="12.75">
      <c r="A28" s="431" t="s">
        <v>408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8"/>
      <c r="M28" s="188"/>
      <c r="N28" s="188"/>
      <c r="O28" s="188"/>
    </row>
    <row r="29" spans="1:15" ht="12.75">
      <c r="A29" s="434" t="s">
        <v>409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8"/>
      <c r="M29" s="188"/>
      <c r="N29" s="188"/>
      <c r="O29" s="188"/>
    </row>
    <row r="30" spans="1:15" ht="9" customHeight="1">
      <c r="A30" s="188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8"/>
      <c r="M30" s="188"/>
      <c r="N30" s="188"/>
      <c r="O30" s="188"/>
    </row>
    <row r="31" spans="1:15" ht="12.75">
      <c r="A31" s="449" t="s">
        <v>410</v>
      </c>
      <c r="B31" s="80"/>
      <c r="C31" s="80"/>
      <c r="D31" s="80"/>
      <c r="E31" s="80"/>
      <c r="F31" s="80"/>
      <c r="G31" s="80"/>
      <c r="H31" s="80"/>
      <c r="I31" s="445"/>
      <c r="J31" s="445"/>
      <c r="K31" s="445">
        <v>3</v>
      </c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34" t="s">
        <v>411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19"/>
      <c r="Q33" s="419"/>
      <c r="R33" s="419"/>
      <c r="S33" s="419"/>
    </row>
    <row r="34" spans="1:19" ht="12.75">
      <c r="A34" s="533" t="s">
        <v>412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19"/>
      <c r="Q34" s="419"/>
      <c r="R34" s="419"/>
      <c r="S34" s="419"/>
    </row>
    <row r="35" spans="1:19" ht="12.75">
      <c r="A35" s="533" t="s">
        <v>433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419"/>
      <c r="Q35" s="419"/>
      <c r="R35" s="419"/>
      <c r="S35" s="419"/>
    </row>
    <row r="36" spans="1:19" ht="12.75">
      <c r="A36" s="533" t="s">
        <v>413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419"/>
      <c r="Q36" s="419"/>
      <c r="R36" s="419"/>
      <c r="S36" s="419"/>
    </row>
    <row r="37" spans="1:19" ht="12.75">
      <c r="A37" s="435" t="s">
        <v>373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9"/>
      <c r="Q37" s="419"/>
      <c r="R37" s="419"/>
      <c r="S37" s="419"/>
    </row>
    <row r="38" spans="1:19" ht="12.75">
      <c r="A38" s="435" t="s">
        <v>374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9"/>
      <c r="Q38" s="419"/>
      <c r="R38" s="419"/>
      <c r="S38" s="419"/>
    </row>
    <row r="39" spans="1:19" ht="12.75">
      <c r="A39" s="435" t="s">
        <v>414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9"/>
      <c r="Q39" s="419"/>
      <c r="R39" s="419"/>
      <c r="S39" s="419"/>
    </row>
    <row r="40" spans="1:19" ht="12.75">
      <c r="A40" s="435" t="s">
        <v>415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9"/>
      <c r="Q40" s="419"/>
      <c r="R40" s="419"/>
      <c r="S40" s="419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9"/>
      <c r="Q41" s="419"/>
      <c r="R41" s="419"/>
      <c r="S41" s="419"/>
    </row>
    <row r="42" spans="1:15" ht="12.75">
      <c r="A42" s="437" t="s">
        <v>416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8"/>
      <c r="M42" s="188"/>
      <c r="N42" s="188"/>
      <c r="O42" s="188"/>
    </row>
    <row r="43" spans="1:15" ht="12.75">
      <c r="A43" s="432" t="s">
        <v>417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8"/>
      <c r="M43" s="188"/>
      <c r="N43" s="188"/>
      <c r="O43" s="188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8"/>
      <c r="M44" s="188"/>
      <c r="N44" s="188"/>
      <c r="O44" s="188"/>
    </row>
    <row r="45" spans="1:15" ht="12.75">
      <c r="A45" s="437" t="s">
        <v>418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8"/>
      <c r="M45" s="188"/>
      <c r="N45" s="188"/>
      <c r="O45" s="188"/>
    </row>
    <row r="46" spans="1:15" ht="12.75">
      <c r="A46" s="432" t="s">
        <v>419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8"/>
      <c r="M46" s="188"/>
      <c r="N46" s="188"/>
      <c r="O46" s="188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8"/>
      <c r="M47" s="188"/>
      <c r="N47" s="188"/>
      <c r="O47" s="188"/>
    </row>
    <row r="48" spans="1:15" ht="12.75">
      <c r="A48" s="437" t="s">
        <v>420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8"/>
      <c r="M48" s="188"/>
      <c r="N48" s="188"/>
      <c r="O48" s="188"/>
    </row>
    <row r="49" spans="1:15" ht="12.75">
      <c r="A49" s="432" t="s">
        <v>421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8"/>
      <c r="M49" s="188"/>
      <c r="N49" s="188"/>
      <c r="O49" s="188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8"/>
      <c r="M50" s="188"/>
      <c r="N50" s="188"/>
      <c r="O50" s="188"/>
    </row>
    <row r="51" spans="1:15" ht="12.75">
      <c r="A51" s="437" t="s">
        <v>422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8"/>
      <c r="M51" s="188"/>
      <c r="N51" s="188"/>
      <c r="O51" s="188"/>
    </row>
    <row r="52" spans="1:15" ht="12.75">
      <c r="A52" s="432" t="s">
        <v>419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8"/>
      <c r="M52" s="188"/>
      <c r="N52" s="188"/>
      <c r="O52" s="188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8"/>
      <c r="M53" s="188"/>
      <c r="N53" s="188"/>
      <c r="O53" s="188"/>
    </row>
    <row r="54" spans="1:15" ht="12.75">
      <c r="A54" s="432" t="s">
        <v>423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8"/>
      <c r="M54" s="188"/>
      <c r="N54" s="188"/>
      <c r="O54" s="188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8"/>
      <c r="M55" s="188"/>
      <c r="N55" s="188"/>
      <c r="O55" s="188"/>
    </row>
    <row r="56" spans="1:15" ht="12.75" customHeight="1">
      <c r="A56" s="437" t="s">
        <v>424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8"/>
      <c r="M56" s="188"/>
      <c r="N56" s="188"/>
      <c r="O56" s="188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8"/>
      <c r="M57" s="188"/>
      <c r="N57" s="188"/>
      <c r="O57" s="188"/>
    </row>
    <row r="58" spans="1:15" ht="12.75">
      <c r="A58" s="432" t="s">
        <v>425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8"/>
      <c r="M58" s="188"/>
      <c r="N58" s="188"/>
      <c r="O58" s="188"/>
    </row>
    <row r="59" spans="1:15" ht="12.75">
      <c r="A59" s="432" t="s">
        <v>426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8"/>
      <c r="M59" s="188"/>
      <c r="N59" s="188"/>
      <c r="O59" s="188"/>
    </row>
    <row r="60" spans="1:15" ht="12.75">
      <c r="A60" s="432" t="s">
        <v>427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8"/>
      <c r="M60" s="188"/>
      <c r="N60" s="188"/>
      <c r="O60" s="188"/>
    </row>
    <row r="61" spans="1:15" ht="12.75">
      <c r="A61" s="432" t="s">
        <v>383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8"/>
      <c r="M61" s="188"/>
      <c r="N61" s="188"/>
      <c r="O61" s="188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8"/>
      <c r="M62" s="188"/>
      <c r="N62" s="188"/>
      <c r="O62" s="188"/>
    </row>
    <row r="63" spans="1:15" ht="12.75">
      <c r="A63" s="432" t="s">
        <v>428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8"/>
      <c r="M63" s="188"/>
      <c r="N63" s="188"/>
      <c r="O63" s="188"/>
    </row>
    <row r="64" spans="1:15" ht="12.75">
      <c r="A64" s="432" t="s">
        <v>429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8"/>
      <c r="M64" s="188"/>
      <c r="N64" s="188"/>
      <c r="O64" s="188"/>
    </row>
    <row r="65" spans="1:15" ht="12.75">
      <c r="A65" s="432" t="s">
        <v>385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8"/>
      <c r="M65" s="188"/>
      <c r="N65" s="188"/>
      <c r="O65" s="188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8"/>
      <c r="M66" s="188"/>
      <c r="N66" s="188"/>
      <c r="O66" s="188"/>
    </row>
    <row r="67" spans="1:15" ht="12.75">
      <c r="A67" s="432" t="s">
        <v>384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8"/>
      <c r="M67" s="188"/>
      <c r="N67" s="188"/>
      <c r="O67" s="188"/>
    </row>
    <row r="68" spans="1:15" ht="12.75">
      <c r="A68" s="432" t="s">
        <v>386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8"/>
      <c r="M68" s="188"/>
      <c r="N68" s="188"/>
      <c r="O68" s="188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8"/>
      <c r="M69" s="188"/>
      <c r="N69" s="188"/>
      <c r="O69" s="188"/>
    </row>
    <row r="70" spans="1:15" ht="12.75">
      <c r="A70" s="432" t="s">
        <v>430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8"/>
      <c r="M70" s="188"/>
      <c r="N70" s="188"/>
      <c r="O70" s="188"/>
    </row>
    <row r="71" spans="1:15" ht="12.75">
      <c r="A71" s="432" t="s">
        <v>431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8"/>
      <c r="M71" s="188"/>
      <c r="N71" s="188"/>
      <c r="O71" s="188"/>
    </row>
    <row r="72" spans="1:15" ht="12.75">
      <c r="A72" s="432" t="s">
        <v>432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8"/>
      <c r="M72" s="188"/>
      <c r="N72" s="188"/>
      <c r="O72" s="188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8"/>
      <c r="M73" s="188"/>
      <c r="N73" s="188"/>
      <c r="O73" s="188"/>
    </row>
    <row r="74" spans="1:15" ht="12.75" customHeight="1">
      <c r="A74" s="533" t="s">
        <v>462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</row>
    <row r="75" spans="1:15" ht="12.75">
      <c r="A75" s="432" t="s">
        <v>375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8"/>
      <c r="M75" s="188"/>
      <c r="N75" s="188"/>
      <c r="O75" s="188"/>
    </row>
    <row r="76" spans="1:15" ht="12.75">
      <c r="A76" s="188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8"/>
      <c r="M76" s="188"/>
      <c r="N76" s="188"/>
      <c r="O76" s="188"/>
    </row>
    <row r="77" spans="1:15" ht="12.75">
      <c r="A77" s="188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8"/>
      <c r="M77" s="188"/>
      <c r="N77" s="188"/>
      <c r="O77" s="188"/>
    </row>
    <row r="78" spans="1:17" ht="12.75">
      <c r="A78" s="188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8"/>
      <c r="O78" s="188"/>
      <c r="P78" s="188"/>
      <c r="Q78" s="188"/>
    </row>
    <row r="79" spans="1:17" ht="12.75">
      <c r="A79" s="188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8"/>
      <c r="O79" s="188"/>
      <c r="P79" s="188"/>
      <c r="Q79" s="188"/>
    </row>
    <row r="80" spans="1:17" ht="12.75">
      <c r="A80" s="188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8"/>
      <c r="O80" s="188"/>
      <c r="P80" s="188"/>
      <c r="Q80" s="188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8"/>
      <c r="O81" s="188"/>
      <c r="P81" s="188"/>
      <c r="Q81" s="188"/>
    </row>
    <row r="82" spans="1:17" ht="12.75">
      <c r="A82" s="188"/>
      <c r="B82" s="188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8"/>
      <c r="O82" s="188"/>
      <c r="P82" s="188"/>
      <c r="Q82" s="188"/>
    </row>
    <row r="83" spans="1:17" ht="12.75">
      <c r="A83" s="188"/>
      <c r="B83" s="188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8"/>
      <c r="O83" s="188"/>
      <c r="P83" s="188"/>
      <c r="Q83" s="188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8"/>
      <c r="O84" s="188"/>
      <c r="P84" s="188"/>
      <c r="Q84" s="188"/>
    </row>
    <row r="85" spans="1:17" ht="12.75">
      <c r="A85" s="188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8"/>
      <c r="O85" s="188"/>
      <c r="P85" s="188"/>
      <c r="Q85" s="188"/>
    </row>
    <row r="86" spans="1:17" ht="12.75">
      <c r="A86" s="188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8"/>
      <c r="O86" s="188"/>
      <c r="P86" s="188"/>
      <c r="Q86" s="188"/>
    </row>
    <row r="87" spans="1:17" ht="12.75">
      <c r="A87" s="188"/>
      <c r="B87" s="188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8"/>
      <c r="O87" s="188"/>
      <c r="P87" s="188"/>
      <c r="Q87" s="188"/>
    </row>
    <row r="88" spans="1:17" ht="12.75">
      <c r="A88" s="188"/>
      <c r="B88" s="188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8"/>
      <c r="O88" s="188"/>
      <c r="P88" s="188"/>
      <c r="Q88" s="188"/>
    </row>
    <row r="89" spans="1:17" ht="12.75">
      <c r="A89" s="188"/>
      <c r="B89" s="188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8"/>
      <c r="O89" s="188"/>
      <c r="P89" s="188"/>
      <c r="Q89" s="188"/>
    </row>
    <row r="90" spans="1:17" ht="12.75">
      <c r="A90" s="188"/>
      <c r="B90" s="188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8"/>
      <c r="O90" s="188"/>
      <c r="P90" s="188"/>
      <c r="Q90" s="188"/>
    </row>
    <row r="91" spans="1:17" ht="12.75">
      <c r="A91" s="188"/>
      <c r="B91" s="188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8"/>
      <c r="O91" s="188"/>
      <c r="P91" s="188"/>
      <c r="Q91" s="188"/>
    </row>
    <row r="92" spans="1:17" ht="12.75">
      <c r="A92" s="188"/>
      <c r="B92" s="188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</row>
    <row r="93" spans="1:17" ht="12.75">
      <c r="A93" s="188"/>
      <c r="B93" s="188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68" r:id="rId1"/>
  <headerFooter alignWithMargins="0">
    <oddHeader>&amp;C&amp;F &amp;A</oddHeader>
    <oddFooter>&amp;C&amp;P of &amp;N&amp;R&amp;"Arial,Bold"&amp;9&amp;A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2012-03-23T15:46:52Z</cp:lastPrinted>
  <dcterms:created xsi:type="dcterms:W3CDTF">2001-11-07T16:15:53Z</dcterms:created>
  <dcterms:modified xsi:type="dcterms:W3CDTF">2012-03-23T15:46:58Z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