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9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TAXCALC 2003" sheetId="8" r:id="rId8"/>
    <sheet name="Tax Rates 2003" sheetId="9" r:id="rId9"/>
    <sheet name="PILs 1562 Calculation" sheetId="10" r:id="rId10"/>
  </sheets>
  <externalReferences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9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8">'Tax Rates 2003'!$A$1:$J$61</definedName>
    <definedName name="_xlnm.Print_Area" localSheetId="3">'Tax Reserves'!$A$1:$F$64</definedName>
    <definedName name="_xlnm.Print_Area" localSheetId="1">'TAXCALC'!$A$1:$H$211</definedName>
    <definedName name="_xlnm.Print_Area" localSheetId="7">'TAXCALC 2003'!$A$1:$H$211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7">'TAXCALC 2003'!$A:$A,'TAXCALC 2003'!$1:$13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<sst xmlns="http://schemas.openxmlformats.org/spreadsheetml/2006/main" count="1152" uniqueCount="503">
  <si>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</si>
  <si>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</si>
  <si>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</si>
  <si>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</si>
  <si>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</si>
  <si>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</si>
  <si>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</si>
  <si>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</si>
  <si>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</si>
  <si>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</si>
  <si>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</si>
  <si>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</si>
  <si>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</si>
  <si>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</si>
  <si>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</si>
  <si>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</si>
  <si>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</si>
  <si>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</si>
  <si>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</si>
  <si>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</si>
  <si>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</si>
  <si>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</si>
  <si>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</si>
  <si>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</si>
  <si>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</si>
  <si>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</si>
  <si>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</si>
  <si>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</si>
  <si>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</si>
  <si>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</si>
  <si>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</si>
  <si>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</si>
  <si>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</si>
  <si>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</si>
  <si>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</si>
  <si>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</si>
  <si>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</si>
  <si>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</si>
  <si>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</si>
  <si>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</si>
  <si>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</si>
  <si>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</si>
  <si>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</si>
  <si>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</si>
  <si>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</si>
  <si>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</si>
  <si>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</si>
  <si>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</si>
  <si>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</si>
  <si>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</si>
  <si>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</si>
  <si>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</si>
  <si>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</si>
  <si>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</si>
  <si>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</si>
  <si>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</si>
  <si>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</si>
  <si>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</si>
  <si>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</si>
  <si>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</si>
  <si>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</si>
  <si>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</si>
  <si>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</si>
  <si>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</si>
  <si>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</si>
  <si>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</si>
  <si>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</si>
  <si>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</si>
  <si>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</si>
  <si>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</si>
  <si>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</si>
  <si>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</si>
  <si>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</si>
  <si>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</si>
  <si>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</si>
  <si>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</si>
  <si>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</si>
  <si>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</si>
  <si>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</si>
  <si>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</si>
  <si>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</si>
  <si>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</si>
  <si>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</si>
  <si>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</si>
  <si>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</si>
  <si>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</si>
  <si>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</si>
  <si>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</si>
  <si>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</si>
  <si>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</si>
  <si>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</si>
  <si>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</si>
  <si>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</si>
  <si>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</si>
  <si>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</si>
  <si>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</si>
  <si>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</si>
  <si>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</si>
  <si>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</si>
  <si>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</si>
  <si>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</si>
  <si>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</si>
  <si>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</si>
  <si>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</si>
  <si>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</si>
  <si>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</si>
  <si>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</si>
  <si>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</si>
  <si>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</si>
  <si>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</si>
  <si>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</si>
  <si>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</si>
  <si>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</si>
  <si>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</si>
  <si>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</si>
  <si>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</si>
  <si>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</si>
  <si>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</si>
  <si>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</si>
  <si>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</si>
  <si>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</si>
  <si>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</si>
  <si>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</si>
  <si>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</si>
  <si>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</si>
  <si>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</si>
  <si>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</si>
  <si>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</si>
  <si>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</si>
  <si>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</si>
  <si>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</si>
  <si>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</si>
  <si>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</si>
  <si>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</si>
  <si>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</si>
  <si>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</si>
  <si>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</si>
  <si>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</si>
  <si>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</si>
  <si>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</si>
  <si>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</si>
  <si>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</si>
  <si>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</si>
  <si>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</si>
  <si>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</si>
  <si>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</si>
  <si>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</si>
  <si>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</si>
  <si>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</si>
  <si>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</si>
  <si>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</si>
  <si>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</si>
  <si>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</si>
  <si>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</si>
  <si>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</si>
  <si>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</si>
  <si>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</si>
  <si>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</si>
  <si>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</si>
  <si>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</si>
  <si>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</si>
  <si>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</si>
  <si>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</si>
  <si>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</si>
  <si>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</si>
  <si>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</si>
  <si>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</si>
  <si>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</si>
  <si>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</si>
  <si>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</si>
  <si>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</si>
  <si>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</si>
  <si>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</si>
  <si>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</si>
  <si>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</si>
  <si>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</si>
  <si>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</si>
  <si>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</si>
  <si>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</si>
  <si>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</si>
  <si>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</si>
  <si>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</si>
  <si>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</si>
  <si>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</si>
  <si>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</si>
  <si>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</si>
  <si>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</si>
  <si>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</si>
  <si>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</si>
  <si>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</si>
  <si>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</si>
  <si>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</si>
  <si>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</si>
  <si>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</si>
  <si>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</si>
  <si>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</si>
  <si>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</si>
  <si>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</si>
  <si>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</si>
  <si>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</si>
  <si>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</si>
  <si>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</si>
  <si>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</si>
  <si>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</si>
  <si>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</si>
  <si>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</si>
  <si>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</si>
  <si>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</si>
  <si>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</si>
  <si>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</si>
  <si>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</si>
  <si>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</si>
  <si>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</si>
  <si>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</si>
  <si>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</si>
  <si>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</si>
  <si>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</si>
  <si>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</si>
  <si>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</si>
  <si>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</si>
  <si>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</si>
  <si>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</si>
  <si>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</si>
  <si>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</si>
  <si>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</si>
  <si>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</si>
  <si>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</si>
  <si>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</si>
  <si>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</si>
  <si>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</si>
  <si>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</si>
  <si>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</si>
  <si>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</si>
  <si>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</si>
  <si>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</si>
  <si>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</si>
  <si>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</si>
  <si>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</si>
  <si>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</si>
  <si>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</si>
  <si>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</si>
  <si>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</si>
  <si>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</si>
  <si>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</si>
  <si>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</si>
  <si>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</si>
  <si>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</si>
  <si>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</si>
  <si>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</si>
  <si>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</si>
  <si>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</si>
  <si>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</si>
  <si>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</si>
  <si>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</si>
  <si>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</si>
  <si>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</si>
  <si>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</si>
  <si>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</si>
  <si>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</si>
  <si>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</si>
  <si>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</si>
  <si>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</si>
  <si>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</si>
  <si>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</si>
  <si>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</si>
  <si>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</si>
  <si>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</si>
  <si>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</si>
  <si>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</si>
  <si>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</si>
  <si>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</si>
  <si>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</si>
  <si>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</si>
  <si>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</si>
  <si>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</si>
  <si>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</si>
  <si>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</si>
  <si>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</si>
  <si>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</si>
  <si>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</si>
  <si>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</si>
  <si>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</si>
  <si>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</si>
  <si>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</si>
  <si>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</si>
  <si>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</si>
  <si>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</si>
  <si>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</si>
  <si>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</si>
  <si>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</si>
  <si>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</si>
  <si>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</si>
  <si>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</si>
  <si>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</si>
  <si>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</si>
  <si>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</si>
  <si>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</si>
  <si>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</si>
  <si>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</si>
  <si>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</si>
  <si>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</si>
  <si>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</si>
  <si>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</si>
  <si>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</si>
  <si>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</si>
  <si>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</si>
  <si>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</si>
  <si>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</si>
  <si>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</si>
  <si>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</si>
  <si>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</si>
  <si>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</si>
  <si>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</si>
  <si>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</si>
  <si>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</si>
  <si>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</si>
  <si>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</si>
  <si>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</si>
  <si>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</si>
  <si>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</si>
  <si>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</si>
  <si>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</si>
  <si>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</si>
  <si>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</si>
  <si>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</si>
  <si>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</si>
  <si>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</si>
  <si>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</si>
  <si>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</si>
  <si>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</si>
  <si>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</si>
  <si>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</si>
  <si>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</si>
  <si>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</si>
  <si>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</si>
  <si>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</si>
  <si>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</si>
  <si>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</si>
  <si>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</si>
  <si>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</si>
  <si>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</si>
  <si>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</si>
  <si>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</si>
  <si>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</si>
  <si>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</si>
  <si>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</si>
  <si>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</si>
  <si>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</si>
  <si>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</si>
  <si>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</si>
  <si>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</si>
  <si>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</si>
  <si>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</si>
  <si>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</si>
  <si>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</si>
  <si>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</si>
  <si>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</si>
  <si>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</si>
  <si>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</si>
  <si>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</si>
  <si>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</si>
  <si>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</si>
  <si>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</si>
  <si>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</si>
  <si>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</si>
  <si>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</si>
  <si>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</si>
  <si>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</si>
  <si>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</si>
  <si>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</si>
  <si>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</si>
  <si>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</si>
  <si>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</si>
  <si>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</si>
  <si>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</si>
  <si>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</si>
  <si>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</si>
  <si>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</si>
  <si>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</si>
  <si>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</si>
  <si>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</si>
  <si>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</si>
  <si>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</si>
  <si>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</si>
  <si>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</si>
  <si>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</si>
  <si>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</si>
  <si>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</si>
  <si>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</si>
  <si>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</si>
  <si>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</si>
  <si>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</si>
  <si>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</si>
  <si>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</si>
  <si>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</si>
  <si>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</si>
  <si>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</si>
  <si>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</si>
  <si>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</si>
  <si>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</si>
  <si>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</si>
  <si>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</si>
  <si>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</si>
  <si>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</si>
  <si>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</si>
  <si>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</si>
  <si>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</si>
  <si>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</si>
  <si>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</si>
  <si>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</si>
  <si>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</si>
  <si>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</si>
  <si>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</si>
  <si>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</si>
  <si>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</si>
  <si>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</si>
  <si>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</si>
  <si>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</si>
  <si>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</si>
  <si>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</si>
  <si>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</si>
  <si>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</si>
  <si>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</si>
  <si>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</si>
  <si>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</si>
  <si>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</si>
  <si>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</si>
  <si>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</si>
  <si>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</si>
  <si>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</si>
  <si>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</si>
  <si>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</si>
  <si>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</si>
  <si>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</si>
  <si>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</si>
  <si>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</si>
  <si>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</si>
  <si>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</si>
  <si>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</si>
  <si>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</si>
  <si>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</si>
  <si>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</si>
  <si>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</si>
  <si>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</si>
  <si>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</si>
  <si>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</si>
  <si>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</si>
  <si>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</si>
  <si>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</si>
  <si>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</si>
  <si>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</si>
  <si>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</si>
  <si>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</si>
  <si>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</si>
  <si>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</si>
  <si>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</si>
  <si>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</si>
  <si>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</si>
  <si>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</si>
  <si>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</si>
  <si>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</si>
  <si>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</si>
  <si>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</si>
  <si>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</si>
  <si>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</si>
  <si>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</si>
  <si>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</si>
  <si>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</si>
  <si>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</si>
  <si>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</si>
  <si>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</si>
  <si>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</si>
  <si>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</si>
  <si>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</si>
  <si>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</si>
  <si>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</si>
  <si>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</si>
  <si>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</si>
  <si>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</si>
  <si>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</si>
  <si>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</si>
  <si>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</si>
  <si>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</si>
  <si>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</si>
  <si>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</si>
  <si>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</si>
  <si>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</si>
  <si>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</si>
  <si>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</si>
  <si>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</si>
  <si>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</si>
  <si>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</si>
  <si>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Expected Income Tax Rates for 2002 and Capital Tax Exemptions for 2002</t>
  </si>
  <si>
    <t>PILs TAXES - EB-2011-0207</t>
  </si>
  <si>
    <t>interest expense incurred</t>
  </si>
  <si>
    <t>Changes in Regulatory Asset balances*</t>
  </si>
  <si>
    <t>*note: included in 2002 tax return reassessment</t>
  </si>
  <si>
    <t>1999 return (loss) from RUD Sheet #7</t>
  </si>
  <si>
    <t>Y</t>
  </si>
  <si>
    <t>Other items</t>
  </si>
  <si>
    <t>92 days / 365 days</t>
  </si>
  <si>
    <t>Utility Name:Lakefield Distribution Inc</t>
  </si>
  <si>
    <t>less $66 to = 2002 RAM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</si>
</sst>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0" fontId="8" fillId="0" borderId="0" xfId="0" applyFont="1" applyBorder="1" applyAlignment="1">
      <alignment vertical="top"/>
    </xf>
    <xf numFmtId="3" fontId="3" fillId="40" borderId="14" xfId="0" applyNumberFormat="1" applyFont="1" applyFill="1" applyBorder="1" applyAlignment="1" applyProtection="1">
      <alignment horizontal="right" vertical="top"/>
      <protection locked="0"/>
    </xf>
    <xf numFmtId="3" fontId="0" fillId="32" borderId="14" xfId="0" applyNumberFormat="1" applyFont="1" applyFill="1" applyBorder="1" applyAlignment="1" applyProtection="1" quotePrefix="1">
      <alignment vertical="top"/>
      <protection/>
    </xf>
    <xf numFmtId="3" fontId="0" fillId="13" borderId="14" xfId="0" applyNumberFormat="1" applyFill="1" applyBorder="1" applyAlignment="1" applyProtection="1">
      <alignment vertical="top"/>
      <protection/>
    </xf>
    <xf numFmtId="3" fontId="0" fillId="13" borderId="0" xfId="0" applyNumberFormat="1" applyFont="1" applyFill="1" applyBorder="1" applyAlignment="1">
      <alignment vertical="top"/>
    </xf>
    <xf numFmtId="3" fontId="0" fillId="13" borderId="14" xfId="0" applyNumberFormat="1" applyFont="1" applyFill="1" applyBorder="1" applyAlignment="1" applyProtection="1">
      <alignment vertical="top"/>
      <protection/>
    </xf>
    <xf numFmtId="3" fontId="0" fillId="13" borderId="0" xfId="0" applyNumberFormat="1" applyFont="1" applyFill="1" applyBorder="1" applyAlignment="1">
      <alignment vertical="top" wrapText="1"/>
    </xf>
    <xf numFmtId="3" fontId="0" fillId="44" borderId="14" xfId="0" applyNumberFormat="1" applyFont="1" applyFill="1" applyBorder="1" applyAlignment="1" applyProtection="1">
      <alignment horizontal="right" vertical="top"/>
      <protection locked="0"/>
    </xf>
    <xf numFmtId="37" fontId="0" fillId="40" borderId="14" xfId="0" applyNumberFormat="1" applyFont="1" applyFill="1" applyBorder="1" applyAlignment="1">
      <alignment vertical="top"/>
    </xf>
    <xf numFmtId="0" fontId="0" fillId="19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8" fillId="0" borderId="0" xfId="0" applyFont="1" applyBorder="1" applyAlignment="1" quotePrefix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493</v>
      </c>
      <c r="C1" s="8"/>
      <c r="E1" s="2" t="s">
        <v>454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5" t="s">
        <v>440</v>
      </c>
      <c r="E3" s="8"/>
      <c r="F3" s="8"/>
      <c r="G3" s="8"/>
      <c r="H3" s="8"/>
    </row>
    <row r="4" spans="1:8" ht="12.75">
      <c r="A4" s="2" t="s">
        <v>465</v>
      </c>
      <c r="C4" s="8"/>
      <c r="D4" s="454" t="s">
        <v>435</v>
      </c>
      <c r="E4" s="428"/>
      <c r="H4" s="8"/>
    </row>
    <row r="5" spans="1:8" ht="12.75">
      <c r="A5" s="52"/>
      <c r="C5" s="8"/>
      <c r="D5" s="453" t="s">
        <v>436</v>
      </c>
      <c r="E5" s="399"/>
      <c r="H5" s="8"/>
    </row>
    <row r="6" spans="1:8" ht="12.75">
      <c r="A6" s="2" t="s">
        <v>125</v>
      </c>
      <c r="B6" s="389">
        <v>92</v>
      </c>
      <c r="C6" s="8" t="s">
        <v>126</v>
      </c>
      <c r="D6" s="21"/>
      <c r="H6" s="8"/>
    </row>
    <row r="7" spans="1:8" ht="13.5" thickBot="1">
      <c r="A7" s="52" t="s">
        <v>251</v>
      </c>
      <c r="B7" s="248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/>
    </row>
    <row r="18" spans="1:4" ht="15" customHeight="1">
      <c r="A18" s="390" t="s">
        <v>309</v>
      </c>
      <c r="C18" s="8"/>
      <c r="D18" s="8"/>
    </row>
    <row r="19" spans="1:4" ht="15" customHeight="1">
      <c r="A19" s="491" t="s">
        <v>310</v>
      </c>
      <c r="B19" s="8" t="s">
        <v>307</v>
      </c>
      <c r="C19" s="8" t="s">
        <v>64</v>
      </c>
      <c r="D19" s="389" t="s">
        <v>498</v>
      </c>
    </row>
    <row r="20" spans="1:4" ht="13.5" thickBot="1">
      <c r="A20" s="492"/>
      <c r="B20" s="8" t="s">
        <v>308</v>
      </c>
      <c r="C20" s="8" t="s">
        <v>64</v>
      </c>
      <c r="D20" s="257" t="s">
        <v>498</v>
      </c>
    </row>
    <row r="21" spans="1:4" ht="12.75">
      <c r="A21" s="491" t="s">
        <v>306</v>
      </c>
      <c r="B21" s="8" t="s">
        <v>307</v>
      </c>
      <c r="C21" s="8"/>
      <c r="D21" s="424">
        <v>0.01</v>
      </c>
    </row>
    <row r="22" spans="1:4" ht="12.75">
      <c r="A22" s="491"/>
      <c r="B22" s="8" t="s">
        <v>308</v>
      </c>
      <c r="C22" s="8"/>
      <c r="D22" s="424">
        <v>0.0107</v>
      </c>
    </row>
    <row r="23" spans="1:4" ht="7.5" customHeight="1">
      <c r="A23" s="45"/>
      <c r="C23" s="8"/>
      <c r="D23" s="389"/>
    </row>
    <row r="24" spans="1:4" ht="12.75">
      <c r="A24" s="45" t="s">
        <v>211</v>
      </c>
      <c r="C24" s="8" t="s">
        <v>212</v>
      </c>
      <c r="D24" s="425" t="s">
        <v>466</v>
      </c>
    </row>
    <row r="25" ht="6.75" customHeight="1" thickBot="1">
      <c r="A25" s="12"/>
    </row>
    <row r="26" spans="1:5" ht="12.75">
      <c r="A26" s="254" t="s">
        <v>67</v>
      </c>
      <c r="C26" s="8"/>
      <c r="E26" s="443" t="s">
        <v>292</v>
      </c>
    </row>
    <row r="27" spans="1:5" ht="12.75">
      <c r="A27" s="255" t="s">
        <v>68</v>
      </c>
      <c r="C27" s="8"/>
      <c r="E27" s="444" t="s">
        <v>293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282</v>
      </c>
      <c r="D31" s="422">
        <v>1514121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129684.46365</v>
      </c>
      <c r="H41" s="40"/>
    </row>
    <row r="42" spans="4:8" ht="6" customHeight="1">
      <c r="D42" s="22"/>
      <c r="H42" s="40"/>
    </row>
    <row r="43" spans="1:11" ht="12.75">
      <c r="A43" s="488" t="s">
        <v>497</v>
      </c>
      <c r="D43" s="426">
        <v>41341</v>
      </c>
      <c r="E43" s="388">
        <f>D43</f>
        <v>41341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88343.46365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27">
        <v>16021</v>
      </c>
      <c r="E47" s="388">
        <f aca="true" t="shared" si="0" ref="E47:E53">D47</f>
        <v>16021</v>
      </c>
      <c r="H47" s="40"/>
      <c r="J47" s="5"/>
      <c r="K47" s="5"/>
    </row>
    <row r="48" spans="1:11" ht="12.75">
      <c r="A48" t="s">
        <v>285</v>
      </c>
      <c r="D48" s="427">
        <v>16021</v>
      </c>
      <c r="E48" s="388">
        <v>0</v>
      </c>
      <c r="F48" s="22"/>
      <c r="H48" s="40"/>
      <c r="J48" s="5"/>
      <c r="K48" s="5"/>
    </row>
    <row r="49" spans="1:11" ht="12.75">
      <c r="A49" t="s">
        <v>286</v>
      </c>
      <c r="D49" s="427">
        <v>16021</v>
      </c>
      <c r="E49" s="388">
        <v>0</v>
      </c>
      <c r="F49" s="22"/>
      <c r="H49" s="40"/>
      <c r="J49" s="5"/>
      <c r="K49" s="5"/>
    </row>
    <row r="50" spans="1:11" ht="12.75">
      <c r="A50" t="s">
        <v>287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432</v>
      </c>
      <c r="D51" s="428"/>
      <c r="E51" s="388">
        <f t="shared" si="0"/>
        <v>0</v>
      </c>
      <c r="H51" s="40"/>
      <c r="J51" s="5"/>
      <c r="K51" s="5"/>
    </row>
    <row r="52" spans="1:11" ht="12.75">
      <c r="A52" t="s">
        <v>455</v>
      </c>
      <c r="D52" s="428"/>
      <c r="E52" s="388">
        <f t="shared" si="0"/>
        <v>0</v>
      </c>
      <c r="H52" s="40"/>
      <c r="J52" s="5"/>
      <c r="K52" s="5"/>
    </row>
    <row r="53" spans="4:11" ht="12.75">
      <c r="D53" s="428"/>
      <c r="E53" s="388">
        <f t="shared" si="0"/>
        <v>0</v>
      </c>
      <c r="H53" s="40"/>
      <c r="J53" s="5"/>
      <c r="K53" s="5"/>
    </row>
    <row r="54" spans="1:11" ht="12.75">
      <c r="A54" s="2" t="s">
        <v>288</v>
      </c>
      <c r="E54" s="253">
        <f>SUM(E43:E53)</f>
        <v>57362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757060.5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74797.5774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757060.5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51">
        <f>D60*D39</f>
        <v>54886.886249999996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52">
        <f>IF(D41&gt;0,(((D43+D47)/D41)*D62),0)</f>
        <v>24277.553998832456</v>
      </c>
      <c r="F64" s="5"/>
      <c r="H64" s="32"/>
      <c r="J64" s="5"/>
      <c r="K64" s="5"/>
    </row>
    <row r="65" spans="1:11" ht="12.75">
      <c r="A65" s="33" t="s">
        <v>373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52">
        <f>IF(D41&gt;0,(((D43+D47+D48)/D41)*D62),0)</f>
        <v>31058.187390542906</v>
      </c>
      <c r="F66" s="5"/>
      <c r="H66" s="32"/>
      <c r="J66" s="5"/>
      <c r="K66" s="5"/>
    </row>
    <row r="67" spans="1:11" ht="12.75">
      <c r="A67" s="33" t="s">
        <v>374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52">
        <f>IF(D41&gt;0,(((D43+D47+D48)/D41)*D62),0)</f>
        <v>31058.187390542906</v>
      </c>
      <c r="F68" s="5"/>
      <c r="H68" s="32"/>
      <c r="J68" s="5"/>
    </row>
    <row r="69" spans="1:10" ht="12.75">
      <c r="A69" s="33" t="s">
        <v>375</v>
      </c>
      <c r="B69" s="5"/>
      <c r="C69" s="5"/>
      <c r="D69" s="5"/>
      <c r="F69" s="5"/>
      <c r="H69" s="32"/>
      <c r="J69" s="5"/>
    </row>
    <row r="70" spans="1:10" ht="12.75">
      <c r="A70" s="45" t="s">
        <v>441</v>
      </c>
      <c r="B70" s="5"/>
      <c r="C70" s="5"/>
      <c r="D70" s="252">
        <f>D62</f>
        <v>54886.886249999996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486220472" header="0.16" footer="0"/>
  <pageSetup fitToHeight="1" fitToWidth="1" horizontalDpi="600" verticalDpi="600" orientation="portrait" scale="83" r:id="rId1"/>
  <headerFooter alignWithMargins="0">
    <oddHeader>&amp;C&amp;F &amp;A</oddHeader>
    <oddFooter>&amp;C&amp;P of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EB-2011-0207</v>
      </c>
    </row>
    <row r="2" spans="1:2" ht="12.75">
      <c r="A2" s="2" t="s">
        <v>452</v>
      </c>
      <c r="B2" s="2"/>
    </row>
    <row r="3" spans="1:15" ht="12.75">
      <c r="A3" s="2" t="str">
        <f>REGINFO!A3</f>
        <v>Utility Name:Lakefield Distribution Inc</v>
      </c>
      <c r="O3" s="417" t="str">
        <f>REGINFO!E1</f>
        <v>Version 2009.1</v>
      </c>
    </row>
    <row r="4" spans="1:15" ht="12.75">
      <c r="A4" s="2" t="str">
        <f>REGINFO!A4</f>
        <v>Reporting period:  2001</v>
      </c>
      <c r="E4" s="418" t="s">
        <v>316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391</v>
      </c>
      <c r="B12" s="66" t="s">
        <v>189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433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392</v>
      </c>
      <c r="B14" s="66" t="s">
        <v>189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393</v>
      </c>
      <c r="B15" s="66" t="s">
        <v>189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0</v>
      </c>
      <c r="N15" s="392"/>
      <c r="O15" s="397">
        <f t="shared" si="0"/>
        <v>0</v>
      </c>
    </row>
    <row r="16" spans="1:15" ht="27" customHeight="1">
      <c r="A16" s="81" t="s">
        <v>394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395</v>
      </c>
      <c r="B17" s="66" t="s">
        <v>189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55.00976008185759</v>
      </c>
      <c r="N17" s="392"/>
      <c r="O17" s="397">
        <f t="shared" si="0"/>
        <v>55.00976008185759</v>
      </c>
    </row>
    <row r="18" spans="1:15" ht="25.5">
      <c r="A18" s="81" t="s">
        <v>396</v>
      </c>
      <c r="B18" s="66" t="s">
        <v>189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2" t="s">
        <v>397</v>
      </c>
      <c r="B19" s="66" t="s">
        <v>189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464</v>
      </c>
      <c r="B20" s="66" t="s">
        <v>187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369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55.00976008185759</v>
      </c>
      <c r="N22" s="391"/>
      <c r="O22" s="450">
        <f>SUM(O11:O20)</f>
        <v>55.00976008185759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7"/>
      <c r="M23" s="442"/>
      <c r="N23" s="187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398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7"/>
      <c r="M27" s="187"/>
      <c r="N27" s="187"/>
      <c r="O27" s="187"/>
    </row>
    <row r="28" spans="1:15" ht="12.75">
      <c r="A28" s="433" t="s">
        <v>399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7"/>
      <c r="M28" s="187"/>
      <c r="N28" s="187"/>
      <c r="O28" s="187"/>
    </row>
    <row r="29" spans="1:15" ht="12.75">
      <c r="A29" s="436" t="s">
        <v>400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7"/>
      <c r="M29" s="187"/>
      <c r="N29" s="187"/>
      <c r="O29" s="187"/>
    </row>
    <row r="30" spans="1:15" ht="9" customHeight="1">
      <c r="A30" s="187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7"/>
      <c r="M30" s="187"/>
      <c r="N30" s="187"/>
      <c r="O30" s="187"/>
    </row>
    <row r="31" spans="1:15" ht="12.75">
      <c r="A31" s="451" t="s">
        <v>401</v>
      </c>
      <c r="B31" s="80"/>
      <c r="C31" s="80"/>
      <c r="D31" s="80"/>
      <c r="E31" s="80"/>
      <c r="F31" s="80"/>
      <c r="G31" s="80"/>
      <c r="H31" s="80"/>
      <c r="I31" s="447"/>
      <c r="J31" s="447"/>
      <c r="K31" s="447">
        <v>3</v>
      </c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4" t="s">
        <v>402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21"/>
      <c r="Q33" s="421"/>
      <c r="R33" s="421"/>
      <c r="S33" s="421"/>
    </row>
    <row r="34" spans="1:19" ht="12.75">
      <c r="A34" s="503" t="s">
        <v>403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21"/>
      <c r="Q34" s="421"/>
      <c r="R34" s="421"/>
      <c r="S34" s="421"/>
    </row>
    <row r="35" spans="1:19" ht="12.75">
      <c r="A35" s="503" t="s">
        <v>424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21"/>
      <c r="Q35" s="421"/>
      <c r="R35" s="421"/>
      <c r="S35" s="421"/>
    </row>
    <row r="36" spans="1:19" ht="12.75">
      <c r="A36" s="503" t="s">
        <v>404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21"/>
      <c r="Q36" s="421"/>
      <c r="R36" s="421"/>
      <c r="S36" s="421"/>
    </row>
    <row r="37" spans="1:19" ht="12.75">
      <c r="A37" s="437" t="s">
        <v>366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1"/>
      <c r="Q37" s="421"/>
      <c r="R37" s="421"/>
      <c r="S37" s="421"/>
    </row>
    <row r="38" spans="1:19" ht="12.75">
      <c r="A38" s="437" t="s">
        <v>367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1"/>
      <c r="Q38" s="421"/>
      <c r="R38" s="421"/>
      <c r="S38" s="421"/>
    </row>
    <row r="39" spans="1:19" ht="12.75">
      <c r="A39" s="437" t="s">
        <v>405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1"/>
      <c r="Q39" s="421"/>
      <c r="R39" s="421"/>
      <c r="S39" s="421"/>
    </row>
    <row r="40" spans="1:19" ht="12.75">
      <c r="A40" s="437" t="s">
        <v>406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1"/>
      <c r="Q40" s="421"/>
      <c r="R40" s="421"/>
      <c r="S40" s="421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1"/>
      <c r="Q41" s="421"/>
      <c r="R41" s="421"/>
      <c r="S41" s="421"/>
    </row>
    <row r="42" spans="1:15" ht="12.75">
      <c r="A42" s="439" t="s">
        <v>407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7"/>
      <c r="M42" s="187"/>
      <c r="N42" s="187"/>
      <c r="O42" s="187"/>
    </row>
    <row r="43" spans="1:15" ht="12.75">
      <c r="A43" s="434" t="s">
        <v>408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7"/>
      <c r="M43" s="187"/>
      <c r="N43" s="187"/>
      <c r="O43" s="187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7"/>
      <c r="M44" s="187"/>
      <c r="N44" s="187"/>
      <c r="O44" s="187"/>
    </row>
    <row r="45" spans="1:15" ht="12.75">
      <c r="A45" s="439" t="s">
        <v>409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7"/>
      <c r="M45" s="187"/>
      <c r="N45" s="187"/>
      <c r="O45" s="187"/>
    </row>
    <row r="46" spans="1:15" ht="12.75">
      <c r="A46" s="434" t="s">
        <v>410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7"/>
      <c r="M46" s="187"/>
      <c r="N46" s="187"/>
      <c r="O46" s="187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7"/>
      <c r="M47" s="187"/>
      <c r="N47" s="187"/>
      <c r="O47" s="187"/>
    </row>
    <row r="48" spans="1:15" ht="12.75">
      <c r="A48" s="439" t="s">
        <v>411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7"/>
      <c r="M48" s="187"/>
      <c r="N48" s="187"/>
      <c r="O48" s="187"/>
    </row>
    <row r="49" spans="1:15" ht="12.75">
      <c r="A49" s="434" t="s">
        <v>412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7"/>
      <c r="M49" s="187"/>
      <c r="N49" s="187"/>
      <c r="O49" s="187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7"/>
      <c r="M50" s="187"/>
      <c r="N50" s="187"/>
      <c r="O50" s="187"/>
    </row>
    <row r="51" spans="1:15" ht="12.75">
      <c r="A51" s="439" t="s">
        <v>413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7"/>
      <c r="M51" s="187"/>
      <c r="N51" s="187"/>
      <c r="O51" s="187"/>
    </row>
    <row r="52" spans="1:15" ht="12.75">
      <c r="A52" s="434" t="s">
        <v>410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7"/>
      <c r="M52" s="187"/>
      <c r="N52" s="187"/>
      <c r="O52" s="187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7"/>
      <c r="M53" s="187"/>
      <c r="N53" s="187"/>
      <c r="O53" s="187"/>
    </row>
    <row r="54" spans="1:15" ht="12.75">
      <c r="A54" s="434" t="s">
        <v>414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7"/>
      <c r="M54" s="187"/>
      <c r="N54" s="187"/>
      <c r="O54" s="187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7"/>
      <c r="M55" s="187"/>
      <c r="N55" s="187"/>
      <c r="O55" s="187"/>
    </row>
    <row r="56" spans="1:15" ht="12.75" customHeight="1">
      <c r="A56" s="439" t="s">
        <v>415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7"/>
      <c r="M56" s="187"/>
      <c r="N56" s="187"/>
      <c r="O56" s="187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7"/>
      <c r="M57" s="187"/>
      <c r="N57" s="187"/>
      <c r="O57" s="187"/>
    </row>
    <row r="58" spans="1:15" ht="12.75">
      <c r="A58" s="434" t="s">
        <v>416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7"/>
      <c r="M58" s="187"/>
      <c r="N58" s="187"/>
      <c r="O58" s="187"/>
    </row>
    <row r="59" spans="1:15" ht="12.75">
      <c r="A59" s="434" t="s">
        <v>417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7"/>
      <c r="M59" s="187"/>
      <c r="N59" s="187"/>
      <c r="O59" s="187"/>
    </row>
    <row r="60" spans="1:15" ht="12.75">
      <c r="A60" s="434" t="s">
        <v>418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7"/>
      <c r="M60" s="187"/>
      <c r="N60" s="187"/>
      <c r="O60" s="187"/>
    </row>
    <row r="61" spans="1:15" ht="12.75">
      <c r="A61" s="434" t="s">
        <v>376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7"/>
      <c r="M61" s="187"/>
      <c r="N61" s="187"/>
      <c r="O61" s="187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7"/>
      <c r="M62" s="187"/>
      <c r="N62" s="187"/>
      <c r="O62" s="187"/>
    </row>
    <row r="63" spans="1:15" ht="12.75">
      <c r="A63" s="434" t="s">
        <v>419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7"/>
      <c r="M63" s="187"/>
      <c r="N63" s="187"/>
      <c r="O63" s="187"/>
    </row>
    <row r="64" spans="1:15" ht="12.75">
      <c r="A64" s="434" t="s">
        <v>420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7"/>
      <c r="M64" s="187"/>
      <c r="N64" s="187"/>
      <c r="O64" s="187"/>
    </row>
    <row r="65" spans="1:15" ht="12.75">
      <c r="A65" s="434" t="s">
        <v>378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7"/>
      <c r="M65" s="187"/>
      <c r="N65" s="187"/>
      <c r="O65" s="187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7"/>
      <c r="M66" s="187"/>
      <c r="N66" s="187"/>
      <c r="O66" s="187"/>
    </row>
    <row r="67" spans="1:15" ht="12.75">
      <c r="A67" s="434" t="s">
        <v>377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7"/>
      <c r="M67" s="187"/>
      <c r="N67" s="187"/>
      <c r="O67" s="187"/>
    </row>
    <row r="68" spans="1:15" ht="12.75">
      <c r="A68" s="434" t="s">
        <v>379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7"/>
      <c r="M68" s="187"/>
      <c r="N68" s="187"/>
      <c r="O68" s="187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7"/>
      <c r="M69" s="187"/>
      <c r="N69" s="187"/>
      <c r="O69" s="187"/>
    </row>
    <row r="70" spans="1:15" ht="12.75">
      <c r="A70" s="434" t="s">
        <v>421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7"/>
      <c r="M70" s="187"/>
      <c r="N70" s="187"/>
      <c r="O70" s="187"/>
    </row>
    <row r="71" spans="1:15" ht="12.75">
      <c r="A71" s="434" t="s">
        <v>422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7"/>
      <c r="M71" s="187"/>
      <c r="N71" s="187"/>
      <c r="O71" s="187"/>
    </row>
    <row r="72" spans="1:15" ht="12.75">
      <c r="A72" s="434" t="s">
        <v>423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7"/>
      <c r="M72" s="187"/>
      <c r="N72" s="187"/>
      <c r="O72" s="187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7"/>
      <c r="M73" s="187"/>
      <c r="N73" s="187"/>
      <c r="O73" s="187"/>
    </row>
    <row r="74" spans="1:15" ht="12.75" customHeight="1">
      <c r="A74" s="503" t="s">
        <v>453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34" t="s">
        <v>368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7"/>
      <c r="M75" s="187"/>
      <c r="N75" s="187"/>
      <c r="O75" s="187"/>
    </row>
    <row r="76" spans="1:15" ht="12.75">
      <c r="A76" s="187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7"/>
      <c r="M76" s="187"/>
      <c r="N76" s="187"/>
      <c r="O76" s="187"/>
    </row>
    <row r="77" spans="1:15" ht="12.75">
      <c r="A77" s="187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7"/>
      <c r="M77" s="187"/>
      <c r="N77" s="187"/>
      <c r="O77" s="187"/>
    </row>
    <row r="78" spans="1:17" ht="12.75">
      <c r="A78" s="187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7"/>
      <c r="O78" s="187"/>
      <c r="P78" s="187"/>
      <c r="Q78" s="187"/>
    </row>
    <row r="79" spans="1:17" ht="12.75">
      <c r="A79" s="187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7"/>
      <c r="O79" s="187"/>
      <c r="P79" s="187"/>
      <c r="Q79" s="187"/>
    </row>
    <row r="80" spans="1:17" ht="12.75">
      <c r="A80" s="187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7"/>
      <c r="O80" s="187"/>
      <c r="P80" s="187"/>
      <c r="Q80" s="187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7"/>
      <c r="O81" s="187"/>
      <c r="P81" s="187"/>
      <c r="Q81" s="187"/>
    </row>
    <row r="82" spans="1:17" ht="12.75">
      <c r="A82" s="187"/>
      <c r="B82" s="187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7"/>
      <c r="O82" s="187"/>
      <c r="P82" s="187"/>
      <c r="Q82" s="187"/>
    </row>
    <row r="83" spans="1:17" ht="12.75">
      <c r="A83" s="187"/>
      <c r="B83" s="187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7"/>
      <c r="O83" s="187"/>
      <c r="P83" s="187"/>
      <c r="Q83" s="187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7"/>
      <c r="O84" s="187"/>
      <c r="P84" s="187"/>
      <c r="Q84" s="187"/>
    </row>
    <row r="85" spans="1:17" ht="12.75">
      <c r="A85" s="187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7"/>
      <c r="O85" s="187"/>
      <c r="P85" s="187"/>
      <c r="Q85" s="187"/>
    </row>
    <row r="86" spans="1:17" ht="12.75">
      <c r="A86" s="187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7"/>
      <c r="O86" s="187"/>
      <c r="P86" s="187"/>
      <c r="Q86" s="187"/>
    </row>
    <row r="87" spans="1:17" ht="12.75">
      <c r="A87" s="187"/>
      <c r="B87" s="187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7"/>
      <c r="O87" s="187"/>
      <c r="P87" s="187"/>
      <c r="Q87" s="187"/>
    </row>
    <row r="88" spans="1:17" ht="12.75">
      <c r="A88" s="187"/>
      <c r="B88" s="187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7"/>
      <c r="O88" s="187"/>
      <c r="P88" s="187"/>
      <c r="Q88" s="187"/>
    </row>
    <row r="89" spans="1:17" ht="12.75">
      <c r="A89" s="187"/>
      <c r="B89" s="187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7"/>
      <c r="O89" s="187"/>
      <c r="P89" s="187"/>
      <c r="Q89" s="187"/>
    </row>
    <row r="90" spans="1:17" ht="12.75">
      <c r="A90" s="187"/>
      <c r="B90" s="187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7"/>
      <c r="O90" s="187"/>
      <c r="P90" s="187"/>
      <c r="Q90" s="187"/>
    </row>
    <row r="91" spans="1:17" ht="12.75">
      <c r="A91" s="187"/>
      <c r="B91" s="187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7"/>
      <c r="O91" s="187"/>
      <c r="P91" s="187"/>
      <c r="Q91" s="187"/>
    </row>
    <row r="92" spans="1:17" ht="12.75">
      <c r="A92" s="187"/>
      <c r="B92" s="187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7"/>
      <c r="B93" s="187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1.15" bottom="0.486220472" header="0.17" footer="0"/>
  <pageSetup fitToHeight="1" fitToWidth="1" horizontalDpi="600" verticalDpi="600" orientation="portrait" scale="65" r:id="rId1"/>
  <headerFooter alignWithMargins="0">
    <oddHeader>&amp;C&amp;F &amp;A</oddHeader>
    <oddFooter>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90" zoomScaleNormal="90" zoomScalePageLayoutView="0" workbookViewId="0" topLeftCell="B1">
      <selection activeCell="I90" sqref="I9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EB-2011-0207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457</v>
      </c>
      <c r="H1" s="209"/>
    </row>
    <row r="2" spans="1:8" ht="12.75">
      <c r="A2" s="210" t="s">
        <v>456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458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490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Name:Lakefield Distribution Inc</v>
      </c>
      <c r="B6" s="114"/>
      <c r="D6" s="136"/>
      <c r="E6" s="114"/>
      <c r="G6" s="114"/>
      <c r="H6" s="465"/>
    </row>
    <row r="7" spans="1:8" ht="12.75">
      <c r="A7" s="210" t="str">
        <f>REGINFO!A4</f>
        <v>Reporting period:  2001</v>
      </c>
      <c r="B7" s="114"/>
      <c r="D7" s="136"/>
      <c r="E7" s="114"/>
      <c r="G7" s="114"/>
      <c r="H7" s="465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29">
        <f>REGINFO!B6</f>
        <v>92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251</v>
      </c>
      <c r="B10" s="429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337</v>
      </c>
      <c r="B16" s="124">
        <v>1</v>
      </c>
      <c r="C16" s="259">
        <v>17697</v>
      </c>
      <c r="D16" s="17"/>
      <c r="E16" s="267">
        <f>G16-C16</f>
        <v>-58992</v>
      </c>
      <c r="F16" s="3"/>
      <c r="G16" s="267">
        <f>TAXREC!E50</f>
        <v>-41295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v>17763</v>
      </c>
      <c r="D20" s="18"/>
      <c r="E20" s="267">
        <f>G20-C20</f>
        <v>-2028</v>
      </c>
      <c r="F20" s="6"/>
      <c r="G20" s="267">
        <f>TAXREC!E61</f>
        <v>15735</v>
      </c>
      <c r="H20" s="150"/>
    </row>
    <row r="21" spans="1:8" ht="12.75">
      <c r="A21" s="157" t="s">
        <v>56</v>
      </c>
      <c r="B21" s="126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0"/>
    </row>
    <row r="22" spans="1:8" ht="12.75">
      <c r="A22" s="157" t="s">
        <v>259</v>
      </c>
      <c r="B22" s="126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258</v>
      </c>
      <c r="B23" s="126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260</v>
      </c>
      <c r="B24" s="126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158</v>
      </c>
      <c r="B27" s="126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157</v>
      </c>
      <c r="B28" s="126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0"/>
    </row>
    <row r="29" spans="1:8" ht="12.75">
      <c r="A29" s="157" t="s">
        <v>156</v>
      </c>
      <c r="B29" s="126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2.75">
      <c r="A30" s="404" t="s">
        <v>388</v>
      </c>
      <c r="B30" s="126"/>
      <c r="C30" s="259"/>
      <c r="D30" s="18"/>
      <c r="E30" s="267">
        <f>G30-C30</f>
        <v>0</v>
      </c>
      <c r="F30" s="6"/>
      <c r="G30" s="267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338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61">
        <v>6814</v>
      </c>
      <c r="D33" s="131"/>
      <c r="E33" s="267">
        <f aca="true" t="shared" si="0" ref="E33:E42">G33-C33</f>
        <v>-304</v>
      </c>
      <c r="F33" s="6"/>
      <c r="G33" s="267">
        <f>TAXREC!E97+TAXREC!E98</f>
        <v>6510</v>
      </c>
      <c r="H33" s="150"/>
    </row>
    <row r="34" spans="1:8" ht="12.75">
      <c r="A34" s="157" t="s">
        <v>57</v>
      </c>
      <c r="B34" s="126">
        <v>8</v>
      </c>
      <c r="C34" s="261"/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261</v>
      </c>
      <c r="B36" s="126">
        <v>10</v>
      </c>
      <c r="C36" s="261">
        <v>0</v>
      </c>
      <c r="D36" s="131"/>
      <c r="E36" s="267">
        <f t="shared" si="0"/>
        <v>0</v>
      </c>
      <c r="F36" s="6"/>
      <c r="G36" s="267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60">
        <v>7490</v>
      </c>
      <c r="D37" s="131"/>
      <c r="E37" s="267">
        <f t="shared" si="0"/>
        <v>-6726</v>
      </c>
      <c r="F37" s="6"/>
      <c r="G37" s="267">
        <f>TAXREC!E51</f>
        <v>764</v>
      </c>
      <c r="H37" s="150"/>
    </row>
    <row r="38" spans="1:8" ht="12.75">
      <c r="A38" s="154" t="s">
        <v>257</v>
      </c>
      <c r="B38" s="124">
        <v>4</v>
      </c>
      <c r="C38" s="261"/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256</v>
      </c>
      <c r="B39" s="124">
        <v>4</v>
      </c>
      <c r="C39" s="261"/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/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/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183</v>
      </c>
      <c r="B42" s="124">
        <v>11</v>
      </c>
      <c r="C42" s="261"/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1"/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152</v>
      </c>
      <c r="B45" s="126">
        <v>12</v>
      </c>
      <c r="C45" s="261"/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61"/>
      <c r="D46" s="131"/>
      <c r="E46" s="267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153</v>
      </c>
      <c r="B47" s="126">
        <v>12</v>
      </c>
      <c r="C47" s="261"/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2.75">
      <c r="A48" s="404" t="s">
        <v>388</v>
      </c>
      <c r="B48" s="126"/>
      <c r="C48" s="259"/>
      <c r="D48" s="131"/>
      <c r="E48" s="267">
        <f>G48-C48</f>
        <v>0</v>
      </c>
      <c r="F48" s="6"/>
      <c r="G48" s="250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323</v>
      </c>
      <c r="B50" s="124"/>
      <c r="C50" s="263">
        <f>C16+SUM(C20:C30)-SUM(C33:C48)</f>
        <v>21156</v>
      </c>
      <c r="D50" s="102"/>
      <c r="E50" s="263">
        <f>E16+SUM(E20:E30)-SUM(E33:E48)</f>
        <v>-53990</v>
      </c>
      <c r="F50" s="431"/>
      <c r="G50" s="263">
        <f>G16+SUM(G20:G30)-SUM(G33:G48)</f>
        <v>-32834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332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336</v>
      </c>
      <c r="B53" s="126">
        <v>13</v>
      </c>
      <c r="C53" s="262">
        <f>IF($C$50&gt;'Tax Rates'!$E$11,'Tax Rates'!$F$16,IF($C$50&gt;'Tax Rates'!$C$11,'Tax Rates'!$E$16,'Tax Rates'!$C$16))</f>
        <v>0.1912</v>
      </c>
      <c r="D53" s="102"/>
      <c r="E53" s="268">
        <f>+G53-C53</f>
        <v>0.215</v>
      </c>
      <c r="F53" s="113"/>
      <c r="G53" s="473">
        <f>TAXREC!E151</f>
        <v>0.4062</v>
      </c>
      <c r="H53" s="150"/>
      <c r="I53" s="470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4045.0272</v>
      </c>
      <c r="D55" s="102"/>
      <c r="E55" s="267">
        <f>G55-C55</f>
        <v>-4045.0272</v>
      </c>
      <c r="F55" s="431" t="s">
        <v>363</v>
      </c>
      <c r="G55" s="264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5"/>
      <c r="D58" s="131"/>
      <c r="E58" s="267">
        <f>+G58-C58</f>
        <v>0</v>
      </c>
      <c r="F58" s="431"/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4045.0272</v>
      </c>
      <c r="D60" s="132"/>
      <c r="E60" s="269">
        <f>+E55-E58</f>
        <v>-4045.0272</v>
      </c>
      <c r="F60" s="431" t="s">
        <v>363</v>
      </c>
      <c r="G60" s="269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1514121</v>
      </c>
      <c r="D66" s="102"/>
      <c r="E66" s="267">
        <f>G66-C66</f>
        <v>-286162</v>
      </c>
      <c r="F66" s="6"/>
      <c r="G66" s="475">
        <v>1227959</v>
      </c>
      <c r="H66" s="150"/>
      <c r="I66" s="476" t="s">
        <v>478</v>
      </c>
    </row>
    <row r="67" spans="1:10" ht="12.75">
      <c r="A67" s="151" t="s">
        <v>356</v>
      </c>
      <c r="B67" s="124">
        <v>16</v>
      </c>
      <c r="C67" s="260">
        <v>162000</v>
      </c>
      <c r="D67" s="102"/>
      <c r="E67" s="267">
        <f>G67-C67</f>
        <v>-76893</v>
      </c>
      <c r="F67" s="6"/>
      <c r="G67" s="267">
        <v>85107</v>
      </c>
      <c r="H67" s="150"/>
      <c r="I67" s="476" t="s">
        <v>478</v>
      </c>
      <c r="J67" s="477"/>
    </row>
    <row r="68" spans="1:8" ht="12.75">
      <c r="A68" s="151" t="s">
        <v>42</v>
      </c>
      <c r="B68" s="124"/>
      <c r="C68" s="264">
        <f>IF((C66-C67)&gt;0,C66-C67,0)</f>
        <v>1352121</v>
      </c>
      <c r="D68" s="102"/>
      <c r="E68" s="267">
        <f>SUM(E66:E67)</f>
        <v>-363055</v>
      </c>
      <c r="F68" s="113"/>
      <c r="G68" s="264">
        <f>G66-G67</f>
        <v>1142852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357</v>
      </c>
      <c r="B70" s="124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311</v>
      </c>
      <c r="B72" s="124"/>
      <c r="C72" s="483">
        <f>C68*C70/4</f>
        <v>1014.0907500000001</v>
      </c>
      <c r="D72" s="101"/>
      <c r="E72" s="267">
        <f>+G72-C72</f>
        <v>-149.90677191780833</v>
      </c>
      <c r="F72" s="482"/>
      <c r="G72" s="264">
        <f>IF(G68&gt;0,G68*G70,0)*REGINFO!$B$6/REGINFO!$B$7</f>
        <v>864.1839780821917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1514121</v>
      </c>
      <c r="D75" s="102"/>
      <c r="E75" s="267">
        <f>+G75-C75</f>
        <v>-402989</v>
      </c>
      <c r="F75" s="6"/>
      <c r="G75" s="475">
        <v>1111132</v>
      </c>
      <c r="H75" s="150"/>
      <c r="I75" s="476" t="s">
        <v>478</v>
      </c>
    </row>
    <row r="76" spans="1:9" ht="12.75">
      <c r="A76" s="151" t="s">
        <v>356</v>
      </c>
      <c r="B76" s="124">
        <v>19</v>
      </c>
      <c r="C76" s="260">
        <v>324000</v>
      </c>
      <c r="D76" s="18"/>
      <c r="E76" s="267">
        <f>+G76-C76</f>
        <v>787132</v>
      </c>
      <c r="F76" s="6"/>
      <c r="G76" s="267">
        <v>1111132</v>
      </c>
      <c r="H76" s="150"/>
      <c r="I76" s="476" t="s">
        <v>478</v>
      </c>
    </row>
    <row r="77" spans="1:8" ht="12.75">
      <c r="A77" s="151" t="s">
        <v>42</v>
      </c>
      <c r="B77" s="124"/>
      <c r="C77" s="264">
        <f>IF((C75-C76)&gt;0,C75-C76,0)</f>
        <v>1190121</v>
      </c>
      <c r="D77" s="19"/>
      <c r="E77" s="267">
        <f>SUM(E75:E76)</f>
        <v>384143</v>
      </c>
      <c r="F77" s="113"/>
      <c r="G77" s="264">
        <f>G75-G76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357</v>
      </c>
      <c r="B79" s="124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312</v>
      </c>
      <c r="B81" s="124"/>
      <c r="C81" s="481">
        <f>C77*C79/4</f>
        <v>669.4430625</v>
      </c>
      <c r="D81" s="102"/>
      <c r="E81" s="267">
        <f>+G81-C81</f>
        <v>-669.4430625</v>
      </c>
      <c r="F81" s="484"/>
      <c r="G81" s="264">
        <f>G77*G79*B9/B10</f>
        <v>0</v>
      </c>
      <c r="H81" s="150"/>
    </row>
    <row r="82" spans="1:9" ht="12.75">
      <c r="A82" s="151" t="s">
        <v>313</v>
      </c>
      <c r="B82" s="124">
        <v>21</v>
      </c>
      <c r="C82" s="480">
        <f>IF(C77&gt;0,IF(C60&gt;0,C50*'Tax Rates'!C20,0),0)</f>
        <v>236.9472</v>
      </c>
      <c r="D82" s="102"/>
      <c r="E82" s="267">
        <f>+G82-C82</f>
        <v>-236.9472</v>
      </c>
      <c r="F82" s="6"/>
      <c r="G82" s="480">
        <f>IF(G77&gt;0,IF(G60&gt;0,G50*'Tax Rates'!C20,0),0)</f>
        <v>0</v>
      </c>
      <c r="H82" s="150"/>
      <c r="I82" s="487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481">
        <f>(C81-C82)</f>
        <v>432.4958625</v>
      </c>
      <c r="D84" s="16"/>
      <c r="E84" s="267">
        <f>E81-E82</f>
        <v>-432.4958625</v>
      </c>
      <c r="F84" s="482"/>
      <c r="G84" s="264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226</v>
      </c>
      <c r="B88" s="124"/>
      <c r="C88" s="262">
        <f>IF($C$50&gt;'Tax Rates'!$E$11,'Tax Rates'!$F$16,IF(AND($C$50&gt;='Tax Rates'!$C$11,$C$50&lt;='Tax Rates'!E11),'Tax Rates'!$E$16,'Tax Rates'!$C$16))-0.0012</f>
        <v>0.19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9" ht="12.75">
      <c r="A90" s="157" t="s">
        <v>364</v>
      </c>
      <c r="B90" s="126">
        <v>22</v>
      </c>
      <c r="C90" s="264">
        <f>C60/(1-C88)-66</f>
        <v>4927.860740740741</v>
      </c>
      <c r="D90" s="20"/>
      <c r="E90" s="138">
        <f>6540-6474</f>
        <v>66</v>
      </c>
      <c r="F90" s="430" t="s">
        <v>467</v>
      </c>
      <c r="G90" s="270">
        <f>TAXREC!E156</f>
        <v>0</v>
      </c>
      <c r="H90" s="150"/>
      <c r="I90" s="488" t="s">
        <v>502</v>
      </c>
    </row>
    <row r="91" spans="1:8" ht="12.75">
      <c r="A91" s="157" t="s">
        <v>365</v>
      </c>
      <c r="B91" s="126">
        <v>23</v>
      </c>
      <c r="C91" s="264">
        <f>C84/(1-C88)-2</f>
        <v>531.9455092592592</v>
      </c>
      <c r="D91" s="20"/>
      <c r="E91" s="138"/>
      <c r="F91" s="430" t="s">
        <v>467</v>
      </c>
      <c r="G91" s="270">
        <f>TAXREC!E158</f>
        <v>0</v>
      </c>
      <c r="H91" s="150"/>
    </row>
    <row r="92" spans="1:8" ht="12.75">
      <c r="A92" s="157" t="s">
        <v>344</v>
      </c>
      <c r="B92" s="126">
        <v>24</v>
      </c>
      <c r="C92" s="264">
        <f>C72</f>
        <v>1014.0907500000001</v>
      </c>
      <c r="D92" s="20"/>
      <c r="E92" s="138"/>
      <c r="F92" s="430" t="s">
        <v>467</v>
      </c>
      <c r="G92" s="270">
        <f>TAXREC!E157</f>
        <v>864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468</v>
      </c>
      <c r="B95" s="124">
        <v>25</v>
      </c>
      <c r="C95" s="269">
        <f>SUM(C90:C93)</f>
        <v>6473.897</v>
      </c>
      <c r="D95" s="6"/>
      <c r="E95" s="138"/>
      <c r="F95" s="430" t="s">
        <v>467</v>
      </c>
      <c r="G95" s="414">
        <f>SUM(G90:G94)</f>
        <v>864</v>
      </c>
      <c r="H95" s="163"/>
    </row>
    <row r="96" spans="1:8" ht="12.75">
      <c r="A96" s="404" t="s">
        <v>303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300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245</v>
      </c>
      <c r="B100" s="122"/>
      <c r="C100" s="111"/>
      <c r="D100" s="3"/>
      <c r="E100" s="142" t="s">
        <v>247</v>
      </c>
      <c r="F100" s="37"/>
      <c r="G100" s="199"/>
      <c r="H100" s="163"/>
    </row>
    <row r="101" spans="1:8" ht="12.75">
      <c r="A101" s="155" t="s">
        <v>343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99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359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360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358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315</v>
      </c>
      <c r="B112" s="126">
        <v>11</v>
      </c>
      <c r="C112" s="111"/>
      <c r="D112" s="3"/>
      <c r="E112" s="472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100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361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362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4">
        <f>SUM(E102:E107)-SUM(E109:E118)</f>
        <v>0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483</v>
      </c>
      <c r="B122" s="126"/>
      <c r="C122" s="111"/>
      <c r="D122" s="3" t="s">
        <v>230</v>
      </c>
      <c r="E122" s="469">
        <f>IF((E120+G50)&gt;'Tax Rates'!$E$47,'Tax Rates'!$F$52-1.12%,IF((E120+G50)&gt;'Tax Rates'!$D$47,'Tax Rates'!$E$52-1.12%,IF((E120+G50)&gt;'Tax Rates'!$C$47,'Tax Rates'!$D$52-1.12%,'Tax Rates'!$C$52-1.12%)))</f>
        <v>0.18</v>
      </c>
      <c r="F122" s="470"/>
      <c r="G122" s="200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101</v>
      </c>
      <c r="H123" s="163"/>
    </row>
    <row r="124" spans="1:8" ht="12.75">
      <c r="A124" s="157" t="s">
        <v>244</v>
      </c>
      <c r="B124" s="126"/>
      <c r="C124" s="111"/>
      <c r="D124" s="3" t="s">
        <v>188</v>
      </c>
      <c r="E124" s="264">
        <f>E120*E122</f>
        <v>0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116</v>
      </c>
      <c r="B128" s="126"/>
      <c r="C128" s="111"/>
      <c r="D128" s="3"/>
      <c r="E128" s="264">
        <f>E124-E126</f>
        <v>0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0.3075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348</v>
      </c>
      <c r="B132" s="129"/>
      <c r="C132" s="111"/>
      <c r="D132" s="3"/>
      <c r="E132" s="263">
        <f>E128/(1-E130)</f>
        <v>0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351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2">
        <f>C50</f>
        <v>21156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312">
        <f>IF((E120+E136)&gt;'Tax Rates'!E47,'Tax Rates'!F52,IF((E120+E136)&gt;'Tax Rates'!C47,'Tax Rates'!E52,IF((E120+E136)&gt;'Tax Rates'!C47,'Tax Rates'!D52,'Tax Rates'!C52)))</f>
        <v>0.1912</v>
      </c>
      <c r="F138" s="196" t="s">
        <v>101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3">
        <f>IF(E136&gt;0,E136*E138,0)</f>
        <v>4045.0272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4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2">
        <f>E140-E142</f>
        <v>4045.0272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485</v>
      </c>
      <c r="B146" s="129"/>
      <c r="C146" s="111"/>
      <c r="D146" s="117" t="s">
        <v>187</v>
      </c>
      <c r="E146" s="302">
        <f>C60</f>
        <v>4045.0272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2">
        <f>E144-E146</f>
        <v>0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7" t="s">
        <v>20</v>
      </c>
      <c r="B150" s="129"/>
      <c r="C150" s="111"/>
      <c r="D150" s="118"/>
      <c r="E150" s="304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2">
        <f>C66</f>
        <v>1514121</v>
      </c>
      <c r="F151" s="37"/>
      <c r="G151" s="200"/>
      <c r="H151" s="163"/>
    </row>
    <row r="152" spans="1:8" ht="12.75">
      <c r="A152" s="170" t="s">
        <v>354</v>
      </c>
      <c r="B152" s="129"/>
      <c r="C152" s="111"/>
      <c r="D152" s="117" t="s">
        <v>187</v>
      </c>
      <c r="E152" s="305">
        <v>34032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2">
        <f>E151-E152</f>
        <v>1480089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355</v>
      </c>
      <c r="B155" s="129"/>
      <c r="C155" s="111"/>
      <c r="D155" s="118" t="s">
        <v>230</v>
      </c>
      <c r="E155" s="306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2">
        <f>IF(E153&gt;0,E153*E155*B9/B10,0)</f>
        <v>1119.1905863013699</v>
      </c>
      <c r="F157" s="37"/>
      <c r="G157" s="200"/>
      <c r="H157" s="163"/>
    </row>
    <row r="158" spans="1:8" ht="25.5">
      <c r="A158" s="170" t="s">
        <v>486</v>
      </c>
      <c r="B158" s="129"/>
      <c r="C158" s="111"/>
      <c r="D158" s="117" t="s">
        <v>187</v>
      </c>
      <c r="E158" s="305">
        <f>C72</f>
        <v>1014.0907500000001</v>
      </c>
      <c r="F158" s="37"/>
      <c r="G158" s="200"/>
      <c r="H158" s="163"/>
    </row>
    <row r="159" spans="1:8" ht="12.75" customHeight="1">
      <c r="A159" s="171" t="s">
        <v>242</v>
      </c>
      <c r="B159" s="129"/>
      <c r="C159" s="111"/>
      <c r="D159" s="117" t="s">
        <v>188</v>
      </c>
      <c r="E159" s="474">
        <f>E157-E158</f>
        <v>105.0998363013698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7" t="s">
        <v>235</v>
      </c>
      <c r="B161" s="129"/>
      <c r="C161" s="111"/>
      <c r="D161" s="118"/>
      <c r="E161" s="304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2">
        <f>C75</f>
        <v>1514121</v>
      </c>
      <c r="F162" s="37"/>
      <c r="G162" s="200"/>
      <c r="H162" s="163"/>
    </row>
    <row r="163" spans="1:8" ht="12.75">
      <c r="A163" s="170" t="s">
        <v>353</v>
      </c>
      <c r="B163" s="129"/>
      <c r="C163" s="111"/>
      <c r="D163" s="117" t="s">
        <v>187</v>
      </c>
      <c r="E163" s="305">
        <v>406127</v>
      </c>
      <c r="F163" s="37"/>
      <c r="G163" s="200"/>
      <c r="H163" s="163"/>
    </row>
    <row r="164" spans="1:8" ht="12.75">
      <c r="A164" s="170" t="s">
        <v>238</v>
      </c>
      <c r="B164" s="129"/>
      <c r="C164" s="111"/>
      <c r="D164" s="118" t="s">
        <v>188</v>
      </c>
      <c r="E164" s="302">
        <f>E162-E163</f>
        <v>1107994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304</v>
      </c>
      <c r="B166" s="129"/>
      <c r="C166" s="111"/>
      <c r="D166" s="118"/>
      <c r="E166" s="306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239</v>
      </c>
      <c r="B168" s="129"/>
      <c r="C168" s="111"/>
      <c r="D168" s="118"/>
      <c r="E168" s="302">
        <f>IF(E164&gt;0,E164*E166*B9/B10,0)</f>
        <v>628.3692</v>
      </c>
      <c r="F168" s="37"/>
      <c r="G168" s="200"/>
      <c r="H168" s="163"/>
    </row>
    <row r="169" spans="1:8" ht="12.75">
      <c r="A169" s="170" t="s">
        <v>314</v>
      </c>
      <c r="B169" s="129"/>
      <c r="C169" s="111"/>
      <c r="D169" s="117" t="s">
        <v>187</v>
      </c>
      <c r="E169" s="307">
        <f>IF(E164&gt;0,IF(E144&gt;0,E136*'Tax Rates'!C56,0),0)</f>
        <v>236.9472</v>
      </c>
      <c r="F169" s="37"/>
      <c r="G169" s="200"/>
      <c r="H169" s="163"/>
    </row>
    <row r="170" spans="1:8" ht="12.75">
      <c r="A170" s="170" t="s">
        <v>240</v>
      </c>
      <c r="B170" s="129"/>
      <c r="C170" s="111"/>
      <c r="D170" s="118" t="s">
        <v>188</v>
      </c>
      <c r="E170" s="302">
        <f>E168-E169</f>
        <v>391.42199999999997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5" t="s">
        <v>487</v>
      </c>
      <c r="B172" s="129"/>
      <c r="C172" s="111"/>
      <c r="D172" s="117" t="s">
        <v>187</v>
      </c>
      <c r="E172" s="305">
        <f>C84</f>
        <v>432.4958625</v>
      </c>
      <c r="F172" s="37"/>
      <c r="G172" s="200"/>
      <c r="H172" s="163"/>
    </row>
    <row r="173" spans="1:8" ht="12.75">
      <c r="A173" s="154" t="s">
        <v>243</v>
      </c>
      <c r="B173" s="129"/>
      <c r="C173" s="111"/>
      <c r="D173" s="118" t="s">
        <v>188</v>
      </c>
      <c r="E173" s="474">
        <f>E170-E172</f>
        <v>-41.07386250000002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342</v>
      </c>
      <c r="B175" s="129"/>
      <c r="C175" s="111"/>
      <c r="D175" s="118"/>
      <c r="E175" s="469">
        <f>IF((E120+G50)&gt;'Tax Rates'!E47,'Tax Rates'!F52-1.12%,IF((E120+G50)&gt;'Tax Rates'!D47,'Tax Rates'!E52-1.12%,IF((E120+G50)&gt;'Tax Rates'!C47,'Tax Rates'!D52,'Tax Rates'!C52-1.12%)))</f>
        <v>0.18</v>
      </c>
      <c r="F175" s="470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241</v>
      </c>
      <c r="B177" s="129"/>
      <c r="C177" s="111"/>
      <c r="D177" s="118" t="s">
        <v>186</v>
      </c>
      <c r="E177" s="302">
        <f>E148/(1-E175)</f>
        <v>0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2">
        <f>E173/(1-E175)</f>
        <v>-50.09007621951221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2">
        <f>E159</f>
        <v>105.0998363013698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349</v>
      </c>
      <c r="B181" s="129"/>
      <c r="C181" s="111"/>
      <c r="D181" s="118" t="s">
        <v>188</v>
      </c>
      <c r="E181" s="302">
        <f>SUM(E177:E179)</f>
        <v>55.00976008185759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488</v>
      </c>
      <c r="B183" s="129"/>
      <c r="C183" s="111"/>
      <c r="D183" s="118" t="s">
        <v>186</v>
      </c>
      <c r="E183" s="302">
        <f>E132</f>
        <v>0</v>
      </c>
      <c r="F183" s="37" t="s">
        <v>101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350</v>
      </c>
      <c r="B185" s="129"/>
      <c r="C185" s="111"/>
      <c r="D185" s="118" t="s">
        <v>188</v>
      </c>
      <c r="E185" s="302">
        <f>E181+E183</f>
        <v>55.00976008185759</v>
      </c>
      <c r="F185" s="37"/>
      <c r="G185" s="200"/>
      <c r="H185" s="163"/>
    </row>
    <row r="186" spans="1:8" ht="12.75">
      <c r="A186" s="161" t="s">
        <v>246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9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8">
        <f>REGINFO!D62*92/365</f>
        <v>13834.502835616437</v>
      </c>
      <c r="F193" s="490" t="s">
        <v>500</v>
      </c>
      <c r="G193" s="122"/>
      <c r="H193" s="163"/>
    </row>
    <row r="194" spans="1:8" ht="12.75">
      <c r="A194" s="154" t="s">
        <v>489</v>
      </c>
      <c r="B194" s="126"/>
      <c r="C194" s="111"/>
      <c r="D194" s="119"/>
      <c r="E194" s="308">
        <f>C37</f>
        <v>7490</v>
      </c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339</v>
      </c>
      <c r="B196" s="126"/>
      <c r="C196" s="111"/>
      <c r="D196" s="119"/>
      <c r="E196" s="308">
        <f>E193-E194</f>
        <v>6344.502835616437</v>
      </c>
      <c r="F196" s="3"/>
      <c r="G196" s="122"/>
      <c r="H196" s="163"/>
    </row>
    <row r="197" spans="1:8" ht="12.75">
      <c r="A197" s="154" t="s">
        <v>340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252</v>
      </c>
      <c r="B199" s="126"/>
      <c r="C199" s="111"/>
      <c r="D199" s="119"/>
      <c r="E199" s="146"/>
      <c r="F199" s="3"/>
      <c r="G199" s="122"/>
      <c r="H199" s="163"/>
    </row>
    <row r="200" spans="1:8" ht="12.75">
      <c r="A200" s="175" t="s">
        <v>84</v>
      </c>
      <c r="B200" s="126"/>
      <c r="C200" s="111"/>
      <c r="D200" s="119"/>
      <c r="E200" s="146"/>
      <c r="F200" s="3"/>
      <c r="G200" s="122"/>
      <c r="H200" s="163"/>
    </row>
    <row r="201" spans="1:8" ht="12.75">
      <c r="A201" s="154" t="s">
        <v>491</v>
      </c>
      <c r="B201" s="126"/>
      <c r="C201" s="111"/>
      <c r="D201" s="119"/>
      <c r="E201" s="308">
        <f>G37+G42</f>
        <v>764</v>
      </c>
      <c r="F201" s="3"/>
      <c r="G201" s="122"/>
      <c r="H201" s="163"/>
    </row>
    <row r="202" spans="1:8" ht="12.75">
      <c r="A202" s="154" t="s">
        <v>341</v>
      </c>
      <c r="B202" s="126"/>
      <c r="C202" s="111"/>
      <c r="D202" s="119"/>
      <c r="E202" s="308">
        <f>REGINFO!D62*92/365</f>
        <v>13834.502835616437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3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484</v>
      </c>
      <c r="B206" s="126"/>
      <c r="C206" s="111"/>
      <c r="D206" s="119"/>
      <c r="E206" s="471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9">
        <f>+E196-E204</f>
        <v>6344.502835616437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907480315" bottom="0.486220472" header="0.511811023622047" footer="0"/>
  <pageSetup fitToHeight="3" horizontalDpi="600" verticalDpi="600" orientation="portrait" scale="60" r:id="rId1"/>
  <headerFooter alignWithMargins="0">
    <oddHeader>&amp;C&amp;12&amp;F &amp;A</oddHeader>
    <oddFooter>&amp;C&amp;P of &amp;N&amp;R&amp;A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EB-2011-0207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Name:Lakefield Distribution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45">
        <f>REGINFO!B6</f>
        <v>92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8">
        <v>0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64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64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5" t="s">
        <v>253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321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254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319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320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269</v>
      </c>
      <c r="B31" s="23" t="s">
        <v>186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5">
        <v>638327</v>
      </c>
      <c r="D32" s="286"/>
      <c r="E32" s="284">
        <f>C32-D32</f>
        <v>638327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5">
        <v>65168</v>
      </c>
      <c r="D33" s="286"/>
      <c r="E33" s="284">
        <f>C33-D33</f>
        <v>65168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5"/>
      <c r="D39" s="286"/>
      <c r="E39" s="284">
        <f>C39-D39</f>
        <v>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5"/>
      <c r="D40" s="286"/>
      <c r="E40" s="284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270</v>
      </c>
      <c r="B41" s="23" t="s">
        <v>187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271</v>
      </c>
      <c r="B42" s="23" t="s">
        <v>187</v>
      </c>
      <c r="C42" s="285">
        <v>729055</v>
      </c>
      <c r="D42" s="286"/>
      <c r="E42" s="284">
        <f t="shared" si="0"/>
        <v>729055</v>
      </c>
      <c r="F42" s="11"/>
      <c r="G42" s="11"/>
      <c r="H42" s="6"/>
      <c r="I42" s="6"/>
    </row>
    <row r="43" spans="1:9" ht="12.75">
      <c r="A43" s="4" t="s">
        <v>272</v>
      </c>
      <c r="B43" s="23" t="s">
        <v>187</v>
      </c>
      <c r="C43" s="285">
        <v>15735</v>
      </c>
      <c r="D43" s="286"/>
      <c r="E43" s="284">
        <f t="shared" si="0"/>
        <v>15735</v>
      </c>
      <c r="F43" s="11"/>
      <c r="G43" s="11"/>
      <c r="H43" s="6"/>
      <c r="I43" s="6"/>
    </row>
    <row r="44" spans="1:9" ht="12.75">
      <c r="A44" s="4" t="s">
        <v>273</v>
      </c>
      <c r="B44" s="23" t="s">
        <v>187</v>
      </c>
      <c r="C44" s="285">
        <v>0</v>
      </c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187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1">
        <f>SUM(C31:C36)-SUM(C39:C49)</f>
        <v>-41295</v>
      </c>
      <c r="D50" s="281">
        <f>SUM(D31:D36)-SUM(D39:D49)</f>
        <v>0</v>
      </c>
      <c r="E50" s="281">
        <f>SUM(E31:E35)-SUM(E39:E48)</f>
        <v>-41295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5">
        <v>764</v>
      </c>
      <c r="D51" s="285"/>
      <c r="E51" s="282">
        <f>+C51-D51</f>
        <v>764</v>
      </c>
      <c r="F51" s="11"/>
      <c r="G51" s="11"/>
      <c r="H51" s="6"/>
      <c r="I51" s="6"/>
    </row>
    <row r="52" spans="1:6" ht="12.75">
      <c r="A52" t="s">
        <v>181</v>
      </c>
      <c r="B52" s="8" t="s">
        <v>187</v>
      </c>
      <c r="C52" s="285">
        <v>0</v>
      </c>
      <c r="D52" s="285"/>
      <c r="E52" s="283">
        <f>+C52-D52</f>
        <v>0</v>
      </c>
      <c r="F52" s="8"/>
    </row>
    <row r="53" spans="1:6" ht="12.75">
      <c r="A53" s="2" t="s">
        <v>130</v>
      </c>
      <c r="B53" s="8" t="s">
        <v>188</v>
      </c>
      <c r="C53" s="281">
        <f>C50-C51-C52</f>
        <v>-42059</v>
      </c>
      <c r="D53" s="281">
        <f>D50-D51-D52</f>
        <v>0</v>
      </c>
      <c r="E53" s="281">
        <f>E50-E51-E52</f>
        <v>-42059</v>
      </c>
      <c r="F53" s="8"/>
    </row>
    <row r="54" spans="1:6" ht="24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7">
        <f>C52</f>
        <v>0</v>
      </c>
      <c r="D59" s="287">
        <f>D52</f>
        <v>0</v>
      </c>
      <c r="E59" s="272">
        <f>+C59-D59</f>
        <v>0</v>
      </c>
      <c r="F59" s="8"/>
      <c r="G59" s="488"/>
    </row>
    <row r="60" spans="1:6" ht="12.75">
      <c r="A60" s="4" t="s">
        <v>322</v>
      </c>
      <c r="B60" s="8" t="s">
        <v>186</v>
      </c>
      <c r="C60" s="479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186</v>
      </c>
      <c r="C61" s="485">
        <v>15735</v>
      </c>
      <c r="D61" s="287">
        <f>D43</f>
        <v>0</v>
      </c>
      <c r="E61" s="272">
        <f>+C61-D61</f>
        <v>15735</v>
      </c>
      <c r="F61" s="8"/>
    </row>
    <row r="62" spans="1:6" ht="12.75">
      <c r="A62" t="s">
        <v>6</v>
      </c>
      <c r="B62" s="8" t="s">
        <v>186</v>
      </c>
      <c r="C62" s="479"/>
      <c r="D62" s="287">
        <v>0</v>
      </c>
      <c r="E62" s="272">
        <f>+C62-D62</f>
        <v>0</v>
      </c>
      <c r="F62" s="8"/>
    </row>
    <row r="63" spans="1:6" ht="12.75">
      <c r="A63" s="31" t="s">
        <v>274</v>
      </c>
      <c r="B63" s="8" t="s">
        <v>186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186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437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7" t="s">
        <v>388</v>
      </c>
      <c r="B66" s="8"/>
      <c r="C66" s="446">
        <f>'TAXREC 3'!C47</f>
        <v>0</v>
      </c>
      <c r="D66" s="446">
        <f>'TAXREC 3'!D47</f>
        <v>0</v>
      </c>
      <c r="E66" s="272">
        <f>+C66-D66</f>
        <v>0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2">
        <f>SUM(C59:C68)</f>
        <v>15735</v>
      </c>
      <c r="D70" s="272">
        <f>SUM(D59:D68)</f>
        <v>0</v>
      </c>
      <c r="E70" s="272">
        <f>SUM(E59:E68)</f>
        <v>15735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15735</v>
      </c>
      <c r="D82" s="250">
        <f>D70+D80</f>
        <v>0</v>
      </c>
      <c r="E82" s="250">
        <f>E70+E80</f>
        <v>15735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425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196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4">
        <v>6510</v>
      </c>
      <c r="D97" s="294"/>
      <c r="E97" s="272">
        <f>+C97-D97</f>
        <v>6510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4">
        <v>0</v>
      </c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4">
        <v>0</v>
      </c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187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187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388</v>
      </c>
      <c r="B108" s="8"/>
      <c r="C108" s="253">
        <f>'TAXREC 3'!C73</f>
        <v>0</v>
      </c>
      <c r="D108" s="253">
        <f>'TAXREC 3'!D73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6510</v>
      </c>
      <c r="D113" s="250">
        <f>SUM(D97:D111)</f>
        <v>0</v>
      </c>
      <c r="E113" s="250">
        <f>SUM(E97:E111)</f>
        <v>6510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187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6510</v>
      </c>
      <c r="D122" s="250">
        <f>D113+D120</f>
        <v>0</v>
      </c>
      <c r="E122" s="250">
        <f>+E113+E120</f>
        <v>6510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/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198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199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197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-32834</v>
      </c>
      <c r="D134" s="250">
        <f>D53+D82-D122</f>
        <v>0</v>
      </c>
      <c r="E134" s="250">
        <f>E53+E82-E122</f>
        <v>-32834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370</v>
      </c>
      <c r="B136" s="8" t="s">
        <v>187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371</v>
      </c>
      <c r="B137" s="8" t="s">
        <v>187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-32834</v>
      </c>
      <c r="D139" s="251">
        <f>D134-D136-D137-D138</f>
        <v>0</v>
      </c>
      <c r="E139" s="251">
        <f>E134-E136-E137-E138</f>
        <v>-32834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186</v>
      </c>
      <c r="C142" s="298">
        <v>0</v>
      </c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186</v>
      </c>
      <c r="C143" s="486">
        <v>0</v>
      </c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187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98</v>
      </c>
      <c r="B146" s="8" t="s">
        <v>188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301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405">
        <f>'Tax Rates'!F50</f>
        <v>0.2812</v>
      </c>
      <c r="D149" s="5"/>
      <c r="E149" s="406">
        <f>C149</f>
        <v>0.2812</v>
      </c>
      <c r="F149" s="8"/>
      <c r="G149" s="45" t="s">
        <v>462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405">
        <f>'Tax Rates'!F51</f>
        <v>0.125</v>
      </c>
      <c r="D150" s="5"/>
      <c r="E150" s="406">
        <f>C150</f>
        <v>0.125</v>
      </c>
      <c r="F150" s="8"/>
      <c r="G150" s="45" t="s">
        <v>463</v>
      </c>
      <c r="H150" s="45"/>
      <c r="I150" s="45"/>
      <c r="J150" s="45"/>
      <c r="K150" s="45"/>
    </row>
    <row r="151" spans="1:11" ht="12.75">
      <c r="A151" t="s">
        <v>326</v>
      </c>
      <c r="B151" s="8"/>
      <c r="C151" s="406">
        <f>SUM(C149:C150)</f>
        <v>0.4062</v>
      </c>
      <c r="D151" s="5"/>
      <c r="E151" s="406">
        <f>SUM(E149:E150)</f>
        <v>0.4062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330</v>
      </c>
      <c r="B155" s="8"/>
    </row>
    <row r="156" spans="1:5" ht="12.75">
      <c r="A156" t="s">
        <v>218</v>
      </c>
      <c r="B156" s="86" t="s">
        <v>186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6" t="s">
        <v>186</v>
      </c>
      <c r="C157" s="250">
        <v>864</v>
      </c>
      <c r="D157" s="250"/>
      <c r="E157" s="250">
        <f>C157+D157</f>
        <v>864</v>
      </c>
    </row>
    <row r="158" spans="1:5" ht="12.75">
      <c r="A158" t="s">
        <v>217</v>
      </c>
      <c r="B158" s="86" t="s">
        <v>186</v>
      </c>
      <c r="C158" s="25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298</v>
      </c>
      <c r="B160" s="66" t="s">
        <v>188</v>
      </c>
      <c r="C160" s="250">
        <f>C156+C157+C158</f>
        <v>864</v>
      </c>
      <c r="D160" s="250">
        <f>D156+D157+D158</f>
        <v>0</v>
      </c>
      <c r="E160" s="250">
        <f>E156+E157+E158</f>
        <v>864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7" r:id="rId1"/>
  <headerFooter alignWithMargins="0">
    <oddHeader>&amp;C&amp;12&amp;F &amp;A</oddHeader>
    <oddFooter>&amp;C&amp;P of &amp;N&amp;R&amp;A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EB-2011-0207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Name:Lakefield Distribution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268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276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277</v>
      </c>
      <c r="B15" s="61"/>
      <c r="C15" s="294"/>
      <c r="D15" s="294"/>
      <c r="E15" s="250">
        <f t="shared" si="0"/>
        <v>0</v>
      </c>
    </row>
    <row r="16" spans="1:5" ht="12.75">
      <c r="A16" s="61" t="s">
        <v>278</v>
      </c>
      <c r="B16" s="61"/>
      <c r="C16" s="294"/>
      <c r="D16" s="294"/>
      <c r="E16" s="250">
        <f t="shared" si="0"/>
        <v>0</v>
      </c>
    </row>
    <row r="17" spans="1:5" ht="12.75">
      <c r="A17" s="61" t="s">
        <v>279</v>
      </c>
      <c r="B17" s="61"/>
      <c r="C17" s="294"/>
      <c r="D17" s="294"/>
      <c r="E17" s="250">
        <f t="shared" si="0"/>
        <v>0</v>
      </c>
    </row>
    <row r="18" spans="1:5" ht="12.75">
      <c r="A18" s="61" t="s">
        <v>442</v>
      </c>
      <c r="B18" s="61"/>
      <c r="C18" s="294"/>
      <c r="D18" s="294"/>
      <c r="E18" s="250">
        <f t="shared" si="0"/>
        <v>0</v>
      </c>
    </row>
    <row r="19" spans="1:5" ht="12.75">
      <c r="A19" s="61" t="s">
        <v>442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267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276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277</v>
      </c>
      <c r="B27" s="61"/>
      <c r="C27" s="294"/>
      <c r="D27" s="294"/>
      <c r="E27" s="250">
        <f t="shared" si="1"/>
        <v>0</v>
      </c>
    </row>
    <row r="28" spans="1:5" ht="12.75">
      <c r="A28" s="61" t="s">
        <v>278</v>
      </c>
      <c r="B28" s="61"/>
      <c r="C28" s="294"/>
      <c r="D28" s="294"/>
      <c r="E28" s="250">
        <f t="shared" si="1"/>
        <v>0</v>
      </c>
    </row>
    <row r="29" spans="1:5" ht="12.75">
      <c r="A29" s="61" t="s">
        <v>279</v>
      </c>
      <c r="B29" s="61"/>
      <c r="C29" s="294"/>
      <c r="D29" s="294"/>
      <c r="E29" s="250">
        <f t="shared" si="1"/>
        <v>0</v>
      </c>
    </row>
    <row r="30" spans="1:5" ht="12.75">
      <c r="A30" s="61" t="s">
        <v>442</v>
      </c>
      <c r="B30" s="61"/>
      <c r="C30" s="294"/>
      <c r="D30" s="294"/>
      <c r="E30" s="250">
        <f t="shared" si="1"/>
        <v>0</v>
      </c>
    </row>
    <row r="31" spans="1:5" ht="12.75">
      <c r="A31" s="61" t="s">
        <v>442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131</v>
      </c>
      <c r="C34" s="22"/>
      <c r="D34" s="22"/>
      <c r="E34" s="279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268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262</v>
      </c>
      <c r="B43" s="61"/>
      <c r="C43" s="294"/>
      <c r="D43" s="294"/>
      <c r="E43" s="250">
        <f t="shared" si="2"/>
        <v>0</v>
      </c>
    </row>
    <row r="44" spans="1:5" ht="12.75">
      <c r="A44" s="61" t="s">
        <v>263</v>
      </c>
      <c r="B44" s="61"/>
      <c r="C44" s="294"/>
      <c r="D44" s="294"/>
      <c r="E44" s="250">
        <f t="shared" si="2"/>
        <v>0</v>
      </c>
    </row>
    <row r="45" spans="1:5" ht="12.75">
      <c r="A45" s="61" t="s">
        <v>264</v>
      </c>
      <c r="B45" s="61"/>
      <c r="C45" s="294"/>
      <c r="D45" s="294"/>
      <c r="E45" s="250">
        <f t="shared" si="2"/>
        <v>0</v>
      </c>
    </row>
    <row r="46" spans="1:5" ht="12.75">
      <c r="A46" s="61" t="s">
        <v>265</v>
      </c>
      <c r="B46" s="61"/>
      <c r="C46" s="294"/>
      <c r="D46" s="294"/>
      <c r="E46" s="250">
        <f t="shared" si="2"/>
        <v>0</v>
      </c>
    </row>
    <row r="47" spans="1:5" ht="12.75">
      <c r="A47" s="61" t="s">
        <v>442</v>
      </c>
      <c r="B47" s="61"/>
      <c r="C47" s="294"/>
      <c r="D47" s="294"/>
      <c r="E47" s="250">
        <f t="shared" si="2"/>
        <v>0</v>
      </c>
    </row>
    <row r="48" spans="1:5" ht="12.75">
      <c r="A48" s="61" t="s">
        <v>442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267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262</v>
      </c>
      <c r="B55" s="61"/>
      <c r="C55" s="294"/>
      <c r="D55" s="294"/>
      <c r="E55" s="250">
        <f t="shared" si="3"/>
        <v>0</v>
      </c>
    </row>
    <row r="56" spans="1:5" ht="12.75">
      <c r="A56" s="245" t="s">
        <v>263</v>
      </c>
      <c r="B56" s="61"/>
      <c r="C56" s="294"/>
      <c r="D56" s="294"/>
      <c r="E56" s="250">
        <f t="shared" si="3"/>
        <v>0</v>
      </c>
    </row>
    <row r="57" spans="1:5" ht="12.75">
      <c r="A57" s="245" t="s">
        <v>264</v>
      </c>
      <c r="B57" s="61"/>
      <c r="C57" s="294"/>
      <c r="D57" s="294"/>
      <c r="E57" s="250">
        <f t="shared" si="3"/>
        <v>0</v>
      </c>
    </row>
    <row r="58" spans="1:5" ht="12.75">
      <c r="A58" s="245" t="s">
        <v>265</v>
      </c>
      <c r="B58" s="61"/>
      <c r="C58" s="294"/>
      <c r="D58" s="294"/>
      <c r="E58" s="250">
        <f t="shared" si="3"/>
        <v>0</v>
      </c>
    </row>
    <row r="59" spans="1:5" ht="12.75">
      <c r="A59" s="61" t="s">
        <v>442</v>
      </c>
      <c r="B59" s="61"/>
      <c r="C59" s="294"/>
      <c r="D59" s="294"/>
      <c r="E59" s="250">
        <f t="shared" si="3"/>
        <v>0</v>
      </c>
    </row>
    <row r="60" spans="1:5" ht="12.75">
      <c r="A60" s="61" t="s">
        <v>442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131</v>
      </c>
      <c r="C62" s="22"/>
      <c r="D62" s="22"/>
      <c r="E62" s="279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97" bottom="0.486220472" header="0.2" footer="0"/>
  <pageSetup fitToHeight="1" fitToWidth="1" horizontalDpi="600" verticalDpi="600" orientation="portrait" scale="84" r:id="rId1"/>
  <headerFooter alignWithMargins="0">
    <oddHeader>&amp;C&amp;F &amp;A</oddHeader>
    <oddFooter>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EB-2011-0207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459</v>
      </c>
      <c r="B5" s="8"/>
      <c r="C5" s="8" t="s">
        <v>2</v>
      </c>
      <c r="D5" s="8"/>
      <c r="E5" s="8"/>
      <c r="F5" s="8"/>
    </row>
    <row r="6" spans="1:6" ht="12.75">
      <c r="A6" s="416" t="s">
        <v>439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Name:Lakefield Distribution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1">
        <f>TAXREC!C11</f>
        <v>92</v>
      </c>
      <c r="D10" s="60"/>
      <c r="E10" s="25"/>
      <c r="F10" s="20"/>
    </row>
    <row r="11" spans="1:6" ht="12.75">
      <c r="A11" s="2" t="s">
        <v>118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5"/>
      <c r="D17" s="295"/>
      <c r="E17" s="313">
        <f>C17-D17</f>
        <v>0</v>
      </c>
    </row>
    <row r="18" spans="1:5" ht="12.75">
      <c r="A18" s="67" t="s">
        <v>248</v>
      </c>
      <c r="B18" t="s">
        <v>186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5"/>
      <c r="D19" s="295"/>
      <c r="E19" s="313">
        <f t="shared" si="0"/>
        <v>0</v>
      </c>
    </row>
    <row r="20" spans="1:5" ht="12.75">
      <c r="A20" s="67" t="s">
        <v>443</v>
      </c>
      <c r="B20" t="s">
        <v>186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/>
      <c r="B22" t="s">
        <v>186</v>
      </c>
      <c r="C22" s="295"/>
      <c r="D22" s="295"/>
      <c r="E22" s="313">
        <f t="shared" si="0"/>
        <v>0</v>
      </c>
    </row>
    <row r="23" spans="1:5" ht="12.75">
      <c r="A23" s="67" t="s">
        <v>136</v>
      </c>
      <c r="B23" t="s">
        <v>186</v>
      </c>
      <c r="C23" s="295"/>
      <c r="D23" s="295"/>
      <c r="E23" s="313">
        <f t="shared" si="0"/>
        <v>0</v>
      </c>
    </row>
    <row r="24" spans="1:5" ht="12.75">
      <c r="A24" s="67" t="s">
        <v>137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190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7" t="s">
        <v>123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138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139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249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140</v>
      </c>
      <c r="B32" t="s">
        <v>186</v>
      </c>
      <c r="C32" s="295"/>
      <c r="D32" s="295"/>
      <c r="E32" s="313">
        <f t="shared" si="0"/>
        <v>0</v>
      </c>
    </row>
    <row r="33" spans="1:5" ht="12.75">
      <c r="A33" s="67" t="s">
        <v>141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142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67" t="s">
        <v>192</v>
      </c>
      <c r="B35" t="s">
        <v>186</v>
      </c>
      <c r="C35" s="295"/>
      <c r="D35" s="295"/>
      <c r="E35" s="313">
        <f t="shared" si="0"/>
        <v>0</v>
      </c>
    </row>
    <row r="36" spans="1:5" ht="12.75">
      <c r="A36" s="67"/>
      <c r="B36" t="s">
        <v>186</v>
      </c>
      <c r="C36" s="295"/>
      <c r="D36" s="295"/>
      <c r="E36" s="313">
        <f t="shared" si="0"/>
        <v>0</v>
      </c>
    </row>
    <row r="37" spans="1:5" ht="12.75">
      <c r="A37" s="67"/>
      <c r="B37" t="s">
        <v>186</v>
      </c>
      <c r="C37" s="295"/>
      <c r="D37" s="295"/>
      <c r="E37" s="313">
        <f t="shared" si="0"/>
        <v>0</v>
      </c>
    </row>
    <row r="38" spans="2:5" ht="12.75">
      <c r="B38" t="s">
        <v>186</v>
      </c>
      <c r="C38" s="295"/>
      <c r="D38" s="295"/>
      <c r="E38" s="250">
        <f t="shared" si="0"/>
        <v>0</v>
      </c>
    </row>
    <row r="39" spans="2:5" ht="12.75">
      <c r="B39" t="s">
        <v>186</v>
      </c>
      <c r="C39" s="294"/>
      <c r="D39" s="295"/>
      <c r="E39" s="250">
        <f t="shared" si="0"/>
        <v>0</v>
      </c>
    </row>
    <row r="40" spans="1:5" ht="12.75">
      <c r="A40" s="68" t="s">
        <v>203</v>
      </c>
      <c r="B40" t="s">
        <v>186</v>
      </c>
      <c r="C40" s="294"/>
      <c r="D40" s="294"/>
      <c r="E40" s="250">
        <f t="shared" si="0"/>
        <v>0</v>
      </c>
    </row>
    <row r="41" spans="1:5" ht="12.75">
      <c r="A41" s="67"/>
      <c r="B41" t="s">
        <v>186</v>
      </c>
      <c r="C41" s="294"/>
      <c r="D41" s="294"/>
      <c r="E41" s="250">
        <f t="shared" si="0"/>
        <v>0</v>
      </c>
    </row>
    <row r="42" spans="1:5" ht="12.75">
      <c r="A42" s="67"/>
      <c r="B42" t="s">
        <v>186</v>
      </c>
      <c r="C42" s="294"/>
      <c r="D42" s="294"/>
      <c r="E42" s="250">
        <f t="shared" si="0"/>
        <v>0</v>
      </c>
    </row>
    <row r="43" spans="1:5" ht="12.75">
      <c r="A43" s="67"/>
      <c r="B43" t="s">
        <v>186</v>
      </c>
      <c r="C43" s="294"/>
      <c r="D43" s="294"/>
      <c r="E43" s="250">
        <f t="shared" si="0"/>
        <v>0</v>
      </c>
    </row>
    <row r="44" spans="1:5" ht="12.75">
      <c r="A44" s="67"/>
      <c r="B44" t="s">
        <v>186</v>
      </c>
      <c r="C44" s="294"/>
      <c r="D44" s="294"/>
      <c r="E44" s="250">
        <f t="shared" si="0"/>
        <v>0</v>
      </c>
    </row>
    <row r="45" spans="1:5" ht="12.75">
      <c r="A45" s="67"/>
      <c r="B45" t="s">
        <v>186</v>
      </c>
      <c r="C45" s="294"/>
      <c r="D45" s="294"/>
      <c r="E45" s="279"/>
    </row>
    <row r="46" spans="1:5" ht="12.75">
      <c r="A46" s="70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143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202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169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4"/>
      <c r="D82" s="294"/>
      <c r="E82" s="250">
        <f>C82-D82</f>
        <v>0</v>
      </c>
    </row>
    <row r="83" spans="1:5" ht="12.75">
      <c r="A83" s="71" t="s">
        <v>151</v>
      </c>
      <c r="B83" s="8" t="s">
        <v>187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4"/>
      <c r="D84" s="294"/>
      <c r="E84" s="250">
        <f t="shared" si="5"/>
        <v>0</v>
      </c>
    </row>
    <row r="85" spans="1:5" ht="12.75">
      <c r="A85" s="71" t="s">
        <v>250</v>
      </c>
      <c r="B85" s="8" t="s">
        <v>187</v>
      </c>
      <c r="C85" s="294"/>
      <c r="D85" s="294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4"/>
      <c r="D86" s="294"/>
      <c r="E86" s="250">
        <f t="shared" si="5"/>
        <v>0</v>
      </c>
    </row>
    <row r="87" spans="1:5" ht="12.75">
      <c r="A87" s="67" t="s">
        <v>372</v>
      </c>
      <c r="B87" s="8" t="s">
        <v>187</v>
      </c>
      <c r="C87" s="294"/>
      <c r="D87" s="294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4"/>
      <c r="D88" s="294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4"/>
      <c r="D89" s="294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4"/>
      <c r="D90" s="294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4"/>
      <c r="D91" s="294"/>
      <c r="E91" s="250">
        <f t="shared" si="5"/>
        <v>0</v>
      </c>
    </row>
    <row r="92" spans="2:5" ht="12.75">
      <c r="B92" s="8" t="s">
        <v>187</v>
      </c>
      <c r="C92" s="294"/>
      <c r="D92" s="294"/>
      <c r="E92" s="250"/>
    </row>
    <row r="93" spans="1:5" ht="12.75">
      <c r="A93" s="67"/>
      <c r="B93" s="8" t="s">
        <v>187</v>
      </c>
      <c r="C93" s="294"/>
      <c r="D93" s="294"/>
      <c r="E93" s="250">
        <f t="shared" si="5"/>
        <v>0</v>
      </c>
    </row>
    <row r="94" spans="1:5" ht="12.75">
      <c r="A94" s="67"/>
      <c r="B94" s="8" t="s">
        <v>187</v>
      </c>
      <c r="C94" s="294"/>
      <c r="D94" s="294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4"/>
      <c r="D95" s="294"/>
      <c r="E95" s="250">
        <f t="shared" si="5"/>
        <v>0</v>
      </c>
    </row>
    <row r="96" spans="1:5" ht="12.75">
      <c r="A96" s="67"/>
      <c r="B96" s="8" t="s">
        <v>187</v>
      </c>
      <c r="C96" s="294"/>
      <c r="D96" s="294"/>
      <c r="E96" s="250">
        <f t="shared" si="5"/>
        <v>0</v>
      </c>
    </row>
    <row r="97" spans="1:5" ht="12.75">
      <c r="A97" s="67"/>
      <c r="B97" s="8" t="s">
        <v>187</v>
      </c>
      <c r="C97" s="294"/>
      <c r="D97" s="294"/>
      <c r="E97" s="250">
        <f t="shared" si="5"/>
        <v>0</v>
      </c>
    </row>
    <row r="98" spans="1:5" ht="12.75">
      <c r="A98" s="67"/>
      <c r="B98" s="8" t="s">
        <v>187</v>
      </c>
      <c r="C98" s="294"/>
      <c r="D98" s="294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201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200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170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1.1" bottom="0.486220472" header="0.17" footer="0"/>
  <pageSetup fitToHeight="2" fitToWidth="1" horizontalDpi="600" verticalDpi="600" orientation="portrait" scale="73" r:id="rId1"/>
  <headerFooter alignWithMargins="0">
    <oddHeader>&amp;C&amp;F &amp;A</oddHeader>
    <oddFooter>&amp;C&amp;P of &amp;N&amp;R&amp;A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1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59" sqref="C5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EB-2011-0207</v>
      </c>
    </row>
    <row r="3" spans="1:5" ht="12.75">
      <c r="A3" s="2" t="s">
        <v>380</v>
      </c>
      <c r="E3" s="92"/>
    </row>
    <row r="4" spans="1:6" ht="15.75">
      <c r="A4" s="464" t="s">
        <v>439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Name:Lakefield Distribution Inc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1">
        <f>TAXREC!C11</f>
        <v>92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5"/>
      <c r="D19" s="295"/>
      <c r="E19" s="313">
        <f aca="true" t="shared" si="0" ref="E19:E45">C19-D19</f>
        <v>0</v>
      </c>
    </row>
    <row r="20" spans="1:5" ht="12.75">
      <c r="A20" t="s">
        <v>383</v>
      </c>
      <c r="B20" t="s">
        <v>186</v>
      </c>
      <c r="C20" s="295"/>
      <c r="D20" s="295"/>
      <c r="E20" s="313">
        <f t="shared" si="0"/>
        <v>0</v>
      </c>
    </row>
    <row r="21" spans="1:5" ht="12.75">
      <c r="A21" t="s">
        <v>447</v>
      </c>
      <c r="B21" t="s">
        <v>186</v>
      </c>
      <c r="C21" s="295"/>
      <c r="D21" s="295"/>
      <c r="E21" s="313">
        <f t="shared" si="0"/>
        <v>0</v>
      </c>
    </row>
    <row r="22" spans="1:5" ht="12.75">
      <c r="A22" s="67" t="s">
        <v>386</v>
      </c>
      <c r="B22" t="s">
        <v>186</v>
      </c>
      <c r="C22" s="295"/>
      <c r="D22" s="314"/>
      <c r="E22" s="313">
        <f t="shared" si="0"/>
        <v>0</v>
      </c>
    </row>
    <row r="23" spans="1:5" ht="12.75">
      <c r="A23" s="67" t="s">
        <v>387</v>
      </c>
      <c r="B23" t="s">
        <v>186</v>
      </c>
      <c r="C23" s="295">
        <v>0</v>
      </c>
      <c r="D23" s="295"/>
      <c r="E23" s="313">
        <f t="shared" si="0"/>
        <v>0</v>
      </c>
    </row>
    <row r="24" spans="1:5" ht="12.75">
      <c r="A24" s="67" t="s">
        <v>448</v>
      </c>
      <c r="B24" t="s">
        <v>186</v>
      </c>
      <c r="C24" s="295"/>
      <c r="D24" s="295"/>
      <c r="E24" s="313">
        <f t="shared" si="0"/>
        <v>0</v>
      </c>
    </row>
    <row r="25" spans="1:5" ht="12.75">
      <c r="A25" s="67" t="s">
        <v>124</v>
      </c>
      <c r="B25" t="s">
        <v>186</v>
      </c>
      <c r="C25" s="295"/>
      <c r="D25" s="295"/>
      <c r="E25" s="313">
        <f t="shared" si="0"/>
        <v>0</v>
      </c>
    </row>
    <row r="26" spans="1:5" ht="12.75">
      <c r="A26" s="67" t="s">
        <v>133</v>
      </c>
      <c r="B26" t="s">
        <v>186</v>
      </c>
      <c r="C26" s="295"/>
      <c r="D26" s="295"/>
      <c r="E26" s="313">
        <f t="shared" si="0"/>
        <v>0</v>
      </c>
    </row>
    <row r="27" spans="1:5" ht="12.75">
      <c r="A27" s="67" t="s">
        <v>431</v>
      </c>
      <c r="B27" t="s">
        <v>186</v>
      </c>
      <c r="C27" s="295"/>
      <c r="D27" s="295"/>
      <c r="E27" s="313">
        <f t="shared" si="0"/>
        <v>0</v>
      </c>
    </row>
    <row r="28" spans="1:5" ht="12.75">
      <c r="A28" s="67" t="s">
        <v>385</v>
      </c>
      <c r="B28" t="s">
        <v>186</v>
      </c>
      <c r="C28" s="295"/>
      <c r="D28" s="295"/>
      <c r="E28" s="313">
        <f t="shared" si="0"/>
        <v>0</v>
      </c>
    </row>
    <row r="29" spans="1:5" ht="12.75">
      <c r="A29" s="67" t="s">
        <v>135</v>
      </c>
      <c r="B29" t="s">
        <v>186</v>
      </c>
      <c r="C29" s="295"/>
      <c r="D29" s="295"/>
      <c r="E29" s="313">
        <f t="shared" si="0"/>
        <v>0</v>
      </c>
    </row>
    <row r="30" spans="1:5" ht="12.75">
      <c r="A30" s="67" t="s">
        <v>384</v>
      </c>
      <c r="B30" t="s">
        <v>186</v>
      </c>
      <c r="C30" s="295"/>
      <c r="D30" s="295"/>
      <c r="E30" s="313">
        <f t="shared" si="0"/>
        <v>0</v>
      </c>
    </row>
    <row r="31" spans="1:5" ht="12.75">
      <c r="A31" s="67" t="s">
        <v>191</v>
      </c>
      <c r="B31" t="s">
        <v>186</v>
      </c>
      <c r="C31" s="295"/>
      <c r="D31" s="295"/>
      <c r="E31" s="313">
        <f t="shared" si="0"/>
        <v>0</v>
      </c>
    </row>
    <row r="32" spans="1:5" ht="12.75">
      <c r="A32" s="67" t="s">
        <v>426</v>
      </c>
      <c r="B32" t="s">
        <v>186</v>
      </c>
      <c r="C32" s="295">
        <v>0</v>
      </c>
      <c r="D32" s="295"/>
      <c r="E32" s="313">
        <f t="shared" si="0"/>
        <v>0</v>
      </c>
    </row>
    <row r="33" spans="1:5" ht="12.75">
      <c r="A33" s="67" t="s">
        <v>427</v>
      </c>
      <c r="B33" t="s">
        <v>186</v>
      </c>
      <c r="C33" s="295"/>
      <c r="D33" s="295"/>
      <c r="E33" s="313">
        <f t="shared" si="0"/>
        <v>0</v>
      </c>
    </row>
    <row r="34" spans="1:5" ht="12.75">
      <c r="A34" s="67" t="s">
        <v>444</v>
      </c>
      <c r="B34" t="s">
        <v>186</v>
      </c>
      <c r="C34" s="295"/>
      <c r="D34" s="295"/>
      <c r="E34" s="313">
        <f t="shared" si="0"/>
        <v>0</v>
      </c>
    </row>
    <row r="35" spans="1:5" ht="12.75">
      <c r="A35" s="81" t="s">
        <v>445</v>
      </c>
      <c r="B35" t="s">
        <v>186</v>
      </c>
      <c r="C35" s="295"/>
      <c r="D35" s="295"/>
      <c r="E35" s="313"/>
    </row>
    <row r="36" spans="1:5" ht="12.75">
      <c r="A36" s="67" t="s">
        <v>428</v>
      </c>
      <c r="B36" t="s">
        <v>186</v>
      </c>
      <c r="C36" s="295"/>
      <c r="D36" s="295"/>
      <c r="E36" s="313"/>
    </row>
    <row r="37" spans="1:5" ht="12.75">
      <c r="A37" s="67" t="s">
        <v>429</v>
      </c>
      <c r="B37" t="s">
        <v>186</v>
      </c>
      <c r="C37" s="295"/>
      <c r="D37" s="295"/>
      <c r="E37" s="313"/>
    </row>
    <row r="38" spans="1:5" ht="12.75">
      <c r="A38" s="81" t="s">
        <v>480</v>
      </c>
      <c r="B38" t="s">
        <v>186</v>
      </c>
      <c r="C38" s="295"/>
      <c r="D38" s="295"/>
      <c r="E38" s="313"/>
    </row>
    <row r="39" spans="2:5" ht="12.75">
      <c r="B39" t="s">
        <v>186</v>
      </c>
      <c r="C39" s="295"/>
      <c r="D39" s="295"/>
      <c r="E39" s="313">
        <f t="shared" si="0"/>
        <v>0</v>
      </c>
    </row>
    <row r="40" spans="1:5" ht="12.75">
      <c r="A40" s="81" t="s">
        <v>382</v>
      </c>
      <c r="B40" t="s">
        <v>186</v>
      </c>
      <c r="C40" s="295"/>
      <c r="D40" s="295"/>
      <c r="E40" s="313">
        <f t="shared" si="0"/>
        <v>0</v>
      </c>
    </row>
    <row r="41" spans="1:5" ht="12.75">
      <c r="A41" s="67" t="s">
        <v>451</v>
      </c>
      <c r="B41" t="s">
        <v>186</v>
      </c>
      <c r="C41" s="295"/>
      <c r="D41" s="295"/>
      <c r="E41" s="313">
        <f t="shared" si="0"/>
        <v>0</v>
      </c>
    </row>
    <row r="42" spans="2:5" ht="12.75">
      <c r="B42" t="s">
        <v>186</v>
      </c>
      <c r="C42" s="295"/>
      <c r="D42" s="295"/>
      <c r="E42" s="313">
        <f t="shared" si="0"/>
        <v>0</v>
      </c>
    </row>
    <row r="43" spans="1:5" ht="12.75">
      <c r="A43" s="68" t="s">
        <v>203</v>
      </c>
      <c r="B43" t="s">
        <v>186</v>
      </c>
      <c r="C43" s="295"/>
      <c r="D43" s="295"/>
      <c r="E43" s="313">
        <f t="shared" si="0"/>
        <v>0</v>
      </c>
    </row>
    <row r="44" spans="1:5" ht="12.75">
      <c r="A44" t="s">
        <v>479</v>
      </c>
      <c r="B44" t="s">
        <v>186</v>
      </c>
      <c r="C44" s="294"/>
      <c r="D44" s="294"/>
      <c r="E44" s="250">
        <f t="shared" si="0"/>
        <v>0</v>
      </c>
    </row>
    <row r="45" spans="2:5" ht="12.75">
      <c r="B45" t="s">
        <v>186</v>
      </c>
      <c r="C45" s="294"/>
      <c r="D45" s="294"/>
      <c r="E45" s="250">
        <f t="shared" si="0"/>
        <v>0</v>
      </c>
    </row>
    <row r="46" spans="1:5" ht="12.75">
      <c r="A46" s="67"/>
      <c r="B46" t="s">
        <v>186</v>
      </c>
      <c r="C46" s="294"/>
      <c r="D46" s="294"/>
      <c r="E46" s="279"/>
    </row>
    <row r="47" spans="1:5" ht="12.75">
      <c r="A47" s="449" t="s">
        <v>390</v>
      </c>
      <c r="B47" t="s">
        <v>188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144</v>
      </c>
    </row>
    <row r="51" spans="1:5" ht="12.75">
      <c r="A51" s="71" t="s">
        <v>383</v>
      </c>
      <c r="B51" s="8" t="s">
        <v>187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447</v>
      </c>
      <c r="B52" s="8" t="s">
        <v>187</v>
      </c>
      <c r="C52" s="294"/>
      <c r="D52" s="294"/>
      <c r="E52" s="250">
        <f t="shared" si="1"/>
        <v>0</v>
      </c>
    </row>
    <row r="53" spans="1:5" ht="12.75">
      <c r="A53" t="s">
        <v>384</v>
      </c>
      <c r="B53" s="8" t="s">
        <v>187</v>
      </c>
      <c r="C53" s="294"/>
      <c r="D53" s="294"/>
      <c r="E53" s="250">
        <f t="shared" si="1"/>
        <v>0</v>
      </c>
    </row>
    <row r="54" spans="1:5" ht="12.75">
      <c r="A54" t="s">
        <v>430</v>
      </c>
      <c r="B54" s="8" t="s">
        <v>187</v>
      </c>
      <c r="C54" s="294">
        <v>0</v>
      </c>
      <c r="D54" s="294"/>
      <c r="E54" s="250">
        <f t="shared" si="1"/>
        <v>0</v>
      </c>
    </row>
    <row r="55" spans="1:5" ht="12.75">
      <c r="A55" s="67" t="s">
        <v>438</v>
      </c>
      <c r="B55" s="8" t="s">
        <v>187</v>
      </c>
      <c r="C55" s="294"/>
      <c r="D55" s="294"/>
      <c r="E55" s="250">
        <f t="shared" si="1"/>
        <v>0</v>
      </c>
    </row>
    <row r="56" spans="1:5" ht="12.75">
      <c r="A56" s="67" t="s">
        <v>450</v>
      </c>
      <c r="B56" s="8" t="s">
        <v>187</v>
      </c>
      <c r="C56" s="294"/>
      <c r="D56" s="294"/>
      <c r="E56" s="250">
        <f t="shared" si="1"/>
        <v>0</v>
      </c>
    </row>
    <row r="57" spans="1:5" ht="12.75">
      <c r="A57" s="2" t="s">
        <v>446</v>
      </c>
      <c r="B57" s="8" t="s">
        <v>187</v>
      </c>
      <c r="C57" s="294"/>
      <c r="D57" s="294"/>
      <c r="E57" s="250">
        <f t="shared" si="1"/>
        <v>0</v>
      </c>
    </row>
    <row r="58" spans="1:5" ht="12.75">
      <c r="A58" s="67" t="s">
        <v>449</v>
      </c>
      <c r="B58" s="8" t="s">
        <v>187</v>
      </c>
      <c r="C58" s="294"/>
      <c r="D58" s="294"/>
      <c r="E58" s="250">
        <f t="shared" si="1"/>
        <v>0</v>
      </c>
    </row>
    <row r="59" spans="1:5" ht="12.75">
      <c r="A59" s="489" t="s">
        <v>499</v>
      </c>
      <c r="B59" s="8" t="s">
        <v>187</v>
      </c>
      <c r="C59" s="294"/>
      <c r="D59" s="294"/>
      <c r="E59" s="250">
        <f t="shared" si="1"/>
        <v>0</v>
      </c>
    </row>
    <row r="60" spans="1:5" ht="12.75">
      <c r="A60" s="468" t="s">
        <v>481</v>
      </c>
      <c r="B60" s="8" t="s">
        <v>187</v>
      </c>
      <c r="C60" s="294">
        <v>0</v>
      </c>
      <c r="D60" s="294"/>
      <c r="E60" s="250">
        <f t="shared" si="1"/>
        <v>0</v>
      </c>
    </row>
    <row r="61" spans="2:5" ht="12.75">
      <c r="B61" s="8" t="s">
        <v>187</v>
      </c>
      <c r="C61" s="294"/>
      <c r="D61" s="294"/>
      <c r="E61" s="250">
        <f t="shared" si="1"/>
        <v>0</v>
      </c>
    </row>
    <row r="62" spans="1:5" ht="12.75">
      <c r="A62" s="468" t="s">
        <v>495</v>
      </c>
      <c r="B62" s="8" t="s">
        <v>187</v>
      </c>
      <c r="C62" s="294"/>
      <c r="D62" s="294"/>
      <c r="E62" s="250">
        <f aca="true" t="shared" si="2" ref="E62:E72">C62-D62</f>
        <v>0</v>
      </c>
    </row>
    <row r="63" spans="1:5" ht="12.75">
      <c r="A63" s="4" t="s">
        <v>496</v>
      </c>
      <c r="B63" s="8" t="s">
        <v>187</v>
      </c>
      <c r="C63" s="294"/>
      <c r="D63" s="294"/>
      <c r="E63" s="250">
        <f t="shared" si="2"/>
        <v>0</v>
      </c>
    </row>
    <row r="64" spans="2:5" ht="12.75">
      <c r="B64" s="8" t="s">
        <v>187</v>
      </c>
      <c r="C64" s="294"/>
      <c r="D64" s="294"/>
      <c r="E64" s="250">
        <f t="shared" si="2"/>
        <v>0</v>
      </c>
    </row>
    <row r="65" spans="2:5" ht="12.75">
      <c r="B65" s="8" t="s">
        <v>187</v>
      </c>
      <c r="C65" s="294"/>
      <c r="D65" s="294"/>
      <c r="E65" s="250">
        <f t="shared" si="2"/>
        <v>0</v>
      </c>
    </row>
    <row r="66" spans="2:5" ht="12.75">
      <c r="B66" s="8" t="s">
        <v>187</v>
      </c>
      <c r="C66" s="294"/>
      <c r="D66" s="294"/>
      <c r="E66" s="250">
        <f t="shared" si="2"/>
        <v>0</v>
      </c>
    </row>
    <row r="67" spans="1:5" ht="12.75">
      <c r="A67" s="67"/>
      <c r="B67" s="8" t="s">
        <v>187</v>
      </c>
      <c r="C67" s="294"/>
      <c r="D67" s="294"/>
      <c r="E67" s="250">
        <f t="shared" si="2"/>
        <v>0</v>
      </c>
    </row>
    <row r="68" spans="1:5" ht="12.75">
      <c r="A68" s="68" t="s">
        <v>204</v>
      </c>
      <c r="B68" s="8" t="s">
        <v>187</v>
      </c>
      <c r="C68" s="294"/>
      <c r="D68" s="294"/>
      <c r="E68" s="250">
        <f t="shared" si="2"/>
        <v>0</v>
      </c>
    </row>
    <row r="69" spans="1:5" ht="12.75">
      <c r="A69" s="67" t="s">
        <v>482</v>
      </c>
      <c r="B69" s="8" t="s">
        <v>187</v>
      </c>
      <c r="C69" s="294"/>
      <c r="D69" s="294"/>
      <c r="E69" s="250">
        <f t="shared" si="2"/>
        <v>0</v>
      </c>
    </row>
    <row r="70" spans="1:5" ht="12.75">
      <c r="A70" s="67" t="s">
        <v>494</v>
      </c>
      <c r="B70" s="8" t="s">
        <v>187</v>
      </c>
      <c r="C70" s="294"/>
      <c r="D70" s="294"/>
      <c r="E70" s="250">
        <f t="shared" si="2"/>
        <v>0</v>
      </c>
    </row>
    <row r="71" spans="1:5" ht="12.75">
      <c r="A71" s="67"/>
      <c r="B71" s="8" t="s">
        <v>187</v>
      </c>
      <c r="C71" s="294"/>
      <c r="D71" s="294"/>
      <c r="E71" s="250">
        <f t="shared" si="2"/>
        <v>0</v>
      </c>
    </row>
    <row r="72" spans="1:5" ht="12.75">
      <c r="A72" s="67"/>
      <c r="B72" s="8" t="s">
        <v>187</v>
      </c>
      <c r="C72" s="294"/>
      <c r="D72" s="294"/>
      <c r="E72" s="279">
        <f t="shared" si="2"/>
        <v>0</v>
      </c>
    </row>
    <row r="73" spans="1:5" ht="12.75">
      <c r="A73" s="448" t="s">
        <v>389</v>
      </c>
      <c r="B73" s="8" t="s">
        <v>188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1.08" bottom="0.486220472" header="0.21" footer="0"/>
  <pageSetup fitToHeight="1" fitToWidth="1" horizontalDpi="600" verticalDpi="600" orientation="portrait" scale="66" r:id="rId1"/>
  <headerFooter alignWithMargins="0">
    <oddHeader>&amp;C&amp;F &amp;A</oddHeader>
    <oddFooter>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EB-2011-0207</v>
      </c>
      <c r="B1" s="386"/>
      <c r="C1" s="343"/>
      <c r="D1" s="343"/>
      <c r="E1" s="343"/>
      <c r="F1" s="343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4" t="s">
        <v>106</v>
      </c>
      <c r="B2" s="343"/>
      <c r="C2" s="343"/>
      <c r="D2" s="343"/>
      <c r="E2" s="343"/>
      <c r="F2" s="345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4" t="s">
        <v>302</v>
      </c>
      <c r="B3" s="343"/>
      <c r="C3" s="343"/>
      <c r="D3" s="343"/>
      <c r="E3" s="343"/>
      <c r="F3" s="345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Name:Lakefield Distribution Inc</v>
      </c>
      <c r="B4" s="343"/>
      <c r="C4" s="343"/>
      <c r="D4" s="343"/>
      <c r="E4" s="343"/>
      <c r="F4" s="343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2001</v>
      </c>
      <c r="B5" s="343"/>
      <c r="C5" s="343"/>
      <c r="D5" s="343"/>
      <c r="E5" s="343"/>
      <c r="F5" s="343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4"/>
      <c r="B7" s="343"/>
      <c r="C7" s="343"/>
      <c r="D7" s="343"/>
      <c r="E7" s="343"/>
      <c r="F7" s="411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9" t="s">
        <v>475</v>
      </c>
      <c r="B8" s="500"/>
      <c r="C8" s="500"/>
      <c r="D8" s="500"/>
      <c r="E8" s="343"/>
      <c r="F8" s="383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111</v>
      </c>
      <c r="B9" s="326"/>
      <c r="C9" s="374">
        <v>0</v>
      </c>
      <c r="D9" s="374"/>
      <c r="E9" s="374">
        <v>50000</v>
      </c>
      <c r="F9" s="375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461</v>
      </c>
      <c r="B10" s="327"/>
      <c r="C10" s="376" t="s">
        <v>110</v>
      </c>
      <c r="D10" s="376"/>
      <c r="E10" s="376" t="s">
        <v>110</v>
      </c>
      <c r="F10" s="377" t="s">
        <v>470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115</v>
      </c>
      <c r="C11" s="378">
        <v>50000</v>
      </c>
      <c r="D11" s="378"/>
      <c r="E11" s="378">
        <v>175000</v>
      </c>
      <c r="F11" s="379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295</v>
      </c>
      <c r="B13" s="41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294</v>
      </c>
      <c r="B14" s="244"/>
      <c r="C14" s="328">
        <v>0.1312</v>
      </c>
      <c r="D14" s="328"/>
      <c r="E14" s="329">
        <v>0.2812</v>
      </c>
      <c r="F14" s="329">
        <v>0.2812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299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255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108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109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112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327</v>
      </c>
      <c r="B21" s="407" t="s">
        <v>471</v>
      </c>
      <c r="C21" s="362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328</v>
      </c>
      <c r="B22" s="408" t="s">
        <v>472</v>
      </c>
      <c r="C22" s="363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469</v>
      </c>
      <c r="B23" s="494"/>
      <c r="C23" s="494"/>
      <c r="D23" s="494"/>
      <c r="E23" s="494"/>
      <c r="F23" s="494"/>
      <c r="G23" s="438"/>
      <c r="H23" s="42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2"/>
      <c r="B24" s="413"/>
      <c r="C24" s="413"/>
      <c r="D24" s="413"/>
      <c r="E24" s="413"/>
      <c r="F24" s="41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80"/>
      <c r="B25" s="381"/>
      <c r="C25" s="384"/>
      <c r="D25" s="343"/>
      <c r="E25" s="343"/>
      <c r="F25" s="411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9" t="s">
        <v>473</v>
      </c>
      <c r="B26" s="500"/>
      <c r="C26" s="500"/>
      <c r="D26" s="500"/>
      <c r="E26" s="500"/>
      <c r="F26" s="50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111</v>
      </c>
      <c r="B27" s="326"/>
      <c r="C27" s="368">
        <v>0</v>
      </c>
      <c r="D27" s="368"/>
      <c r="E27" s="368">
        <v>50000</v>
      </c>
      <c r="F27" s="369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434</v>
      </c>
      <c r="B28" s="327"/>
      <c r="C28" s="370" t="s">
        <v>110</v>
      </c>
      <c r="D28" s="370"/>
      <c r="E28" s="370" t="s">
        <v>110</v>
      </c>
      <c r="F28" s="371" t="s">
        <v>470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115</v>
      </c>
      <c r="C29" s="372">
        <v>50000</v>
      </c>
      <c r="D29" s="372"/>
      <c r="E29" s="372">
        <v>175000</v>
      </c>
      <c r="F29" s="373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114</v>
      </c>
      <c r="B31" s="410">
        <v>2001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294</v>
      </c>
      <c r="B32" s="410">
        <v>2001</v>
      </c>
      <c r="C32" s="328">
        <v>0.1312</v>
      </c>
      <c r="D32" s="328"/>
      <c r="E32" s="329">
        <v>0.2812</v>
      </c>
      <c r="F32" s="329">
        <v>0.2812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29</v>
      </c>
      <c r="B33" s="410">
        <v>2001</v>
      </c>
      <c r="C33" s="330">
        <v>0.06</v>
      </c>
      <c r="D33" s="330"/>
      <c r="E33" s="331">
        <v>0.06</v>
      </c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255</v>
      </c>
      <c r="B34" s="410">
        <v>2001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0.4062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108</v>
      </c>
      <c r="B36" s="410">
        <v>2001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109</v>
      </c>
      <c r="B37" s="410">
        <v>2001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112</v>
      </c>
      <c r="B38" s="410">
        <v>2001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476</v>
      </c>
      <c r="B39" s="407" t="s">
        <v>471</v>
      </c>
      <c r="C39" s="362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477</v>
      </c>
      <c r="B40" s="408" t="s">
        <v>472</v>
      </c>
      <c r="C40" s="363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331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80"/>
      <c r="B43" s="381"/>
      <c r="C43" s="382"/>
      <c r="D43" s="381"/>
      <c r="E43" s="381"/>
      <c r="F43" s="411" t="s">
        <v>335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9" t="s">
        <v>474</v>
      </c>
      <c r="B44" s="366"/>
      <c r="C44" s="367"/>
      <c r="D44" s="366"/>
      <c r="E44" s="343"/>
      <c r="F44" s="383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1" t="s">
        <v>111</v>
      </c>
      <c r="B45" s="326"/>
      <c r="C45" s="368">
        <v>0</v>
      </c>
      <c r="D45" s="368"/>
      <c r="E45" s="368">
        <v>50000</v>
      </c>
      <c r="F45" s="369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2"/>
      <c r="B46" s="327"/>
      <c r="C46" s="370" t="s">
        <v>110</v>
      </c>
      <c r="D46" s="370"/>
      <c r="E46" s="370" t="s">
        <v>110</v>
      </c>
      <c r="F46" s="371" t="s">
        <v>470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2"/>
      <c r="B47" s="342" t="s">
        <v>115</v>
      </c>
      <c r="C47" s="372">
        <v>50000</v>
      </c>
      <c r="D47" s="372"/>
      <c r="E47" s="372">
        <v>175000</v>
      </c>
      <c r="F47" s="373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3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4" t="s">
        <v>114</v>
      </c>
      <c r="B49" s="410">
        <v>2001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4" t="s">
        <v>294</v>
      </c>
      <c r="B50" s="244"/>
      <c r="C50" s="352">
        <v>0.1312</v>
      </c>
      <c r="D50" s="352"/>
      <c r="E50" s="353">
        <v>0.2212</v>
      </c>
      <c r="F50" s="353">
        <v>0.2812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4" t="s">
        <v>29</v>
      </c>
      <c r="B51" s="244"/>
      <c r="C51" s="354">
        <v>0.06</v>
      </c>
      <c r="D51" s="354"/>
      <c r="E51" s="355">
        <v>0.0975</v>
      </c>
      <c r="F51" s="355">
        <v>0.125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4" t="s">
        <v>255</v>
      </c>
      <c r="B52" s="244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4"/>
      <c r="B53" s="244"/>
      <c r="C53" s="352"/>
      <c r="D53" s="352"/>
      <c r="E53" s="353"/>
      <c r="F53" s="353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3" t="s">
        <v>108</v>
      </c>
      <c r="B54" s="243"/>
      <c r="C54" s="356">
        <v>0.003</v>
      </c>
      <c r="D54" s="352"/>
      <c r="E54" s="353"/>
      <c r="F54" s="353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3" t="s">
        <v>109</v>
      </c>
      <c r="B55" s="237"/>
      <c r="C55" s="357">
        <v>0.00225</v>
      </c>
      <c r="D55" s="358"/>
      <c r="E55" s="359"/>
      <c r="F55" s="359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3" t="s">
        <v>112</v>
      </c>
      <c r="B56" s="237"/>
      <c r="C56" s="358">
        <v>0.0112</v>
      </c>
      <c r="D56" s="360"/>
      <c r="E56" s="361"/>
      <c r="F56" s="361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5" t="s">
        <v>345</v>
      </c>
      <c r="B57" s="407" t="s">
        <v>471</v>
      </c>
      <c r="C57" s="362">
        <v>3081341</v>
      </c>
      <c r="D57" s="360"/>
      <c r="E57" s="361"/>
      <c r="F57" s="361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5" t="s">
        <v>346</v>
      </c>
      <c r="B58" s="408" t="s">
        <v>472</v>
      </c>
      <c r="C58" s="363">
        <v>5415141</v>
      </c>
      <c r="D58" s="364"/>
      <c r="E58" s="365"/>
      <c r="F58" s="365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3" t="s">
        <v>347</v>
      </c>
      <c r="B59" s="497"/>
      <c r="C59" s="497"/>
      <c r="D59" s="497"/>
      <c r="E59" s="497"/>
      <c r="F59" s="497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35.25" customHeight="1">
      <c r="A60" s="498"/>
      <c r="B60" s="498"/>
      <c r="C60" s="498"/>
      <c r="D60" s="498"/>
      <c r="E60" s="498"/>
      <c r="F60" s="498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4"/>
      <c r="B61" s="345"/>
      <c r="C61" s="345"/>
      <c r="D61" s="345"/>
      <c r="E61" s="345"/>
      <c r="F61" s="347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4"/>
      <c r="B62" s="345"/>
      <c r="C62" s="346"/>
      <c r="D62" s="346"/>
      <c r="E62" s="346"/>
      <c r="F62" s="348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4"/>
      <c r="B63" s="343"/>
      <c r="C63" s="343"/>
      <c r="D63" s="343"/>
      <c r="E63" s="343"/>
      <c r="F63" s="343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9"/>
      <c r="B64" s="350"/>
      <c r="C64" s="351"/>
      <c r="D64" s="351"/>
      <c r="E64" s="351"/>
      <c r="F64" s="351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1.157480315" bottom="1.22" header="0.511811023622047" footer="0"/>
  <pageSetup fitToHeight="1" fitToWidth="1" horizontalDpi="600" verticalDpi="600" orientation="portrait" scale="64" r:id="rId1"/>
  <headerFooter alignWithMargins="0">
    <oddHeader>&amp;C&amp;F &amp;F</oddHeader>
    <oddFooter>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250"/>
  <sheetViews>
    <sheetView zoomScale="90" zoomScaleNormal="90" zoomScalePageLayoutView="0" workbookViewId="0" topLeftCell="B1">
      <selection activeCell="E142" sqref="E14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EB-2011-0207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457</v>
      </c>
      <c r="H1" s="209"/>
    </row>
    <row r="2" spans="1:8" ht="12.75">
      <c r="A2" s="210" t="s">
        <v>456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458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490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Name:Lakefield Distribution Inc</v>
      </c>
      <c r="B6" s="114"/>
      <c r="D6" s="136"/>
      <c r="E6" s="114"/>
      <c r="G6" s="114"/>
      <c r="H6" s="465"/>
    </row>
    <row r="7" spans="1:8" ht="12.75">
      <c r="A7" s="210" t="str">
        <f>REGINFO!A4</f>
        <v>Reporting period:  2001</v>
      </c>
      <c r="B7" s="114"/>
      <c r="D7" s="136"/>
      <c r="E7" s="114"/>
      <c r="G7" s="114"/>
      <c r="H7" s="465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29">
        <f>REGINFO!B6</f>
        <v>92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251</v>
      </c>
      <c r="B10" s="429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337</v>
      </c>
      <c r="B16" s="124">
        <v>1</v>
      </c>
      <c r="C16" s="259">
        <f>REGINFO!E54/4</f>
        <v>14340.5</v>
      </c>
      <c r="D16" s="17"/>
      <c r="E16" s="267">
        <f>G16-C16</f>
        <v>-55635.5</v>
      </c>
      <c r="F16" s="3"/>
      <c r="G16" s="267">
        <f>TAXREC!E50</f>
        <v>-41295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f>TAXCALC!C20</f>
        <v>17763</v>
      </c>
      <c r="D20" s="18"/>
      <c r="E20" s="267">
        <f>G20-C20</f>
        <v>-2028</v>
      </c>
      <c r="F20" s="6"/>
      <c r="G20" s="267">
        <f>TAXREC!E61</f>
        <v>15735</v>
      </c>
      <c r="H20" s="150"/>
    </row>
    <row r="21" spans="1:8" ht="12.75">
      <c r="A21" s="157" t="s">
        <v>56</v>
      </c>
      <c r="B21" s="126">
        <v>3</v>
      </c>
      <c r="C21" s="261">
        <f>TAXCALC!C21</f>
        <v>0</v>
      </c>
      <c r="D21" s="18"/>
      <c r="E21" s="267">
        <f>G21-C21</f>
        <v>0</v>
      </c>
      <c r="F21" s="6"/>
      <c r="G21" s="267">
        <f>TAXREC!E62</f>
        <v>0</v>
      </c>
      <c r="H21" s="150"/>
    </row>
    <row r="22" spans="1:8" ht="12.75">
      <c r="A22" s="157" t="s">
        <v>259</v>
      </c>
      <c r="B22" s="126">
        <v>4</v>
      </c>
      <c r="C22" s="261">
        <f>TAXCALC!C22</f>
        <v>0</v>
      </c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258</v>
      </c>
      <c r="B23" s="126">
        <v>4</v>
      </c>
      <c r="C23" s="261">
        <f>TAXCALC!C23</f>
        <v>0</v>
      </c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260</v>
      </c>
      <c r="B24" s="126">
        <v>5</v>
      </c>
      <c r="C24" s="261">
        <f>TAXCALC!C24</f>
        <v>0</v>
      </c>
      <c r="D24" s="18"/>
      <c r="E24" s="267">
        <f>G24-C24</f>
        <v>0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1">
        <f>TAXCALC!C26</f>
        <v>0</v>
      </c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158</v>
      </c>
      <c r="B27" s="126">
        <v>6</v>
      </c>
      <c r="C27" s="261">
        <f>TAXCALC!C27</f>
        <v>0</v>
      </c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157</v>
      </c>
      <c r="B28" s="126">
        <v>6</v>
      </c>
      <c r="C28" s="261">
        <f>TAXCALC!C28</f>
        <v>0</v>
      </c>
      <c r="D28" s="18"/>
      <c r="E28" s="267">
        <f>G28-C28</f>
        <v>0</v>
      </c>
      <c r="F28" s="6"/>
      <c r="G28" s="267">
        <f>TAXREC!E67</f>
        <v>0</v>
      </c>
      <c r="H28" s="150"/>
    </row>
    <row r="29" spans="1:8" ht="12.75">
      <c r="A29" s="157" t="s">
        <v>156</v>
      </c>
      <c r="B29" s="126">
        <v>6</v>
      </c>
      <c r="C29" s="261">
        <f>TAXCALC!C29</f>
        <v>0</v>
      </c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2.75">
      <c r="A30" s="404" t="s">
        <v>388</v>
      </c>
      <c r="B30" s="126"/>
      <c r="C30" s="259"/>
      <c r="D30" s="18"/>
      <c r="E30" s="267">
        <f>G30-C30</f>
        <v>0</v>
      </c>
      <c r="F30" s="6"/>
      <c r="G30" s="267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338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261">
        <f>TAXCALC!C33</f>
        <v>6814</v>
      </c>
      <c r="D33" s="131"/>
      <c r="E33" s="267">
        <f aca="true" t="shared" si="0" ref="E33:E42">G33-C33</f>
        <v>-304</v>
      </c>
      <c r="F33" s="6"/>
      <c r="G33" s="267">
        <f>TAXREC!E97+TAXREC!E98</f>
        <v>6510</v>
      </c>
      <c r="H33" s="150"/>
    </row>
    <row r="34" spans="1:8" ht="12.75">
      <c r="A34" s="157" t="s">
        <v>57</v>
      </c>
      <c r="B34" s="126">
        <v>8</v>
      </c>
      <c r="C34" s="261">
        <f>TAXCALC!C34</f>
        <v>0</v>
      </c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f>TAXCALC!C35</f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261</v>
      </c>
      <c r="B36" s="126">
        <v>10</v>
      </c>
      <c r="C36" s="261">
        <f>TAXCALC!C36</f>
        <v>0</v>
      </c>
      <c r="D36" s="131"/>
      <c r="E36" s="267">
        <f t="shared" si="0"/>
        <v>0</v>
      </c>
      <c r="F36" s="6"/>
      <c r="G36" s="267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60">
        <f>REGINFO!D64/4</f>
        <v>6069.388499708114</v>
      </c>
      <c r="D37" s="131"/>
      <c r="E37" s="267">
        <f t="shared" si="0"/>
        <v>-5305.388499708114</v>
      </c>
      <c r="F37" s="6"/>
      <c r="G37" s="267">
        <f>TAXREC!E51</f>
        <v>764</v>
      </c>
      <c r="H37" s="150"/>
    </row>
    <row r="38" spans="1:8" ht="12.75">
      <c r="A38" s="154" t="s">
        <v>257</v>
      </c>
      <c r="B38" s="124">
        <v>4</v>
      </c>
      <c r="C38" s="261">
        <f>TAXCALC!C38</f>
        <v>0</v>
      </c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256</v>
      </c>
      <c r="B39" s="124">
        <v>4</v>
      </c>
      <c r="C39" s="261">
        <f>TAXCALC!C39</f>
        <v>0</v>
      </c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>
        <f>TAXCALC!C40</f>
        <v>0</v>
      </c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>
        <f>TAXCALC!C41</f>
        <v>0</v>
      </c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183</v>
      </c>
      <c r="B42" s="124">
        <v>11</v>
      </c>
      <c r="C42" s="261">
        <f>TAXCALC!C42</f>
        <v>0</v>
      </c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1">
        <f>TAXCALC!C44</f>
        <v>0</v>
      </c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152</v>
      </c>
      <c r="B45" s="126">
        <v>12</v>
      </c>
      <c r="C45" s="261">
        <f>TAXCALC!C45</f>
        <v>0</v>
      </c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61">
        <f>TAXCALC!C46</f>
        <v>0</v>
      </c>
      <c r="D46" s="131"/>
      <c r="E46" s="267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153</v>
      </c>
      <c r="B47" s="126">
        <v>12</v>
      </c>
      <c r="C47" s="261">
        <f>TAXCALC!C47</f>
        <v>0</v>
      </c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2.75">
      <c r="A48" s="404" t="s">
        <v>388</v>
      </c>
      <c r="B48" s="126"/>
      <c r="C48" s="259"/>
      <c r="D48" s="131"/>
      <c r="E48" s="267">
        <f>G48-C48</f>
        <v>0</v>
      </c>
      <c r="F48" s="6"/>
      <c r="G48" s="250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323</v>
      </c>
      <c r="B50" s="124"/>
      <c r="C50" s="263">
        <f>C16+SUM(C20:C30)-SUM(C33:C48)</f>
        <v>19220.111500291885</v>
      </c>
      <c r="D50" s="102"/>
      <c r="E50" s="263">
        <f>E16+SUM(E20:E30)-SUM(E33:E48)</f>
        <v>-52054.11150029189</v>
      </c>
      <c r="F50" s="431"/>
      <c r="G50" s="263">
        <f>G16+SUM(G20:G30)-SUM(G33:G48)</f>
        <v>-32834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332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336</v>
      </c>
      <c r="B53" s="126">
        <v>13</v>
      </c>
      <c r="C53" s="262">
        <f>IF($C$50&gt;'Tax Rates'!$E$11,'Tax Rates'!$F$16,IF($C$50&gt;'Tax Rates'!$C$11,'Tax Rates'!$E$16,'Tax Rates'!$C$16))</f>
        <v>0.1912</v>
      </c>
      <c r="D53" s="102"/>
      <c r="E53" s="268">
        <f>+G53-C53</f>
        <v>0.215</v>
      </c>
      <c r="F53" s="113"/>
      <c r="G53" s="473">
        <f>TAXREC!E151</f>
        <v>0.4062</v>
      </c>
      <c r="H53" s="150"/>
      <c r="I53" s="470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3674.8853188558087</v>
      </c>
      <c r="D55" s="102"/>
      <c r="E55" s="267">
        <f>G55-C55</f>
        <v>-3674.8853188558087</v>
      </c>
      <c r="F55" s="431" t="s">
        <v>363</v>
      </c>
      <c r="G55" s="264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1">
        <f>TAXCALC!C58</f>
        <v>0</v>
      </c>
      <c r="D58" s="131"/>
      <c r="E58" s="267">
        <f>+G58-C58</f>
        <v>0</v>
      </c>
      <c r="F58" s="431" t="s">
        <v>363</v>
      </c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3674.8853188558087</v>
      </c>
      <c r="D60" s="132"/>
      <c r="E60" s="269">
        <f>+E55-E58</f>
        <v>-3674.8853188558087</v>
      </c>
      <c r="F60" s="431" t="s">
        <v>363</v>
      </c>
      <c r="G60" s="269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1514121</v>
      </c>
      <c r="D66" s="102"/>
      <c r="E66" s="267">
        <f>G66-C66</f>
        <v>-286162</v>
      </c>
      <c r="F66" s="6"/>
      <c r="G66" s="475">
        <f>TAXCALC!G66</f>
        <v>1227959</v>
      </c>
      <c r="H66" s="150"/>
      <c r="I66" s="476" t="s">
        <v>478</v>
      </c>
    </row>
    <row r="67" spans="1:10" ht="12.75">
      <c r="A67" s="151" t="s">
        <v>356</v>
      </c>
      <c r="B67" s="124">
        <v>16</v>
      </c>
      <c r="C67" s="260">
        <f>IF(C66&gt;0,'Tax Rates'!C21,0)</f>
        <v>5000000</v>
      </c>
      <c r="D67" s="102"/>
      <c r="E67" s="267">
        <f>G67-C67</f>
        <v>-120095</v>
      </c>
      <c r="F67" s="6"/>
      <c r="G67" s="267">
        <f>'Tax Rates 2003'!C57</f>
        <v>4879905</v>
      </c>
      <c r="H67" s="150"/>
      <c r="I67" s="476" t="s">
        <v>478</v>
      </c>
      <c r="J67" s="477"/>
    </row>
    <row r="68" spans="1:8" ht="12.75">
      <c r="A68" s="151" t="s">
        <v>42</v>
      </c>
      <c r="B68" s="124"/>
      <c r="C68" s="264">
        <f>IF((C66-C67)&gt;0,C66-C67,0)</f>
        <v>0</v>
      </c>
      <c r="D68" s="102"/>
      <c r="E68" s="267">
        <f>SUM(E66:E67)</f>
        <v>-406257</v>
      </c>
      <c r="F68" s="113"/>
      <c r="G68" s="264">
        <f>G66-G67</f>
        <v>-3651946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357</v>
      </c>
      <c r="B70" s="124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311</v>
      </c>
      <c r="B72" s="124"/>
      <c r="C72" s="483">
        <f>C68*C70/4</f>
        <v>0</v>
      </c>
      <c r="D72" s="101"/>
      <c r="E72" s="267">
        <f>+G72-C72</f>
        <v>0</v>
      </c>
      <c r="F72" s="482"/>
      <c r="G72" s="264">
        <f>IF(G68&gt;0,G68*G70,0)*REGINFO!$B$6/REGINFO!$B$7</f>
        <v>0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1514121</v>
      </c>
      <c r="D75" s="102"/>
      <c r="E75" s="267">
        <f>+G75-C75</f>
        <v>-402989</v>
      </c>
      <c r="F75" s="6"/>
      <c r="G75" s="475">
        <f>TAXCALC!G75</f>
        <v>1111132</v>
      </c>
      <c r="H75" s="150"/>
      <c r="I75" s="476" t="s">
        <v>478</v>
      </c>
    </row>
    <row r="76" spans="1:9" ht="12.75">
      <c r="A76" s="151" t="s">
        <v>356</v>
      </c>
      <c r="B76" s="124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 2003'!C58</f>
        <v>10000000</v>
      </c>
      <c r="H76" s="150"/>
      <c r="I76" s="476" t="s">
        <v>478</v>
      </c>
    </row>
    <row r="77" spans="1:8" ht="12.75">
      <c r="A77" s="151" t="s">
        <v>42</v>
      </c>
      <c r="B77" s="124"/>
      <c r="C77" s="264">
        <f>IF((C75-C76)&gt;0,C75-C76,0)</f>
        <v>0</v>
      </c>
      <c r="D77" s="19"/>
      <c r="E77" s="267">
        <f>SUM(E75:E76)</f>
        <v>-402989</v>
      </c>
      <c r="F77" s="113"/>
      <c r="G77" s="264">
        <f>G75-G76</f>
        <v>-8888868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357</v>
      </c>
      <c r="B79" s="124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312</v>
      </c>
      <c r="B81" s="124"/>
      <c r="C81" s="481">
        <f>C77*C79/4</f>
        <v>0</v>
      </c>
      <c r="D81" s="102"/>
      <c r="E81" s="267">
        <f>+G81-C81</f>
        <v>-5041.084043835615</v>
      </c>
      <c r="F81" s="484"/>
      <c r="G81" s="264">
        <f>G77*G79*B9/B10</f>
        <v>-5041.084043835615</v>
      </c>
      <c r="H81" s="150"/>
    </row>
    <row r="82" spans="1:8" ht="12.75">
      <c r="A82" s="151" t="s">
        <v>313</v>
      </c>
      <c r="B82" s="124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481">
        <f>(C81-C82)/4</f>
        <v>0</v>
      </c>
      <c r="D84" s="16"/>
      <c r="E84" s="267">
        <f>E81-E82</f>
        <v>-5041.084043835615</v>
      </c>
      <c r="F84" s="482"/>
      <c r="G84" s="264">
        <f>G81-G82</f>
        <v>-5041.084043835615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117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226</v>
      </c>
      <c r="B88" s="124"/>
      <c r="C88" s="262">
        <f>IF($C$50&gt;'Tax Rates'!$E$11,'Tax Rates'!$F$16,IF(AND($C$50&gt;='Tax Rates'!$C$11,$C$50&lt;='Tax Rates'!E11),'Tax Rates'!$E$16,'Tax Rates'!$C$16))-1.12%</f>
        <v>0.18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364</v>
      </c>
      <c r="B90" s="126">
        <v>22</v>
      </c>
      <c r="C90" s="264">
        <f>C60/(1-C88)</f>
        <v>4481.5674620192785</v>
      </c>
      <c r="D90" s="20"/>
      <c r="E90" s="138"/>
      <c r="F90" s="430" t="s">
        <v>467</v>
      </c>
      <c r="G90" s="270">
        <f>TAXREC!E156</f>
        <v>0</v>
      </c>
      <c r="H90" s="150"/>
    </row>
    <row r="91" spans="1:8" ht="12.75">
      <c r="A91" s="157" t="s">
        <v>365</v>
      </c>
      <c r="B91" s="126">
        <v>23</v>
      </c>
      <c r="C91" s="264">
        <f>C84/(1-C88)</f>
        <v>0</v>
      </c>
      <c r="D91" s="20"/>
      <c r="E91" s="138"/>
      <c r="F91" s="430" t="s">
        <v>467</v>
      </c>
      <c r="G91" s="270">
        <f>TAXREC!E158</f>
        <v>0</v>
      </c>
      <c r="H91" s="150"/>
    </row>
    <row r="92" spans="1:8" ht="12.75">
      <c r="A92" s="157" t="s">
        <v>344</v>
      </c>
      <c r="B92" s="126">
        <v>24</v>
      </c>
      <c r="C92" s="264">
        <f>C72</f>
        <v>0</v>
      </c>
      <c r="D92" s="20"/>
      <c r="E92" s="138"/>
      <c r="F92" s="430" t="s">
        <v>467</v>
      </c>
      <c r="G92" s="270">
        <f>TAXREC!E157</f>
        <v>864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468</v>
      </c>
      <c r="B95" s="124">
        <v>25</v>
      </c>
      <c r="C95" s="269">
        <f>SUM(C90:C93)</f>
        <v>4481.5674620192785</v>
      </c>
      <c r="D95" s="6"/>
      <c r="E95" s="138"/>
      <c r="F95" s="430" t="s">
        <v>467</v>
      </c>
      <c r="G95" s="414">
        <f>SUM(G90:G94)</f>
        <v>864</v>
      </c>
      <c r="H95" s="163"/>
    </row>
    <row r="96" spans="1:8" ht="12.75">
      <c r="A96" s="404" t="s">
        <v>303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300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245</v>
      </c>
      <c r="B100" s="122"/>
      <c r="C100" s="111"/>
      <c r="D100" s="3"/>
      <c r="E100" s="142" t="s">
        <v>247</v>
      </c>
      <c r="F100" s="37"/>
      <c r="G100" s="199"/>
      <c r="H100" s="163"/>
    </row>
    <row r="101" spans="1:8" ht="12.75">
      <c r="A101" s="155" t="s">
        <v>343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99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359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360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358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315</v>
      </c>
      <c r="B112" s="126">
        <v>11</v>
      </c>
      <c r="C112" s="111"/>
      <c r="D112" s="3"/>
      <c r="E112" s="472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100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361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362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4">
        <f>SUM(E102:E107)-SUM(E109:E118)</f>
        <v>0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483</v>
      </c>
      <c r="B122" s="126"/>
      <c r="C122" s="111"/>
      <c r="D122" s="3" t="s">
        <v>230</v>
      </c>
      <c r="E122" s="469">
        <f>IF((E120+G50)&gt;'Tax Rates'!$E$47,'Tax Rates'!$F$52-1.12%,IF((E120+G50)&gt;'Tax Rates'!$D$47,'Tax Rates'!$E$52-1.12%,IF((E120+G50)&gt;'Tax Rates'!$C$47,'Tax Rates'!$D$52-1.12%,'Tax Rates'!$C$52-1.12%)))</f>
        <v>0.18</v>
      </c>
      <c r="F122" s="470"/>
      <c r="G122" s="200" t="s">
        <v>101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101</v>
      </c>
      <c r="H123" s="163"/>
    </row>
    <row r="124" spans="1:8" ht="12.75">
      <c r="A124" s="157" t="s">
        <v>244</v>
      </c>
      <c r="B124" s="126"/>
      <c r="C124" s="111"/>
      <c r="D124" s="3" t="s">
        <v>188</v>
      </c>
      <c r="E124" s="264">
        <f>E120*E122</f>
        <v>0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113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116</v>
      </c>
      <c r="B128" s="126"/>
      <c r="C128" s="111"/>
      <c r="D128" s="3"/>
      <c r="E128" s="264">
        <f>E124-E126</f>
        <v>0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2">
        <f>IF((E120+C50)&gt;'Tax Rates 2003'!$E$29,'Tax Rates'!$F$34-1.12%,IF((E120+C50)&gt;'Tax Rates 2003'!$D$29,'Tax Rates 2003'!$E$34-1.12%,IF((E120+C50)&gt;'Tax Rates 2003'!$C$29,'Tax Rates 2003'!$D$342-1.12%,'Tax Rates 2003'!$C$34-1.12%)))</f>
        <v>0.33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348</v>
      </c>
      <c r="B132" s="129"/>
      <c r="C132" s="111"/>
      <c r="D132" s="3"/>
      <c r="E132" s="263">
        <f>E128/(1-E130)</f>
        <v>0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351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2">
        <f>C50</f>
        <v>19220.111500291885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312">
        <f>IF((E120+E136)&gt;'Tax Rates 2003'!E47,'Tax Rates 2003'!F52,IF((E120+E136)&gt;'Tax Rates 2003'!D47,'Tax Rates 2003'!E52,IF((E120+E136)&gt;'Tax Rates 2003'!C47,'Tax Rates 2003'!D52,'Tax Rates 2003'!C52)))</f>
        <v>0.3187</v>
      </c>
      <c r="F138" s="196" t="s">
        <v>101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3">
        <f>IF(E136&gt;0,E136*E138,0)</f>
        <v>6125.449535143023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4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2">
        <f>E140-E142</f>
        <v>6125.449535143023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485</v>
      </c>
      <c r="B146" s="129"/>
      <c r="C146" s="111"/>
      <c r="D146" s="117" t="s">
        <v>187</v>
      </c>
      <c r="E146" s="302">
        <f>C60</f>
        <v>3674.8853188558087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2">
        <f>E144-E146</f>
        <v>2450.5642162872145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7" t="s">
        <v>20</v>
      </c>
      <c r="B150" s="129"/>
      <c r="C150" s="111"/>
      <c r="D150" s="118"/>
      <c r="E150" s="304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2">
        <f>C66</f>
        <v>1514121</v>
      </c>
      <c r="F151" s="37"/>
      <c r="G151" s="200"/>
      <c r="H151" s="163"/>
    </row>
    <row r="152" spans="1:8" ht="12.75">
      <c r="A152" s="170" t="s">
        <v>354</v>
      </c>
      <c r="B152" s="129"/>
      <c r="C152" s="111"/>
      <c r="D152" s="117" t="s">
        <v>187</v>
      </c>
      <c r="E152" s="305">
        <f>IF(E151&gt;0,'Tax Rates 2003'!C39,0)</f>
        <v>5000000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2">
        <f>E151-E152</f>
        <v>-3485879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355</v>
      </c>
      <c r="B155" s="129"/>
      <c r="C155" s="111"/>
      <c r="D155" s="118" t="s">
        <v>230</v>
      </c>
      <c r="E155" s="306">
        <f>'Tax Rates 2003'!C54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2">
        <f>IF(E153&gt;0,E153*E155*B9/B10,0)</f>
        <v>0</v>
      </c>
      <c r="F157" s="37"/>
      <c r="G157" s="200"/>
      <c r="H157" s="163"/>
    </row>
    <row r="158" spans="1:8" ht="25.5">
      <c r="A158" s="170" t="s">
        <v>486</v>
      </c>
      <c r="B158" s="129"/>
      <c r="C158" s="111"/>
      <c r="D158" s="117" t="s">
        <v>187</v>
      </c>
      <c r="E158" s="305">
        <f>C72</f>
        <v>0</v>
      </c>
      <c r="F158" s="37"/>
      <c r="G158" s="200"/>
      <c r="H158" s="163"/>
    </row>
    <row r="159" spans="1:8" ht="12.75" customHeight="1">
      <c r="A159" s="171" t="s">
        <v>242</v>
      </c>
      <c r="B159" s="129"/>
      <c r="C159" s="111"/>
      <c r="D159" s="117" t="s">
        <v>188</v>
      </c>
      <c r="E159" s="474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7" t="s">
        <v>235</v>
      </c>
      <c r="B161" s="129"/>
      <c r="C161" s="111"/>
      <c r="D161" s="118"/>
      <c r="E161" s="304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2">
        <f>C75</f>
        <v>1514121</v>
      </c>
      <c r="F162" s="37"/>
      <c r="G162" s="200"/>
      <c r="H162" s="163"/>
    </row>
    <row r="163" spans="1:8" ht="12.75">
      <c r="A163" s="170" t="s">
        <v>353</v>
      </c>
      <c r="B163" s="129"/>
      <c r="C163" s="111"/>
      <c r="D163" s="117" t="s">
        <v>187</v>
      </c>
      <c r="E163" s="305">
        <f>IF(E162&gt;0,'Tax Rates 2003'!C40,0)</f>
        <v>10000000</v>
      </c>
      <c r="F163" s="37"/>
      <c r="G163" s="200"/>
      <c r="H163" s="163"/>
    </row>
    <row r="164" spans="1:8" ht="12.75">
      <c r="A164" s="170" t="s">
        <v>238</v>
      </c>
      <c r="B164" s="129"/>
      <c r="C164" s="111"/>
      <c r="D164" s="118" t="s">
        <v>188</v>
      </c>
      <c r="E164" s="302">
        <f>E162-E163</f>
        <v>-8485879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304</v>
      </c>
      <c r="B166" s="129"/>
      <c r="C166" s="111"/>
      <c r="D166" s="118"/>
      <c r="E166" s="306">
        <f>'Tax Rates 2003'!C55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239</v>
      </c>
      <c r="B168" s="129"/>
      <c r="C168" s="111"/>
      <c r="D168" s="118"/>
      <c r="E168" s="302">
        <f>IF(E164&gt;0,E164*E166*B9/B10,0)</f>
        <v>0</v>
      </c>
      <c r="F168" s="37"/>
      <c r="G168" s="200"/>
      <c r="H168" s="163"/>
    </row>
    <row r="169" spans="1:8" ht="12.75">
      <c r="A169" s="170" t="s">
        <v>314</v>
      </c>
      <c r="B169" s="129"/>
      <c r="C169" s="111"/>
      <c r="D169" s="117" t="s">
        <v>187</v>
      </c>
      <c r="E169" s="307">
        <f>IF(E164&gt;0,IF(E144&gt;0,E136*'Tax Rates'!C56,0),0)</f>
        <v>0</v>
      </c>
      <c r="F169" s="37"/>
      <c r="G169" s="200"/>
      <c r="H169" s="163"/>
    </row>
    <row r="170" spans="1:8" ht="12.75">
      <c r="A170" s="170" t="s">
        <v>240</v>
      </c>
      <c r="B170" s="129"/>
      <c r="C170" s="111"/>
      <c r="D170" s="118" t="s">
        <v>188</v>
      </c>
      <c r="E170" s="302">
        <f>E168-E169</f>
        <v>0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5" t="s">
        <v>487</v>
      </c>
      <c r="B172" s="129"/>
      <c r="C172" s="111"/>
      <c r="D172" s="117" t="s">
        <v>187</v>
      </c>
      <c r="E172" s="305">
        <f>C84</f>
        <v>0</v>
      </c>
      <c r="F172" s="37"/>
      <c r="G172" s="200"/>
      <c r="H172" s="163"/>
    </row>
    <row r="173" spans="1:8" ht="12.75">
      <c r="A173" s="154" t="s">
        <v>243</v>
      </c>
      <c r="B173" s="129"/>
      <c r="C173" s="111"/>
      <c r="D173" s="118" t="s">
        <v>188</v>
      </c>
      <c r="E173" s="474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342</v>
      </c>
      <c r="B175" s="129"/>
      <c r="C175" s="111"/>
      <c r="D175" s="118"/>
      <c r="E175" s="469">
        <f>IF((E120+G50)&gt;'Tax Rates'!E47,'Tax Rates'!F52-1.12%,IF((E120+G50)&gt;'Tax Rates'!D47,'Tax Rates'!E52-1.12%,IF((E120+G50)&gt;'Tax Rates'!C47,'Tax Rates'!D52,'Tax Rates'!C52-1.12%)))</f>
        <v>0.18</v>
      </c>
      <c r="F175" s="470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241</v>
      </c>
      <c r="B177" s="129"/>
      <c r="C177" s="111"/>
      <c r="D177" s="118" t="s">
        <v>186</v>
      </c>
      <c r="E177" s="302">
        <f>E148/(1-E175)</f>
        <v>2988.4929466917247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2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2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349</v>
      </c>
      <c r="B181" s="129"/>
      <c r="C181" s="111"/>
      <c r="D181" s="118" t="s">
        <v>188</v>
      </c>
      <c r="E181" s="302">
        <f>SUM(E177:E179)</f>
        <v>2988.4929466917247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488</v>
      </c>
      <c r="B183" s="129"/>
      <c r="C183" s="111"/>
      <c r="D183" s="118" t="s">
        <v>186</v>
      </c>
      <c r="E183" s="302">
        <f>E132</f>
        <v>0</v>
      </c>
      <c r="F183" s="37" t="s">
        <v>101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350</v>
      </c>
      <c r="B185" s="129"/>
      <c r="C185" s="111"/>
      <c r="D185" s="118" t="s">
        <v>188</v>
      </c>
      <c r="E185" s="302">
        <f>E181+E183</f>
        <v>2988.4929466917247</v>
      </c>
      <c r="F185" s="37"/>
      <c r="G185" s="200"/>
      <c r="H185" s="163"/>
    </row>
    <row r="186" spans="1:8" ht="12.75">
      <c r="A186" s="161" t="s">
        <v>246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9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82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8">
        <f>REGINFO!D62/4</f>
        <v>13721.721562499999</v>
      </c>
      <c r="F193" s="478"/>
      <c r="G193" s="122"/>
      <c r="H193" s="163"/>
    </row>
    <row r="194" spans="1:8" ht="12.75">
      <c r="A194" s="154" t="s">
        <v>489</v>
      </c>
      <c r="B194" s="126"/>
      <c r="C194" s="111"/>
      <c r="D194" s="119"/>
      <c r="E194" s="308">
        <f>C37</f>
        <v>6069.388499708114</v>
      </c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339</v>
      </c>
      <c r="B196" s="126"/>
      <c r="C196" s="111"/>
      <c r="D196" s="119"/>
      <c r="E196" s="308">
        <f>E193-E194</f>
        <v>7652.333062791885</v>
      </c>
      <c r="F196" s="3"/>
      <c r="G196" s="122"/>
      <c r="H196" s="163"/>
    </row>
    <row r="197" spans="1:8" ht="12.75">
      <c r="A197" s="154" t="s">
        <v>340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252</v>
      </c>
      <c r="B199" s="126"/>
      <c r="C199" s="111"/>
      <c r="D199" s="119"/>
      <c r="E199" s="146"/>
      <c r="F199" s="3"/>
      <c r="G199" s="122"/>
      <c r="H199" s="163"/>
    </row>
    <row r="200" spans="1:8" ht="12.75">
      <c r="A200" s="175" t="s">
        <v>84</v>
      </c>
      <c r="B200" s="126"/>
      <c r="C200" s="111"/>
      <c r="D200" s="119"/>
      <c r="E200" s="146"/>
      <c r="F200" s="3"/>
      <c r="G200" s="122"/>
      <c r="H200" s="163"/>
    </row>
    <row r="201" spans="1:8" ht="12.75">
      <c r="A201" s="154" t="s">
        <v>491</v>
      </c>
      <c r="B201" s="126"/>
      <c r="C201" s="111"/>
      <c r="D201" s="119"/>
      <c r="E201" s="308">
        <f>G37+G42</f>
        <v>764</v>
      </c>
      <c r="F201" s="3"/>
      <c r="G201" s="122"/>
      <c r="H201" s="163"/>
    </row>
    <row r="202" spans="1:8" ht="12.75">
      <c r="A202" s="154" t="s">
        <v>341</v>
      </c>
      <c r="B202" s="126"/>
      <c r="C202" s="111"/>
      <c r="D202" s="119"/>
      <c r="E202" s="308">
        <f>REGINFO!D62</f>
        <v>54886.886249999996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83</v>
      </c>
      <c r="B204" s="126"/>
      <c r="C204" s="111"/>
      <c r="D204" s="119"/>
      <c r="E204" s="303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484</v>
      </c>
      <c r="B206" s="126"/>
      <c r="C206" s="111"/>
      <c r="D206" s="119"/>
      <c r="E206" s="471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9">
        <f>+E196-E204</f>
        <v>7652.333062791885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97" bottom="0.486220472" header="0.17" footer="0"/>
  <pageSetup fitToHeight="2" horizontalDpi="600" verticalDpi="600" orientation="portrait" scale="60" r:id="rId1"/>
  <headerFooter alignWithMargins="0">
    <oddHeader>&amp;C&amp;F &amp;A</oddHeader>
    <oddFooter>&amp;C&amp;P of &amp;N&amp;R&amp;A</oddFooter>
  </headerFooter>
  <rowBreaks count="3" manualBreakCount="3">
    <brk id="85" max="7" man="1"/>
    <brk id="149" max="7" man="1"/>
    <brk id="2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98"/>
  <sheetViews>
    <sheetView zoomScalePageLayoutView="0" workbookViewId="0" topLeftCell="A4">
      <selection activeCell="C39" sqref="C39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8515625" style="8" customWidth="1"/>
    <col min="4" max="4" width="5.7109375" style="8" customWidth="1"/>
    <col min="5" max="5" width="9.7109375" style="8" customWidth="1"/>
    <col min="6" max="6" width="10.421875" style="8" customWidth="1"/>
    <col min="7" max="7" width="2.421875" style="0" customWidth="1"/>
    <col min="8" max="8" width="10.28125" style="0" customWidth="1"/>
    <col min="9" max="9" width="1.1484375" style="0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EB-2011-0207</v>
      </c>
      <c r="B1" s="386"/>
      <c r="C1" s="343"/>
      <c r="D1" s="343"/>
      <c r="E1" s="343"/>
      <c r="F1" s="343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4" t="s">
        <v>106</v>
      </c>
      <c r="B2" s="343"/>
      <c r="C2" s="343"/>
      <c r="D2" s="343"/>
      <c r="E2" s="343"/>
      <c r="F2" s="345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4" t="s">
        <v>302</v>
      </c>
      <c r="B3" s="343"/>
      <c r="C3" s="343"/>
      <c r="D3" s="343"/>
      <c r="E3" s="343"/>
      <c r="F3" s="345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Name:Lakefield Distribution Inc</v>
      </c>
      <c r="B4" s="343"/>
      <c r="C4" s="343"/>
      <c r="D4" s="343"/>
      <c r="E4" s="343"/>
      <c r="F4" s="343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2001</v>
      </c>
      <c r="B5" s="343"/>
      <c r="C5" s="343"/>
      <c r="D5" s="343"/>
      <c r="E5" s="343"/>
      <c r="F5" s="343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4"/>
      <c r="B7" s="343"/>
      <c r="C7" s="343"/>
      <c r="D7" s="343"/>
      <c r="E7" s="343"/>
      <c r="F7" s="411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9" t="s">
        <v>475</v>
      </c>
      <c r="B8" s="500"/>
      <c r="C8" s="500"/>
      <c r="D8" s="500"/>
      <c r="E8" s="343"/>
      <c r="F8" s="383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111</v>
      </c>
      <c r="B9" s="326"/>
      <c r="C9" s="374">
        <v>0</v>
      </c>
      <c r="D9" s="374"/>
      <c r="E9" s="374">
        <v>50000</v>
      </c>
      <c r="F9" s="375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461</v>
      </c>
      <c r="B10" s="327"/>
      <c r="C10" s="376" t="s">
        <v>110</v>
      </c>
      <c r="D10" s="376"/>
      <c r="E10" s="376" t="s">
        <v>110</v>
      </c>
      <c r="F10" s="377" t="s">
        <v>470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115</v>
      </c>
      <c r="C11" s="378">
        <v>50000</v>
      </c>
      <c r="D11" s="378"/>
      <c r="E11" s="378">
        <v>175000</v>
      </c>
      <c r="F11" s="379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295</v>
      </c>
      <c r="B13" s="41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294</v>
      </c>
      <c r="B14" s="244"/>
      <c r="C14" s="328">
        <v>0.1312</v>
      </c>
      <c r="D14" s="328"/>
      <c r="E14" s="329">
        <v>0.2812</v>
      </c>
      <c r="F14" s="329">
        <v>0.2812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299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255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0.4062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108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109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112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327</v>
      </c>
      <c r="B21" s="407" t="s">
        <v>471</v>
      </c>
      <c r="C21" s="362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328</v>
      </c>
      <c r="B22" s="408" t="s">
        <v>472</v>
      </c>
      <c r="C22" s="363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469</v>
      </c>
      <c r="B23" s="494"/>
      <c r="C23" s="494"/>
      <c r="D23" s="494"/>
      <c r="E23" s="494"/>
      <c r="F23" s="494"/>
      <c r="G23" s="438"/>
      <c r="H23" s="42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2"/>
      <c r="B24" s="413"/>
      <c r="C24" s="413"/>
      <c r="D24" s="413"/>
      <c r="E24" s="413"/>
      <c r="F24" s="41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80"/>
      <c r="B25" s="381"/>
      <c r="C25" s="384"/>
      <c r="D25" s="343"/>
      <c r="E25" s="343"/>
      <c r="F25" s="411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01" t="s">
        <v>492</v>
      </c>
      <c r="B26" s="502"/>
      <c r="C26" s="502"/>
      <c r="D26" s="502"/>
      <c r="E26" s="502"/>
      <c r="F26" s="502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111</v>
      </c>
      <c r="B27" s="326"/>
      <c r="C27" s="368">
        <v>0</v>
      </c>
      <c r="D27" s="368"/>
      <c r="E27" s="368">
        <v>50000</v>
      </c>
      <c r="F27" s="369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434</v>
      </c>
      <c r="B28" s="327"/>
      <c r="C28" s="370" t="s">
        <v>110</v>
      </c>
      <c r="D28" s="370"/>
      <c r="E28" s="370" t="s">
        <v>110</v>
      </c>
      <c r="F28" s="371" t="s">
        <v>470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115</v>
      </c>
      <c r="C29" s="372">
        <v>50000</v>
      </c>
      <c r="D29" s="372"/>
      <c r="E29" s="372">
        <v>175000</v>
      </c>
      <c r="F29" s="373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114</v>
      </c>
      <c r="B31" s="410">
        <v>2002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294</v>
      </c>
      <c r="B32" s="410">
        <v>2002</v>
      </c>
      <c r="C32" s="328">
        <v>0.1312</v>
      </c>
      <c r="D32" s="328"/>
      <c r="E32" s="329">
        <v>0.2812</v>
      </c>
      <c r="F32" s="329">
        <v>0.2612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29</v>
      </c>
      <c r="B33" s="410">
        <v>2002</v>
      </c>
      <c r="C33" s="330">
        <v>0.06</v>
      </c>
      <c r="D33" s="330"/>
      <c r="E33" s="331">
        <v>0.06</v>
      </c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255</v>
      </c>
      <c r="B34" s="410">
        <v>2002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0.3862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108</v>
      </c>
      <c r="B36" s="410">
        <v>2002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109</v>
      </c>
      <c r="B37" s="410">
        <v>2002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112</v>
      </c>
      <c r="B38" s="410">
        <v>2002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476</v>
      </c>
      <c r="B39" s="407" t="s">
        <v>471</v>
      </c>
      <c r="C39" s="362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477</v>
      </c>
      <c r="B40" s="408" t="s">
        <v>472</v>
      </c>
      <c r="C40" s="363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331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80"/>
      <c r="B43" s="381"/>
      <c r="C43" s="382"/>
      <c r="D43" s="381"/>
      <c r="E43" s="381"/>
      <c r="F43" s="411" t="s">
        <v>335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9" t="s">
        <v>474</v>
      </c>
      <c r="B44" s="366"/>
      <c r="C44" s="367"/>
      <c r="D44" s="366"/>
      <c r="E44" s="343"/>
      <c r="F44" s="383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1" t="s">
        <v>111</v>
      </c>
      <c r="B45" s="326"/>
      <c r="C45" s="368">
        <v>0</v>
      </c>
      <c r="D45" s="368"/>
      <c r="E45" s="368">
        <v>50000</v>
      </c>
      <c r="F45" s="369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2"/>
      <c r="B46" s="327"/>
      <c r="C46" s="370" t="s">
        <v>110</v>
      </c>
      <c r="D46" s="370"/>
      <c r="E46" s="370" t="s">
        <v>110</v>
      </c>
      <c r="F46" s="371" t="s">
        <v>470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2"/>
      <c r="B47" s="342" t="s">
        <v>115</v>
      </c>
      <c r="C47" s="372">
        <v>50000</v>
      </c>
      <c r="D47" s="372"/>
      <c r="E47" s="372">
        <v>175000</v>
      </c>
      <c r="F47" s="373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3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4" t="s">
        <v>114</v>
      </c>
      <c r="B49" s="410">
        <v>2001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4" t="s">
        <v>294</v>
      </c>
      <c r="B50" s="244"/>
      <c r="C50" s="352">
        <v>0.1312</v>
      </c>
      <c r="D50" s="352"/>
      <c r="E50" s="353">
        <v>0.2212</v>
      </c>
      <c r="F50" s="353">
        <v>0.2812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4" t="s">
        <v>29</v>
      </c>
      <c r="B51" s="244"/>
      <c r="C51" s="354">
        <v>0.06</v>
      </c>
      <c r="D51" s="354"/>
      <c r="E51" s="355">
        <v>0.0975</v>
      </c>
      <c r="F51" s="355">
        <v>0.125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4" t="s">
        <v>255</v>
      </c>
      <c r="B52" s="244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4"/>
      <c r="B53" s="244"/>
      <c r="C53" s="352"/>
      <c r="D53" s="352"/>
      <c r="E53" s="353"/>
      <c r="F53" s="353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3" t="s">
        <v>108</v>
      </c>
      <c r="B54" s="243"/>
      <c r="C54" s="356">
        <v>0.003</v>
      </c>
      <c r="D54" s="352"/>
      <c r="E54" s="353"/>
      <c r="F54" s="353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3" t="s">
        <v>109</v>
      </c>
      <c r="B55" s="237"/>
      <c r="C55" s="357">
        <v>0.00225</v>
      </c>
      <c r="D55" s="358"/>
      <c r="E55" s="359"/>
      <c r="F55" s="359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3" t="s">
        <v>112</v>
      </c>
      <c r="B56" s="237"/>
      <c r="C56" s="358">
        <v>0.0112</v>
      </c>
      <c r="D56" s="360"/>
      <c r="E56" s="361"/>
      <c r="F56" s="361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5" t="s">
        <v>345</v>
      </c>
      <c r="B57" s="407" t="s">
        <v>471</v>
      </c>
      <c r="C57" s="362">
        <v>4879905</v>
      </c>
      <c r="D57" s="360"/>
      <c r="E57" s="361"/>
      <c r="F57" s="361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5" t="s">
        <v>346</v>
      </c>
      <c r="B58" s="408" t="s">
        <v>472</v>
      </c>
      <c r="C58" s="363">
        <v>10000000</v>
      </c>
      <c r="D58" s="364"/>
      <c r="E58" s="365"/>
      <c r="F58" s="365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3" t="s">
        <v>347</v>
      </c>
      <c r="B59" s="497"/>
      <c r="C59" s="497"/>
      <c r="D59" s="497"/>
      <c r="E59" s="497"/>
      <c r="F59" s="497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8"/>
      <c r="B60" s="498"/>
      <c r="C60" s="498"/>
      <c r="D60" s="498"/>
      <c r="E60" s="498"/>
      <c r="F60" s="498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4"/>
      <c r="B61" s="345"/>
      <c r="C61" s="345"/>
      <c r="D61" s="345"/>
      <c r="E61" s="345"/>
      <c r="F61" s="347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4"/>
      <c r="B62" s="345"/>
      <c r="C62" s="346"/>
      <c r="D62" s="346"/>
      <c r="E62" s="346"/>
      <c r="F62" s="348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4"/>
      <c r="B63" s="343"/>
      <c r="C63" s="343"/>
      <c r="D63" s="343"/>
      <c r="E63" s="343"/>
      <c r="F63" s="343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9"/>
      <c r="B64" s="350"/>
      <c r="C64" s="351"/>
      <c r="D64" s="351"/>
      <c r="E64" s="351"/>
      <c r="F64" s="351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95" bottom="0.486220472" header="0.27" footer="0"/>
  <pageSetup fitToHeight="1" fitToWidth="1" horizontalDpi="600" verticalDpi="600" orientation="portrait" scale="72" r:id="rId1"/>
  <headerFooter alignWithMargins="0">
    <oddHeader>&amp;C&amp;F &amp;A</oddHeader>
    <oddFooter>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2012-03-23T15:43:40Z</cp:lastPrinted>
  <dcterms:created xsi:type="dcterms:W3CDTF">2001-11-07T16:15:53Z</dcterms:created>
  <dcterms:modified xsi:type="dcterms:W3CDTF">2012-03-23T15:43:44Z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