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520" tabRatio="938" activeTab="4"/>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Res" sheetId="14" r:id="rId14"/>
    <sheet name="13. Bill Impact GS Classes" sheetId="15" r:id="rId15"/>
    <sheet name="Harmonized rates" sheetId="16" r:id="rId16"/>
  </sheets>
  <definedNames>
    <definedName name="MofF">#REF!</definedName>
    <definedName name="_xlnm.Print_Area" localSheetId="1">'1. 2002 Base Rate Schedule'!$A$1:$E$226</definedName>
    <definedName name="_xlnm.Print_Area" localSheetId="10">'10. Rate Rider Calculations'!$A$1:$I$25</definedName>
    <definedName name="_xlnm.Print_Area" localSheetId="12">'12. Current Rates'!$A$1:$D$227</definedName>
    <definedName name="_xlnm.Print_Area" localSheetId="14">'13. Bill Impact GS Classes'!$A$4:$N$323</definedName>
    <definedName name="_xlnm.Print_Area" localSheetId="13">'13. Bill Impact Res'!$A$4:$N$940</definedName>
    <definedName name="_xlnm.Print_Area" localSheetId="2">'2. Adding Final 3rd MARR'!$A$1:$G$621</definedName>
    <definedName name="_xlnm.Print_Area" localSheetId="3">'3. 2005 Base Rate Schedule'!$A$1:$D$221</definedName>
    <definedName name="_xlnm.Print_Area" localSheetId="4">'4. 2003 Data &amp; 2005 PILs'!$A$1:$G$81</definedName>
    <definedName name="_xlnm.Print_Area" localSheetId="5">'5. 2005 Rate Sch. with PILs'!$A$1:$D$228</definedName>
    <definedName name="_xlnm.Print_Area" localSheetId="6">'6. Dec. 31, 2003 Reg. Assets'!$A$1:$D$91</definedName>
    <definedName name="_xlnm.Print_Area" localSheetId="7">'7. 2003 Data &amp; add RSVA'!$A$1:$G$617</definedName>
    <definedName name="_xlnm.Print_Area" localSheetId="8">'8. 2003 Data &amp; Non-RSVA'!$A$1:$G$617</definedName>
    <definedName name="_xlnm.Print_Area" localSheetId="9">'9. 2005 Rate Sch. Reg. Assets'!$A$1:$G$223</definedName>
    <definedName name="_xlnm.Print_Area" localSheetId="15">'Harmonized rates'!$A$1:$H$51</definedName>
    <definedName name="_xlnm.Print_Titles" localSheetId="1">'1. 2002 Base Rate Schedule'!$1:$2</definedName>
    <definedName name="_xlnm.Print_Titles" localSheetId="12">'12. Current Rates'!$1:$2</definedName>
    <definedName name="_xlnm.Print_Titles" localSheetId="13">'13. Bill Impact Res'!$1:$3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Schedule'!$A$1:$F$223</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Rates'!$A$1:$D$16</definedName>
    <definedName name="Z_477CBB84_252C_49CD_9E74_12C31D6E2152_.wvu.PrintArea" localSheetId="13" hidden="1">'13. Bill Impact Res'!$A$1:$N$329</definedName>
    <definedName name="Z_477CBB84_252C_49CD_9E74_12C31D6E2152_.wvu.PrintArea" localSheetId="2" hidden="1">'2. Adding Final 3rd MARR'!$A$1:$G$48</definedName>
    <definedName name="Z_477CBB84_252C_49CD_9E74_12C31D6E2152_.wvu.PrintArea" localSheetId="3" hidden="1">'3. 2005 Base Rate Schedule'!$A$1:$D$11</definedName>
    <definedName name="Z_477CBB84_252C_49CD_9E74_12C31D6E2152_.wvu.PrintArea" localSheetId="5" hidden="1">'5. 2005 Rate Sch. with PILs'!$A$1:$D$13</definedName>
    <definedName name="Z_477CBB84_252C_49CD_9E74_12C31D6E2152_.wvu.PrintArea" localSheetId="6" hidden="1">'6. Dec. 31, 2003 Reg. Assets'!$A$1:$D$91</definedName>
    <definedName name="Z_477CBB84_252C_49CD_9E74_12C31D6E2152_.wvu.PrintArea" localSheetId="7" hidden="1">'7. 2003 Data &amp; add RSVA'!$A$1:$G$36</definedName>
    <definedName name="Z_477CBB84_252C_49CD_9E74_12C31D6E2152_.wvu.PrintArea" localSheetId="9" hidden="1">'9. 2005 Rate Sch. Reg. Assets'!$A$1:$F$13</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 Res'!$1:$3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<sst xmlns="http://schemas.openxmlformats.org/spreadsheetml/2006/main" count="5706" uniqueCount="257">
  <si>
    <t>RESIDENTIAL</t>
  </si>
  <si>
    <t>LARGE USE</t>
  </si>
  <si>
    <t>RESIDENTIAL (TIME OF USE)</t>
  </si>
  <si>
    <t>GENERAL SERVICE &lt; 50 KW</t>
  </si>
  <si>
    <t>GENERAL SERVICE &gt; 50 KW (NON TIME OF USE)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</si>
  <si>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</si>
  <si>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</si>
  <si>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</si>
  <si>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</si>
  <si>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</si>
  <si>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</si>
  <si>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</si>
  <si>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</si>
  <si>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</si>
  <si>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</si>
  <si>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</si>
  <si>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</si>
  <si>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Large User Class</t>
  </si>
  <si>
    <t>Sentinel Lighting Class</t>
  </si>
  <si>
    <t>ENTER DESIRED CONSUMPTION LEVEL</t>
  </si>
  <si>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</si>
  <si>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</si>
  <si>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</si>
  <si>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</si>
  <si>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</si>
  <si>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</si>
  <si>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</si>
  <si>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</si>
  <si>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</si>
  <si>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</si>
  <si>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</si>
  <si>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</si>
  <si>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</si>
  <si>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</si>
  <si>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</si>
  <si>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</si>
  <si>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</si>
  <si>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</si>
  <si>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</si>
  <si>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</si>
  <si>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</si>
  <si>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</si>
  <si>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</si>
  <si>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</si>
  <si>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</si>
  <si>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</si>
  <si>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</si>
  <si>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</si>
  <si>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</si>
  <si>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</si>
  <si>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</si>
  <si>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</si>
  <si>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</si>
  <si>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</si>
  <si>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</si>
  <si>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</si>
  <si>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</si>
  <si>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</si>
  <si>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</si>
  <si>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</si>
  <si>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</si>
  <si>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</si>
  <si>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</si>
  <si>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</si>
  <si>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</si>
  <si>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</si>
  <si>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</si>
  <si>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</si>
  <si>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</si>
  <si>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</si>
  <si>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</si>
  <si>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</si>
  <si>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</si>
  <si>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</si>
  <si>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</si>
  <si>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</si>
  <si>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</si>
  <si>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</si>
  <si>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</si>
  <si>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</si>
  <si>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</si>
  <si>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</si>
  <si>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</si>
  <si>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</si>
  <si>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</si>
  <si>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</si>
  <si>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</si>
  <si>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</si>
  <si>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</si>
  <si>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</si>
  <si>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</si>
  <si>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</si>
  <si>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</si>
  <si>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</si>
  <si>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</si>
  <si>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</si>
  <si>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</si>
  <si>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</si>
  <si>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</si>
  <si>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</si>
  <si>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</si>
  <si>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</si>
  <si>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</si>
  <si>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</si>
  <si>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</si>
  <si>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(C) Re-Allocated MARR ($)</t>
  </si>
  <si>
    <t>General Service &lt; 50 kW Class</t>
  </si>
  <si>
    <t>Street Lighting Class</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</si>
  <si>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</si>
  <si>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</si>
  <si>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</si>
  <si>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</si>
  <si>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</si>
  <si>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</si>
  <si>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</si>
  <si>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</si>
  <si>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</si>
  <si>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</si>
  <si>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</si>
  <si>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</si>
  <si>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</si>
  <si>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</si>
  <si>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</si>
  <si>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</si>
  <si>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</si>
  <si>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</si>
  <si>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</si>
  <si>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</si>
  <si>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</si>
  <si>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</si>
  <si>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</si>
  <si>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</si>
  <si>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</si>
  <si>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</si>
  <si>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</si>
  <si>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</si>
  <si>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</si>
  <si>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</si>
  <si>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</si>
  <si>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</si>
  <si>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</si>
  <si>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</si>
  <si>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</si>
  <si>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</si>
  <si>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</si>
  <si>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</si>
  <si>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</si>
  <si>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</si>
  <si>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</si>
  <si>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</si>
  <si>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</si>
  <si>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</si>
  <si>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</si>
  <si>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</si>
  <si>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</si>
  <si>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</si>
  <si>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</si>
  <si>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</si>
  <si>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</si>
  <si>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</si>
  <si>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</si>
  <si>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</si>
  <si>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</si>
  <si>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</si>
  <si>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</si>
  <si>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</si>
  <si>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</si>
  <si>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</si>
  <si>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</si>
  <si>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</si>
  <si>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</si>
  <si>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</si>
  <si>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</si>
  <si>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</si>
  <si>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</si>
  <si>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</si>
  <si>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</si>
  <si>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</si>
  <si>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</si>
  <si>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</si>
  <si>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</si>
  <si>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</si>
  <si>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</si>
  <si>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</si>
  <si>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</si>
  <si>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</si>
  <si>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</si>
  <si>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</si>
  <si>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</si>
  <si>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</si>
  <si>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</si>
  <si>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</si>
  <si>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</si>
  <si>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</si>
  <si>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</si>
  <si>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</si>
  <si>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</si>
  <si>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</si>
  <si>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</si>
  <si>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</si>
  <si>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Current 2004 Bill</t>
  </si>
  <si>
    <t>Adjusted 2005 Bill</t>
  </si>
  <si>
    <t>2005.V1.1</t>
  </si>
  <si>
    <t xml:space="preserve">(F) Incremental Distribution kWh Rate ($/kW)  </t>
  </si>
  <si>
    <t>Chatham-Kent Hydro</t>
  </si>
  <si>
    <t>ED-2002-0563</t>
  </si>
  <si>
    <t>RP-2005-0013</t>
  </si>
  <si>
    <t>EB-2005-0017</t>
  </si>
  <si>
    <t>Jim Hogan</t>
  </si>
  <si>
    <t>jimhogan@ckenergy.com</t>
  </si>
  <si>
    <t>519-352-6300 (277)</t>
  </si>
  <si>
    <t>Service Area - Blenheim</t>
  </si>
  <si>
    <t>Service Area - Bothwell</t>
  </si>
  <si>
    <t>Service Area - Chatham</t>
  </si>
  <si>
    <t>Service Area - Dresden</t>
  </si>
  <si>
    <t>Service Area - Erieau</t>
  </si>
  <si>
    <t>Service Area - Merlin</t>
  </si>
  <si>
    <t>Service Area - Ridgetown</t>
  </si>
  <si>
    <t>Service Area - Thamesville</t>
  </si>
  <si>
    <t>Service Area - Tilbury</t>
  </si>
  <si>
    <t>Service Area - Wallaceburg</t>
  </si>
  <si>
    <t>Service Area - Wheatley</t>
  </si>
  <si>
    <t xml:space="preserve">Intermediate Class </t>
  </si>
  <si>
    <t>Blenheim</t>
  </si>
  <si>
    <t>Bothwell</t>
  </si>
  <si>
    <t>Chatham</t>
  </si>
  <si>
    <t>Dresden</t>
  </si>
  <si>
    <t>Erieau</t>
  </si>
  <si>
    <t>Merlin</t>
  </si>
  <si>
    <t>Ridgetown</t>
  </si>
  <si>
    <t>Thamesville</t>
  </si>
  <si>
    <t>Tilbury</t>
  </si>
  <si>
    <t>Wallaceburg</t>
  </si>
  <si>
    <t>Wheatley</t>
  </si>
  <si>
    <t>% Allocation</t>
  </si>
  <si>
    <t>Allocation of Residential by Service Area</t>
  </si>
  <si>
    <t>Allocation of Large User by Service Area</t>
  </si>
  <si>
    <t>Allocation of Sentinel by Service Area</t>
  </si>
  <si>
    <t>$ Allocation</t>
  </si>
  <si>
    <t>Allocation of GS &gt; 50 kW TOU by Service Area</t>
  </si>
  <si>
    <t>Service Area - Benheim</t>
  </si>
  <si>
    <t>GENERAL SERVICE &lt; 50 KW (NON TIME OF USE)</t>
  </si>
  <si>
    <t>Service Area Blenheim</t>
  </si>
  <si>
    <t>Service Area Bothwell</t>
  </si>
  <si>
    <t>Service Area Chatham</t>
  </si>
  <si>
    <t>Service Area Dresden</t>
  </si>
  <si>
    <t>Service Area Erieau</t>
  </si>
  <si>
    <t>Service Area Merlin</t>
  </si>
  <si>
    <t>Service Area Ridgetown</t>
  </si>
  <si>
    <t>Service Area Tilbury</t>
  </si>
  <si>
    <t>Service Area Thamesville</t>
  </si>
  <si>
    <t>Service Area Wallaceburg</t>
  </si>
  <si>
    <t>Service Area Wheatley</t>
  </si>
  <si>
    <t>(per month/per connection)</t>
  </si>
  <si>
    <t xml:space="preserve">  </t>
  </si>
  <si>
    <t>March 10, 2005</t>
  </si>
  <si>
    <t>Hamronized Rates 2005</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</si>
</sst>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0.0000"/>
    <numFmt numFmtId="167" formatCode="#,##0.000_);\(#,##0.000\)"/>
    <numFmt numFmtId="168" formatCode="&quot;$&quot;#,##0.0000_);\(&quot;$&quot;#,##0.0000\)"/>
    <numFmt numFmtId="169" formatCode="&quot;$&quot;#,##0.0000"/>
    <numFmt numFmtId="170" formatCode="&quot;$&quot;#,##0.00"/>
    <numFmt numFmtId="171" formatCode="&quot;$&quot;#,##0.00000"/>
    <numFmt numFmtId="172" formatCode="&quot;$&quot;#,##0.000000"/>
    <numFmt numFmtId="173" formatCode="_(* #,##0_);_(* \(#,##0\);_(* &quot;-&quot;??_);_(@_)"/>
    <numFmt numFmtId="174" formatCode="#,##0.0000_);\(#,##0.0000\)"/>
    <numFmt numFmtId="175" formatCode="#,##0.0000"/>
    <numFmt numFmtId="176" formatCode="0.0%"/>
    <numFmt numFmtId="177" formatCode="_(&quot;$&quot;* #,##0.0000_);_(&quot;$&quot;* \(#,##0.0000\);_(&quot;$&quot;* &quot;-&quot;??_);_(@_)"/>
    <numFmt numFmtId="178" formatCode="&quot;$&quot;#,##0"/>
    <numFmt numFmtId="179" formatCode="#,##0_ ;\-#,##0\ "/>
    <numFmt numFmtId="180" formatCode="&quot;$&quot;#,##0.000000;\-&quot;$&quot;#,##0.000000"/>
    <numFmt numFmtId="181" formatCode="0.0"/>
    <numFmt numFmtId="182" formatCode="0.000%"/>
    <numFmt numFmtId="183" formatCode="_-&quot;$&quot;* #,##0.0000_-;\-&quot;$&quot;* #,##0.0000_-;_-&quot;$&quot;* &quot;-&quot;????_-;_-@_-"/>
    <numFmt numFmtId="184" formatCode="_(&quot;$&quot;* #,##0_);_(&quot;$&quot;* \(#,##0\);_(&quot;$&quot;* &quot;-&quot;??_);_(@_)"/>
  </numFmts>
  <fonts count="84">
    <font>
      <sz val="10"/>
      <name val="Arial"/>
      <family val="0"/>
    </font>
    <font>
      <sz val="11"/>
      <color indexed="8"/>
      <name val="Calibri"/>
      <family val="2"/>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b/>
      <u val="single"/>
      <sz val="11"/>
      <name val="Arial"/>
      <family val="2"/>
    </font>
    <font>
      <u val="single"/>
      <sz val="7.5"/>
      <color indexed="12"/>
      <name val="Arial"/>
      <family val="0"/>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b/>
      <sz val="18"/>
      <name val="Arial"/>
      <family val="0"/>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sz val="8"/>
      <name val="Arial"/>
      <family val="0"/>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63"/>
      </top>
      <bottom/>
    </border>
    <border>
      <left/>
      <right/>
      <top style="thin"/>
      <bottom/>
    </border>
    <border>
      <left/>
      <right/>
      <top/>
      <bottom style="thin"/>
    </border>
    <border>
      <left/>
      <right/>
      <top style="thin"/>
      <bottom style="thin"/>
    </border>
    <border>
      <left/>
      <right/>
      <top style="medium"/>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bottom style="thin"/>
    </border>
    <border>
      <left/>
      <right style="medium"/>
      <top style="medium"/>
      <bottom style="double"/>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right style="thin"/>
      <top style="medium"/>
      <bottom style="thin"/>
    </border>
    <border>
      <left style="medium"/>
      <right style="thin"/>
      <top style="thin"/>
      <bottom style="thin"/>
    </border>
    <border>
      <left style="thin"/>
      <right style="thin"/>
      <top style="thin"/>
      <bottom style="thin"/>
    </border>
    <border>
      <left style="thin"/>
      <right style="thin"/>
      <top style="thin"/>
      <bottom/>
    </border>
    <border>
      <left style="thin"/>
      <right/>
      <top style="thin"/>
      <bottom/>
    </border>
    <border>
      <left/>
      <right style="thin"/>
      <top style="thin"/>
      <bottom style="thin"/>
    </border>
    <border>
      <left style="thin"/>
      <right style="medium"/>
      <top style="thin"/>
      <bottom/>
    </border>
    <border>
      <left style="medium"/>
      <right style="thin"/>
      <top style="medium"/>
      <bottom style="medium"/>
    </border>
    <border>
      <left style="thin"/>
      <right/>
      <top style="medium"/>
      <bottom style="medium"/>
    </border>
    <border>
      <left style="thin"/>
      <right style="medium"/>
      <top style="medium"/>
      <bottom style="medium"/>
    </border>
    <border>
      <left style="thin"/>
      <right style="thin"/>
      <top/>
      <bottom style="thin"/>
    </border>
    <border>
      <left style="thin"/>
      <right/>
      <top/>
      <bottom style="thin"/>
    </border>
    <border>
      <left style="thin"/>
      <right style="medium"/>
      <top/>
      <bottom style="thin"/>
    </border>
    <border>
      <left style="medium"/>
      <right style="thin"/>
      <top style="thin"/>
      <bottom/>
    </border>
    <border>
      <left/>
      <right style="thin"/>
      <top style="thin"/>
      <bottom style="medium"/>
    </border>
    <border>
      <left style="thin"/>
      <right style="thin"/>
      <top style="thin"/>
      <bottom style="medium"/>
    </border>
    <border>
      <left style="thin"/>
      <right style="medium"/>
      <top style="thin"/>
      <bottom style="medium"/>
    </border>
    <border>
      <left style="medium"/>
      <right style="medium"/>
      <top/>
      <bottom style="medium"/>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bottom style="thin"/>
    </border>
    <border>
      <left style="medium"/>
      <right/>
      <top style="thin"/>
      <bottom style="thin"/>
    </border>
    <border>
      <left/>
      <right style="medium"/>
      <top style="thin"/>
      <bottom style="thin"/>
    </border>
    <border>
      <left/>
      <right/>
      <top/>
      <bottom style="double"/>
    </border>
    <border>
      <left style="medium"/>
      <right style="thin"/>
      <top style="thin"/>
      <bottom style="medium"/>
    </border>
    <border>
      <left style="thin"/>
      <right style="thin"/>
      <top/>
      <bottom style="medium"/>
    </border>
    <border>
      <left style="thin"/>
      <right style="medium"/>
      <top style="thin"/>
      <bottom style="thin"/>
    </border>
    <border>
      <left/>
      <right/>
      <top style="thin"/>
      <bottom style="double"/>
    </border>
    <border>
      <left/>
      <right style="thin"/>
      <top/>
      <bottom/>
    </border>
    <border>
      <left/>
      <right style="thin"/>
      <top style="medium"/>
      <bottom/>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thin"/>
      <right style="medium"/>
      <top/>
      <bottom style="medium"/>
    </border>
    <border>
      <left style="medium"/>
      <right style="thin"/>
      <top/>
      <bottom/>
    </border>
    <border>
      <left style="thin"/>
      <right style="thin"/>
      <top/>
      <bottom/>
    </border>
    <border>
      <left style="thin"/>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75" fillId="0" borderId="0" applyNumberFormat="0" applyFill="0" applyBorder="0" applyAlignment="0" applyProtection="0"/>
    <xf numFmtId="2" fontId="0" fillId="0" borderId="0" applyFont="0" applyFill="0" applyBorder="0" applyAlignment="0" applyProtection="0"/>
    <xf numFmtId="0" fontId="76" fillId="29" borderId="0" applyNumberFormat="0" applyBorder="0" applyAlignment="0" applyProtection="0"/>
    <xf numFmtId="0" fontId="40" fillId="0" borderId="0" applyNumberFormat="0" applyFont="0" applyFill="0" applyAlignment="0" applyProtection="0"/>
    <xf numFmtId="0" fontId="3" fillId="0" borderId="0" applyNumberFormat="0" applyFont="0" applyFill="0" applyAlignment="0" applyProtection="0"/>
    <xf numFmtId="0" fontId="77" fillId="0" borderId="3" applyNumberFormat="0" applyFill="0" applyAlignment="0" applyProtection="0"/>
    <xf numFmtId="0" fontId="77" fillId="0" borderId="0" applyNumberFormat="0" applyFill="0" applyBorder="0" applyAlignment="0" applyProtection="0"/>
    <xf numFmtId="0" fontId="14" fillId="0" borderId="0" applyNumberFormat="0" applyFill="0" applyBorder="0" applyAlignment="0" applyProtection="0"/>
    <xf numFmtId="0" fontId="78" fillId="30" borderId="1" applyNumberFormat="0" applyAlignment="0" applyProtection="0"/>
    <xf numFmtId="0" fontId="79" fillId="0" borderId="4" applyNumberFormat="0" applyFill="0" applyAlignment="0" applyProtection="0"/>
    <xf numFmtId="0" fontId="80" fillId="31" borderId="0" applyNumberFormat="0" applyBorder="0" applyAlignment="0" applyProtection="0"/>
    <xf numFmtId="0" fontId="0" fillId="32" borderId="5" applyNumberFormat="0" applyFont="0" applyAlignment="0" applyProtection="0"/>
    <xf numFmtId="0" fontId="81" fillId="27" borderId="6"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0" fillId="0" borderId="7" applyNumberFormat="0" applyFont="0" applyBorder="0" applyAlignment="0" applyProtection="0"/>
    <xf numFmtId="0" fontId="83" fillId="0" borderId="0" applyNumberFormat="0" applyFill="0" applyBorder="0" applyAlignment="0" applyProtection="0"/>
  </cellStyleXfs>
  <cellXfs count="612">
    <xf numFmtId="0" fontId="0" fillId="0" borderId="0" xfId="0" applyAlignment="1">
      <alignment/>
    </xf>
    <xf numFmtId="0" fontId="4" fillId="0" borderId="0" xfId="0" applyFont="1" applyAlignment="1">
      <alignment/>
    </xf>
    <xf numFmtId="0" fontId="0" fillId="0" borderId="0" xfId="0" applyAlignment="1" quotePrefix="1">
      <alignment/>
    </xf>
    <xf numFmtId="44" fontId="0" fillId="0" borderId="0" xfId="45" applyFill="1" applyAlignment="1">
      <alignment/>
    </xf>
    <xf numFmtId="44" fontId="0" fillId="0" borderId="0" xfId="45" applyAlignment="1">
      <alignment/>
    </xf>
    <xf numFmtId="0" fontId="12" fillId="0" borderId="0" xfId="0" applyFont="1" applyAlignment="1">
      <alignment/>
    </xf>
    <xf numFmtId="170" fontId="0" fillId="0" borderId="0" xfId="0" applyNumberFormat="1" applyFill="1" applyAlignment="1">
      <alignment/>
    </xf>
    <xf numFmtId="44" fontId="0" fillId="0" borderId="0" xfId="45" applyFill="1" applyBorder="1" applyAlignment="1">
      <alignment/>
    </xf>
    <xf numFmtId="0" fontId="2" fillId="33" borderId="0" xfId="0" applyFont="1" applyFill="1" applyAlignment="1">
      <alignment/>
    </xf>
    <xf numFmtId="0" fontId="0" fillId="33" borderId="0" xfId="0" applyFill="1" applyAlignment="1">
      <alignment/>
    </xf>
    <xf numFmtId="0" fontId="4" fillId="33" borderId="0" xfId="0" applyFont="1" applyFill="1" applyAlignment="1">
      <alignment horizontal="center"/>
    </xf>
    <xf numFmtId="0" fontId="12" fillId="33" borderId="0" xfId="0" applyFont="1" applyFill="1" applyAlignment="1">
      <alignment/>
    </xf>
    <xf numFmtId="0" fontId="4" fillId="33" borderId="0" xfId="0" applyFont="1" applyFill="1" applyAlignment="1">
      <alignment/>
    </xf>
    <xf numFmtId="0" fontId="5" fillId="33" borderId="0" xfId="0" applyFont="1" applyFill="1" applyAlignment="1">
      <alignment horizontal="center"/>
    </xf>
    <xf numFmtId="0" fontId="0" fillId="33" borderId="0" xfId="0" applyFill="1" applyAlignment="1">
      <alignment horizontal="right"/>
    </xf>
    <xf numFmtId="169" fontId="0" fillId="33" borderId="0" xfId="0" applyNumberFormat="1" applyFill="1" applyAlignment="1">
      <alignment/>
    </xf>
    <xf numFmtId="169" fontId="0" fillId="33" borderId="0" xfId="0" applyNumberFormat="1" applyFill="1" applyAlignment="1">
      <alignment horizontal="center"/>
    </xf>
    <xf numFmtId="169" fontId="12" fillId="33" borderId="0" xfId="0" applyNumberFormat="1" applyFont="1" applyFill="1" applyAlignment="1">
      <alignment/>
    </xf>
    <xf numFmtId="0" fontId="4" fillId="33" borderId="0" xfId="0" applyFont="1" applyFill="1" applyBorder="1" applyAlignment="1">
      <alignment horizontal="center"/>
    </xf>
    <xf numFmtId="169" fontId="0" fillId="33" borderId="8" xfId="0" applyNumberFormat="1" applyFill="1" applyBorder="1" applyAlignment="1">
      <alignment/>
    </xf>
    <xf numFmtId="169" fontId="0" fillId="33" borderId="0" xfId="0" applyNumberFormat="1" applyFill="1" applyBorder="1" applyAlignment="1">
      <alignment/>
    </xf>
    <xf numFmtId="169" fontId="12" fillId="33" borderId="0" xfId="0" applyNumberFormat="1" applyFont="1" applyFill="1" applyBorder="1" applyAlignment="1">
      <alignment/>
    </xf>
    <xf numFmtId="170" fontId="12" fillId="33" borderId="0" xfId="0" applyNumberFormat="1" applyFont="1" applyFill="1" applyBorder="1" applyAlignment="1">
      <alignment/>
    </xf>
    <xf numFmtId="169" fontId="0" fillId="33" borderId="9" xfId="0" applyNumberFormat="1" applyFill="1" applyBorder="1" applyAlignment="1">
      <alignment/>
    </xf>
    <xf numFmtId="169" fontId="4" fillId="33" borderId="0" xfId="0" applyNumberFormat="1" applyFont="1" applyFill="1" applyAlignment="1">
      <alignment horizontal="center"/>
    </xf>
    <xf numFmtId="170" fontId="0" fillId="33" borderId="0" xfId="0" applyNumberFormat="1" applyFill="1" applyAlignment="1">
      <alignment horizontal="center"/>
    </xf>
    <xf numFmtId="0" fontId="3" fillId="33" borderId="0" xfId="0" applyFont="1" applyFill="1" applyBorder="1" applyAlignment="1" applyProtection="1">
      <alignment/>
      <protection locked="0"/>
    </xf>
    <xf numFmtId="0" fontId="0" fillId="33" borderId="0" xfId="0" applyFill="1" applyBorder="1" applyAlignment="1">
      <alignment horizontal="left"/>
    </xf>
    <xf numFmtId="0" fontId="3"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4" fillId="33" borderId="0" xfId="0" applyFont="1" applyFill="1" applyBorder="1" applyAlignment="1">
      <alignment/>
    </xf>
    <xf numFmtId="0" fontId="3"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3"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2" fillId="33" borderId="0" xfId="0" applyFont="1" applyFill="1" applyAlignment="1">
      <alignment wrapText="1"/>
    </xf>
    <xf numFmtId="170" fontId="12" fillId="33" borderId="0" xfId="0" applyNumberFormat="1" applyFont="1" applyFill="1" applyAlignment="1">
      <alignment/>
    </xf>
    <xf numFmtId="178" fontId="12" fillId="33" borderId="0" xfId="0" applyNumberFormat="1" applyFont="1" applyFill="1" applyAlignment="1">
      <alignment/>
    </xf>
    <xf numFmtId="0" fontId="12" fillId="33" borderId="0" xfId="0" applyNumberFormat="1" applyFont="1" applyFill="1" applyAlignment="1">
      <alignment/>
    </xf>
    <xf numFmtId="0" fontId="9" fillId="33" borderId="0" xfId="0" applyFont="1" applyFill="1" applyAlignment="1">
      <alignment/>
    </xf>
    <xf numFmtId="169" fontId="12" fillId="33" borderId="0" xfId="0" applyNumberFormat="1" applyFont="1" applyFill="1" applyAlignment="1">
      <alignment wrapText="1"/>
    </xf>
    <xf numFmtId="170" fontId="0" fillId="33" borderId="0" xfId="0" applyNumberFormat="1" applyFill="1" applyAlignment="1">
      <alignment/>
    </xf>
    <xf numFmtId="170" fontId="0" fillId="33" borderId="0" xfId="0" applyNumberFormat="1" applyFill="1" applyBorder="1" applyAlignment="1">
      <alignment/>
    </xf>
    <xf numFmtId="170" fontId="0" fillId="33" borderId="9" xfId="0" applyNumberFormat="1" applyFill="1" applyBorder="1" applyAlignment="1">
      <alignment/>
    </xf>
    <xf numFmtId="169" fontId="0" fillId="33" borderId="0" xfId="0" applyNumberFormat="1" applyFill="1" applyAlignment="1">
      <alignment wrapText="1"/>
    </xf>
    <xf numFmtId="0" fontId="0" fillId="33" borderId="0" xfId="0" applyFill="1" applyAlignment="1">
      <alignment wrapText="1"/>
    </xf>
    <xf numFmtId="0" fontId="7" fillId="33" borderId="0" xfId="0" applyFont="1" applyFill="1" applyAlignment="1">
      <alignment/>
    </xf>
    <xf numFmtId="0" fontId="11" fillId="33" borderId="0" xfId="0" applyFont="1" applyFill="1" applyAlignment="1">
      <alignment/>
    </xf>
    <xf numFmtId="44" fontId="0" fillId="33" borderId="0" xfId="45" applyFill="1" applyAlignment="1">
      <alignment/>
    </xf>
    <xf numFmtId="10" fontId="0" fillId="33" borderId="0" xfId="45" applyNumberFormat="1" applyFill="1" applyAlignment="1">
      <alignment/>
    </xf>
    <xf numFmtId="0" fontId="9" fillId="33" borderId="9" xfId="0" applyNumberFormat="1" applyFont="1" applyFill="1" applyBorder="1" applyAlignment="1">
      <alignment horizontal="center"/>
    </xf>
    <xf numFmtId="169" fontId="12" fillId="33" borderId="9" xfId="0" applyNumberFormat="1" applyFont="1" applyFill="1" applyBorder="1" applyAlignment="1">
      <alignment/>
    </xf>
    <xf numFmtId="0" fontId="9" fillId="33" borderId="10" xfId="0" applyNumberFormat="1" applyFont="1" applyFill="1" applyBorder="1" applyAlignment="1">
      <alignment horizontal="center"/>
    </xf>
    <xf numFmtId="169" fontId="12" fillId="33" borderId="10" xfId="0" applyNumberFormat="1" applyFont="1" applyFill="1" applyBorder="1" applyAlignment="1">
      <alignment/>
    </xf>
    <xf numFmtId="0" fontId="12" fillId="33" borderId="10" xfId="0" applyFont="1" applyFill="1" applyBorder="1" applyAlignment="1">
      <alignment wrapText="1"/>
    </xf>
    <xf numFmtId="169" fontId="12" fillId="33" borderId="10" xfId="0" applyNumberFormat="1" applyFont="1" applyFill="1" applyBorder="1" applyAlignment="1">
      <alignment horizontal="center"/>
    </xf>
    <xf numFmtId="0" fontId="9" fillId="34" borderId="0" xfId="0" applyFont="1" applyFill="1" applyAlignment="1">
      <alignment/>
    </xf>
    <xf numFmtId="0" fontId="12" fillId="34" borderId="0" xfId="0" applyNumberFormat="1" applyFont="1" applyFill="1" applyAlignment="1">
      <alignment/>
    </xf>
    <xf numFmtId="178" fontId="12"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69" fontId="12" fillId="33" borderId="0" xfId="0" applyNumberFormat="1" applyFont="1" applyFill="1" applyBorder="1" applyAlignment="1">
      <alignment horizontal="center"/>
    </xf>
    <xf numFmtId="0" fontId="9" fillId="33" borderId="0" xfId="0" applyFont="1" applyFill="1" applyBorder="1" applyAlignment="1">
      <alignment horizontal="left"/>
    </xf>
    <xf numFmtId="0" fontId="9" fillId="33" borderId="9" xfId="0" applyFont="1" applyFill="1" applyBorder="1" applyAlignment="1">
      <alignment horizontal="left"/>
    </xf>
    <xf numFmtId="169" fontId="33" fillId="33" borderId="9" xfId="0" applyNumberFormat="1" applyFont="1" applyFill="1" applyBorder="1" applyAlignment="1">
      <alignment horizontal="center" vertical="center"/>
    </xf>
    <xf numFmtId="169" fontId="34" fillId="33" borderId="0" xfId="0" applyNumberFormat="1" applyFont="1" applyFill="1" applyBorder="1" applyAlignment="1">
      <alignment/>
    </xf>
    <xf numFmtId="169" fontId="34" fillId="33" borderId="9" xfId="0" applyNumberFormat="1" applyFont="1" applyFill="1" applyBorder="1" applyAlignment="1">
      <alignment/>
    </xf>
    <xf numFmtId="169" fontId="33" fillId="33" borderId="9" xfId="0" applyNumberFormat="1" applyFont="1" applyFill="1" applyBorder="1" applyAlignment="1">
      <alignment horizontal="center"/>
    </xf>
    <xf numFmtId="169" fontId="33" fillId="34" borderId="0" xfId="0" applyNumberFormat="1" applyFont="1" applyFill="1" applyAlignment="1">
      <alignment horizontal="center"/>
    </xf>
    <xf numFmtId="169" fontId="34" fillId="33" borderId="0" xfId="0" applyNumberFormat="1" applyFont="1" applyFill="1" applyAlignment="1">
      <alignment/>
    </xf>
    <xf numFmtId="169" fontId="34" fillId="33" borderId="0" xfId="0" applyNumberFormat="1" applyFont="1" applyFill="1" applyAlignment="1">
      <alignment horizontal="center"/>
    </xf>
    <xf numFmtId="170" fontId="0" fillId="33" borderId="8" xfId="0" applyNumberFormat="1" applyFill="1" applyBorder="1" applyAlignment="1">
      <alignment/>
    </xf>
    <xf numFmtId="0" fontId="11" fillId="33" borderId="0" xfId="0" applyFont="1" applyFill="1" applyBorder="1" applyAlignment="1">
      <alignment/>
    </xf>
    <xf numFmtId="0" fontId="31" fillId="33" borderId="12" xfId="0" applyFont="1" applyFill="1" applyBorder="1" applyAlignment="1">
      <alignment/>
    </xf>
    <xf numFmtId="169" fontId="18" fillId="33" borderId="13" xfId="0" applyNumberFormat="1" applyFont="1" applyFill="1" applyBorder="1" applyAlignment="1">
      <alignment/>
    </xf>
    <xf numFmtId="169" fontId="30" fillId="33" borderId="13" xfId="0" applyNumberFormat="1" applyFont="1" applyFill="1" applyBorder="1" applyAlignment="1">
      <alignment/>
    </xf>
    <xf numFmtId="178" fontId="12" fillId="33" borderId="14" xfId="0" applyNumberFormat="1" applyFont="1" applyFill="1" applyBorder="1" applyAlignment="1">
      <alignment/>
    </xf>
    <xf numFmtId="0" fontId="0" fillId="33" borderId="15" xfId="0" applyFill="1" applyBorder="1" applyAlignment="1">
      <alignment/>
    </xf>
    <xf numFmtId="178" fontId="12" fillId="33" borderId="16" xfId="0" applyNumberFormat="1" applyFont="1" applyFill="1" applyBorder="1" applyAlignment="1">
      <alignment/>
    </xf>
    <xf numFmtId="0" fontId="9" fillId="33" borderId="15" xfId="0" applyFont="1" applyFill="1" applyBorder="1" applyAlignment="1">
      <alignment/>
    </xf>
    <xf numFmtId="170" fontId="0" fillId="33" borderId="16" xfId="0" applyNumberFormat="1" applyFill="1" applyBorder="1" applyAlignment="1">
      <alignment/>
    </xf>
    <xf numFmtId="170" fontId="12" fillId="33" borderId="16" xfId="0" applyNumberFormat="1" applyFont="1" applyFill="1" applyBorder="1" applyAlignment="1">
      <alignment horizontal="center"/>
    </xf>
    <xf numFmtId="178" fontId="12" fillId="33" borderId="16" xfId="0" applyNumberFormat="1" applyFont="1" applyFill="1" applyBorder="1" applyAlignment="1">
      <alignment horizontal="center"/>
    </xf>
    <xf numFmtId="0" fontId="12" fillId="33" borderId="15" xfId="0" applyFont="1" applyFill="1" applyBorder="1" applyAlignment="1">
      <alignment/>
    </xf>
    <xf numFmtId="0" fontId="12" fillId="33" borderId="16" xfId="0" applyFont="1" applyFill="1" applyBorder="1" applyAlignment="1">
      <alignment horizontal="center"/>
    </xf>
    <xf numFmtId="0" fontId="0" fillId="33" borderId="17" xfId="0" applyFill="1" applyBorder="1" applyAlignment="1">
      <alignment/>
    </xf>
    <xf numFmtId="169" fontId="0" fillId="33" borderId="18" xfId="0" applyNumberFormat="1" applyFill="1" applyBorder="1" applyAlignment="1">
      <alignment/>
    </xf>
    <xf numFmtId="170"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70" fontId="12" fillId="33" borderId="16" xfId="0" applyNumberFormat="1" applyFont="1" applyFill="1" applyBorder="1" applyAlignment="1">
      <alignment/>
    </xf>
    <xf numFmtId="0" fontId="0" fillId="33" borderId="16" xfId="0" applyFill="1" applyBorder="1" applyAlignment="1">
      <alignment/>
    </xf>
    <xf numFmtId="0" fontId="9" fillId="33" borderId="15" xfId="0" applyFont="1" applyFill="1" applyBorder="1" applyAlignment="1">
      <alignment horizontal="left"/>
    </xf>
    <xf numFmtId="178" fontId="12" fillId="34" borderId="20" xfId="0" applyNumberFormat="1" applyFont="1" applyFill="1" applyBorder="1" applyAlignment="1">
      <alignment horizontal="center" vertical="center"/>
    </xf>
    <xf numFmtId="178" fontId="12" fillId="34" borderId="20" xfId="0" applyNumberFormat="1" applyFont="1" applyFill="1" applyBorder="1" applyAlignment="1">
      <alignment horizontal="center"/>
    </xf>
    <xf numFmtId="178" fontId="9" fillId="34" borderId="21" xfId="0" applyNumberFormat="1" applyFont="1" applyFill="1" applyBorder="1" applyAlignment="1">
      <alignment horizontal="center"/>
    </xf>
    <xf numFmtId="44" fontId="0" fillId="33" borderId="0" xfId="45" applyFont="1" applyFill="1" applyAlignment="1">
      <alignment/>
    </xf>
    <xf numFmtId="0" fontId="0" fillId="33" borderId="0" xfId="0" applyFill="1" applyAlignment="1" quotePrefix="1">
      <alignment/>
    </xf>
    <xf numFmtId="169" fontId="0" fillId="35" borderId="9" xfId="0" applyNumberFormat="1" applyFill="1" applyBorder="1" applyAlignment="1">
      <alignment/>
    </xf>
    <xf numFmtId="170" fontId="0" fillId="35" borderId="9" xfId="0" applyNumberFormat="1" applyFill="1" applyBorder="1" applyAlignment="1">
      <alignment/>
    </xf>
    <xf numFmtId="0" fontId="0" fillId="33" borderId="9" xfId="0" applyFont="1" applyFill="1" applyBorder="1" applyAlignment="1">
      <alignment/>
    </xf>
    <xf numFmtId="169" fontId="0" fillId="33" borderId="9" xfId="0" applyNumberFormat="1" applyFont="1" applyFill="1" applyBorder="1" applyAlignment="1">
      <alignment/>
    </xf>
    <xf numFmtId="169" fontId="0" fillId="35" borderId="9" xfId="0" applyNumberFormat="1" applyFont="1" applyFill="1" applyBorder="1" applyAlignment="1">
      <alignment/>
    </xf>
    <xf numFmtId="0" fontId="0" fillId="33" borderId="0" xfId="0" applyFont="1" applyFill="1" applyAlignment="1">
      <alignment/>
    </xf>
    <xf numFmtId="169" fontId="0" fillId="33" borderId="0" xfId="0" applyNumberFormat="1" applyFont="1" applyFill="1" applyAlignment="1">
      <alignment/>
    </xf>
    <xf numFmtId="170" fontId="0" fillId="35" borderId="9" xfId="0" applyNumberFormat="1" applyFont="1" applyFill="1" applyBorder="1" applyAlignment="1">
      <alignment/>
    </xf>
    <xf numFmtId="0" fontId="36" fillId="33" borderId="0" xfId="0" applyFont="1" applyFill="1" applyAlignment="1">
      <alignment/>
    </xf>
    <xf numFmtId="0" fontId="2" fillId="33" borderId="0" xfId="0" applyFont="1" applyFill="1" applyAlignment="1" applyProtection="1">
      <alignment/>
      <protection locked="0"/>
    </xf>
    <xf numFmtId="0" fontId="0" fillId="33" borderId="0" xfId="0" applyFont="1" applyFill="1" applyAlignment="1">
      <alignment horizontal="right"/>
    </xf>
    <xf numFmtId="0" fontId="3" fillId="36" borderId="0" xfId="0" applyFont="1" applyFill="1" applyAlignment="1">
      <alignment/>
    </xf>
    <xf numFmtId="44" fontId="0" fillId="33" borderId="0" xfId="45" applyFont="1" applyFill="1" applyBorder="1" applyAlignment="1">
      <alignment/>
    </xf>
    <xf numFmtId="44"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7" fontId="0" fillId="33" borderId="0" xfId="45" applyNumberFormat="1" applyFont="1" applyFill="1" applyAlignment="1">
      <alignment/>
    </xf>
    <xf numFmtId="37" fontId="0" fillId="33" borderId="0" xfId="45" applyNumberFormat="1" applyFont="1" applyFill="1" applyAlignment="1">
      <alignment horizontal="center"/>
    </xf>
    <xf numFmtId="7" fontId="0" fillId="33" borderId="0" xfId="45" applyNumberFormat="1" applyFont="1" applyFill="1" applyBorder="1" applyAlignment="1">
      <alignment/>
    </xf>
    <xf numFmtId="167" fontId="0" fillId="33" borderId="0" xfId="42" applyNumberFormat="1" applyFont="1" applyFill="1" applyBorder="1" applyAlignment="1">
      <alignment/>
    </xf>
    <xf numFmtId="43" fontId="0" fillId="33" borderId="0" xfId="42" applyFont="1" applyFill="1" applyBorder="1" applyAlignment="1">
      <alignment/>
    </xf>
    <xf numFmtId="43" fontId="0" fillId="33" borderId="0" xfId="45" applyNumberFormat="1" applyFont="1" applyFill="1" applyAlignment="1">
      <alignment/>
    </xf>
    <xf numFmtId="0" fontId="3" fillId="33" borderId="0" xfId="0" applyFont="1" applyFill="1" applyAlignment="1">
      <alignment/>
    </xf>
    <xf numFmtId="0" fontId="6" fillId="33" borderId="0" xfId="0" applyFont="1" applyFill="1" applyAlignment="1">
      <alignment/>
    </xf>
    <xf numFmtId="0" fontId="0" fillId="33" borderId="0" xfId="0" applyFill="1" applyAlignment="1">
      <alignment horizontal="center" wrapText="1"/>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44"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44" fontId="39" fillId="33" borderId="0" xfId="45" applyFont="1" applyFill="1" applyAlignment="1">
      <alignment/>
    </xf>
    <xf numFmtId="0" fontId="39" fillId="33" borderId="0" xfId="0" applyFont="1" applyFill="1" applyAlignment="1">
      <alignment/>
    </xf>
    <xf numFmtId="176" fontId="0" fillId="33" borderId="0" xfId="45" applyNumberFormat="1" applyFont="1" applyFill="1" applyBorder="1" applyAlignment="1">
      <alignment horizontal="right"/>
    </xf>
    <xf numFmtId="176" fontId="0" fillId="33" borderId="9" xfId="45" applyNumberFormat="1" applyFont="1" applyFill="1" applyBorder="1" applyAlignment="1">
      <alignment horizontal="right"/>
    </xf>
    <xf numFmtId="44" fontId="0" fillId="33" borderId="0" xfId="45" applyFont="1" applyFill="1" applyBorder="1" applyAlignment="1">
      <alignment horizontal="right"/>
    </xf>
    <xf numFmtId="0" fontId="4"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3" fillId="33" borderId="22" xfId="0" applyFont="1" applyFill="1" applyBorder="1" applyAlignment="1">
      <alignment vertical="center"/>
    </xf>
    <xf numFmtId="0" fontId="4" fillId="33" borderId="23" xfId="0" applyFont="1" applyFill="1" applyBorder="1" applyAlignment="1">
      <alignment horizontal="right" vertical="center" wrapText="1"/>
    </xf>
    <xf numFmtId="0" fontId="4" fillId="33" borderId="24" xfId="0" applyFont="1" applyFill="1" applyBorder="1" applyAlignment="1">
      <alignment horizontal="right" vertical="center" wrapText="1"/>
    </xf>
    <xf numFmtId="3" fontId="4" fillId="33" borderId="0" xfId="42" applyNumberFormat="1" applyFont="1" applyFill="1" applyBorder="1" applyAlignment="1">
      <alignment/>
    </xf>
    <xf numFmtId="7" fontId="4" fillId="33" borderId="0" xfId="42" applyNumberFormat="1" applyFont="1" applyFill="1" applyBorder="1" applyAlignment="1">
      <alignment/>
    </xf>
    <xf numFmtId="43" fontId="4"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3" fillId="33" borderId="0" xfId="0" applyFont="1" applyFill="1" applyAlignment="1">
      <alignment horizontal="center"/>
    </xf>
    <xf numFmtId="2" fontId="0" fillId="33" borderId="0" xfId="0" applyNumberFormat="1" applyFill="1" applyAlignment="1">
      <alignment/>
    </xf>
    <xf numFmtId="0" fontId="5" fillId="33" borderId="0" xfId="0" applyFont="1" applyFill="1" applyBorder="1" applyAlignment="1">
      <alignment horizontal="center" vertical="center"/>
    </xf>
    <xf numFmtId="0" fontId="43" fillId="33" borderId="0" xfId="0" applyFont="1" applyFill="1" applyAlignment="1">
      <alignment/>
    </xf>
    <xf numFmtId="0" fontId="43"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4" fillId="33" borderId="13" xfId="0" applyFont="1" applyFill="1" applyBorder="1" applyAlignment="1">
      <alignment/>
    </xf>
    <xf numFmtId="0" fontId="0" fillId="33" borderId="13" xfId="0" applyFill="1" applyBorder="1" applyAlignment="1">
      <alignment/>
    </xf>
    <xf numFmtId="3" fontId="4" fillId="35" borderId="27" xfId="0" applyNumberFormat="1" applyFont="1" applyFill="1" applyBorder="1" applyAlignment="1">
      <alignment horizontal="center"/>
    </xf>
    <xf numFmtId="0" fontId="10"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44" fontId="4"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44"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69" fontId="4" fillId="33" borderId="34" xfId="0" applyNumberFormat="1" applyFont="1" applyFill="1" applyBorder="1" applyAlignment="1">
      <alignment vertical="center"/>
    </xf>
    <xf numFmtId="44"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44" fontId="0" fillId="33" borderId="37" xfId="47" applyFill="1" applyBorder="1" applyAlignment="1">
      <alignment/>
    </xf>
    <xf numFmtId="175" fontId="4" fillId="34" borderId="38" xfId="0" applyNumberFormat="1" applyFont="1" applyFill="1" applyBorder="1" applyAlignment="1">
      <alignment/>
    </xf>
    <xf numFmtId="44" fontId="4" fillId="34" borderId="39" xfId="47" applyFont="1" applyFill="1" applyBorder="1" applyAlignment="1">
      <alignment vertical="center"/>
    </xf>
    <xf numFmtId="44" fontId="4" fillId="34" borderId="40" xfId="47" applyFont="1" applyFill="1" applyBorder="1" applyAlignment="1">
      <alignment/>
    </xf>
    <xf numFmtId="44" fontId="4" fillId="34" borderId="22" xfId="47" applyFont="1" applyFill="1" applyBorder="1" applyAlignment="1">
      <alignment/>
    </xf>
    <xf numFmtId="10" fontId="4" fillId="34" borderId="40" xfId="0" applyNumberFormat="1" applyFont="1" applyFill="1" applyBorder="1" applyAlignment="1">
      <alignment/>
    </xf>
    <xf numFmtId="175" fontId="0" fillId="0" borderId="41" xfId="0" applyNumberFormat="1" applyFill="1" applyBorder="1" applyAlignment="1">
      <alignment vertical="center"/>
    </xf>
    <xf numFmtId="44" fontId="0" fillId="0" borderId="42" xfId="47" applyBorder="1" applyAlignment="1">
      <alignment vertical="center"/>
    </xf>
    <xf numFmtId="174" fontId="0" fillId="33" borderId="41" xfId="47" applyNumberFormat="1" applyFill="1" applyBorder="1" applyAlignment="1">
      <alignment/>
    </xf>
    <xf numFmtId="44" fontId="0" fillId="33" borderId="43" xfId="47" applyFill="1" applyBorder="1" applyAlignment="1">
      <alignment/>
    </xf>
    <xf numFmtId="0" fontId="0" fillId="33" borderId="44" xfId="0" applyFont="1" applyFill="1" applyBorder="1" applyAlignment="1">
      <alignment horizontal="center" wrapText="1"/>
    </xf>
    <xf numFmtId="175"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74" fontId="0" fillId="33" borderId="46" xfId="47" applyNumberFormat="1" applyFill="1" applyBorder="1" applyAlignment="1">
      <alignment/>
    </xf>
    <xf numFmtId="44" fontId="0" fillId="33" borderId="47" xfId="47" applyFill="1" applyBorder="1" applyAlignment="1">
      <alignment/>
    </xf>
    <xf numFmtId="10" fontId="0" fillId="33" borderId="16" xfId="0" applyNumberFormat="1" applyFill="1" applyBorder="1" applyAlignment="1">
      <alignment/>
    </xf>
    <xf numFmtId="0" fontId="4" fillId="34" borderId="22" xfId="0" applyFont="1" applyFill="1" applyBorder="1" applyAlignment="1">
      <alignment/>
    </xf>
    <xf numFmtId="0" fontId="4" fillId="34" borderId="23" xfId="0" applyFont="1" applyFill="1" applyBorder="1" applyAlignment="1">
      <alignment/>
    </xf>
    <xf numFmtId="44" fontId="4" fillId="34" borderId="39" xfId="47" applyFont="1" applyFill="1" applyBorder="1" applyAlignment="1">
      <alignment/>
    </xf>
    <xf numFmtId="0" fontId="0" fillId="37" borderId="48" xfId="0" applyFill="1" applyBorder="1" applyAlignment="1">
      <alignment/>
    </xf>
    <xf numFmtId="44" fontId="0" fillId="33" borderId="18" xfId="47" applyFill="1" applyBorder="1" applyAlignment="1">
      <alignment/>
    </xf>
    <xf numFmtId="0" fontId="0" fillId="33" borderId="29" xfId="0" applyFill="1" applyBorder="1" applyAlignment="1">
      <alignment horizontal="center"/>
    </xf>
    <xf numFmtId="2" fontId="4" fillId="33" borderId="0" xfId="0" applyNumberFormat="1" applyFont="1" applyFill="1" applyAlignment="1">
      <alignment/>
    </xf>
    <xf numFmtId="2" fontId="4" fillId="33" borderId="0" xfId="0" applyNumberFormat="1" applyFont="1" applyFill="1" applyAlignment="1">
      <alignment horizontal="center"/>
    </xf>
    <xf numFmtId="10" fontId="4" fillId="33" borderId="0" xfId="0" applyNumberFormat="1" applyFont="1" applyFill="1" applyAlignment="1">
      <alignment/>
    </xf>
    <xf numFmtId="0" fontId="4" fillId="33" borderId="0" xfId="0" applyFont="1" applyFill="1" applyAlignment="1" quotePrefix="1">
      <alignment horizontal="center"/>
    </xf>
    <xf numFmtId="10" fontId="4" fillId="33" borderId="0" xfId="0" applyNumberFormat="1" applyFont="1" applyFill="1" applyAlignment="1">
      <alignment horizontal="center"/>
    </xf>
    <xf numFmtId="0" fontId="10" fillId="33" borderId="0" xfId="0" applyFont="1" applyFill="1" applyAlignment="1">
      <alignment/>
    </xf>
    <xf numFmtId="44" fontId="0" fillId="33" borderId="0" xfId="47" applyFont="1" applyFill="1" applyAlignment="1">
      <alignment/>
    </xf>
    <xf numFmtId="44" fontId="0" fillId="33" borderId="0" xfId="47" applyFill="1" applyAlignment="1">
      <alignment/>
    </xf>
    <xf numFmtId="44" fontId="4" fillId="33" borderId="0" xfId="47" applyFont="1" applyFill="1" applyBorder="1" applyAlignment="1">
      <alignment/>
    </xf>
    <xf numFmtId="0" fontId="4" fillId="33" borderId="0" xfId="0" applyFont="1" applyFill="1" applyBorder="1" applyAlignment="1">
      <alignment horizontal="left"/>
    </xf>
    <xf numFmtId="10" fontId="4" fillId="33" borderId="0" xfId="0" applyNumberFormat="1" applyFont="1" applyFill="1" applyBorder="1" applyAlignment="1">
      <alignment/>
    </xf>
    <xf numFmtId="0" fontId="42" fillId="33" borderId="0" xfId="0" applyFont="1" applyFill="1" applyAlignment="1">
      <alignment/>
    </xf>
    <xf numFmtId="174" fontId="0" fillId="33" borderId="0" xfId="47" applyNumberFormat="1" applyFill="1" applyAlignment="1">
      <alignment/>
    </xf>
    <xf numFmtId="0" fontId="44" fillId="33" borderId="0" xfId="0" applyFont="1" applyFill="1" applyAlignment="1">
      <alignment/>
    </xf>
    <xf numFmtId="0" fontId="39" fillId="33" borderId="0" xfId="0" applyFont="1" applyFill="1" applyBorder="1" applyAlignment="1">
      <alignment/>
    </xf>
    <xf numFmtId="44" fontId="39" fillId="33" borderId="0" xfId="47" applyFont="1" applyFill="1" applyAlignment="1">
      <alignment/>
    </xf>
    <xf numFmtId="174" fontId="39" fillId="33" borderId="0" xfId="47" applyNumberFormat="1" applyFont="1" applyFill="1" applyAlignment="1">
      <alignment/>
    </xf>
    <xf numFmtId="10" fontId="39" fillId="33" borderId="0" xfId="0" applyNumberFormat="1" applyFont="1" applyFill="1" applyAlignment="1">
      <alignment/>
    </xf>
    <xf numFmtId="44" fontId="4" fillId="33" borderId="49" xfId="47" applyFont="1" applyFill="1" applyBorder="1" applyAlignment="1">
      <alignment/>
    </xf>
    <xf numFmtId="174" fontId="4"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5" fillId="33" borderId="0" xfId="0" applyFont="1" applyFill="1" applyAlignment="1">
      <alignment/>
    </xf>
    <xf numFmtId="3" fontId="4" fillId="35" borderId="27" xfId="0" applyNumberFormat="1" applyFont="1" applyFill="1" applyBorder="1" applyAlignment="1">
      <alignment horizontal="center" vertical="center"/>
    </xf>
    <xf numFmtId="44" fontId="4" fillId="33" borderId="49" xfId="47" applyFont="1" applyFill="1" applyBorder="1" applyAlignment="1">
      <alignment vertical="center"/>
    </xf>
    <xf numFmtId="3" fontId="0" fillId="33" borderId="33" xfId="0" applyNumberFormat="1" applyFill="1" applyBorder="1" applyAlignment="1">
      <alignment vertical="center"/>
    </xf>
    <xf numFmtId="174" fontId="4" fillId="33" borderId="34" xfId="47" applyNumberFormat="1" applyFont="1" applyFill="1" applyBorder="1" applyAlignment="1">
      <alignment vertical="center"/>
    </xf>
    <xf numFmtId="44" fontId="0" fillId="33" borderId="37" xfId="47" applyFill="1" applyBorder="1" applyAlignment="1">
      <alignment vertical="center"/>
    </xf>
    <xf numFmtId="174" fontId="0" fillId="33" borderId="41" xfId="47" applyNumberFormat="1" applyFill="1" applyBorder="1" applyAlignment="1">
      <alignment vertical="center"/>
    </xf>
    <xf numFmtId="44" fontId="0" fillId="33" borderId="43" xfId="47" applyFill="1" applyBorder="1" applyAlignment="1">
      <alignment vertical="center"/>
    </xf>
    <xf numFmtId="44" fontId="4" fillId="36" borderId="12" xfId="47" applyFont="1" applyFill="1" applyBorder="1" applyAlignment="1">
      <alignment/>
    </xf>
    <xf numFmtId="3" fontId="0" fillId="33" borderId="46" xfId="0" applyNumberFormat="1" applyFill="1" applyBorder="1" applyAlignment="1">
      <alignment vertical="center"/>
    </xf>
    <xf numFmtId="174" fontId="0" fillId="33" borderId="46" xfId="47" applyNumberFormat="1" applyFill="1" applyBorder="1" applyAlignment="1">
      <alignment vertical="center"/>
    </xf>
    <xf numFmtId="44" fontId="0" fillId="33" borderId="47" xfId="47" applyFill="1" applyBorder="1" applyAlignment="1">
      <alignment vertical="center"/>
    </xf>
    <xf numFmtId="166" fontId="0" fillId="33" borderId="0" xfId="0" applyNumberFormat="1" applyFill="1" applyAlignment="1">
      <alignment/>
    </xf>
    <xf numFmtId="0" fontId="46" fillId="33" borderId="0" xfId="0" applyFont="1" applyFill="1" applyAlignment="1">
      <alignment/>
    </xf>
    <xf numFmtId="44" fontId="46" fillId="33" borderId="0" xfId="47" applyFont="1" applyFill="1" applyAlignment="1">
      <alignment/>
    </xf>
    <xf numFmtId="174" fontId="46" fillId="33" borderId="0" xfId="47" applyNumberFormat="1" applyFont="1" applyFill="1" applyAlignment="1">
      <alignment/>
    </xf>
    <xf numFmtId="10" fontId="46" fillId="33" borderId="0" xfId="0" applyNumberFormat="1" applyFont="1" applyFill="1" applyAlignment="1">
      <alignment/>
    </xf>
    <xf numFmtId="170" fontId="4" fillId="33" borderId="34" xfId="47" applyNumberFormat="1" applyFont="1" applyFill="1" applyBorder="1" applyAlignment="1">
      <alignment vertical="center"/>
    </xf>
    <xf numFmtId="0" fontId="0" fillId="33" borderId="18" xfId="0" applyFill="1" applyBorder="1" applyAlignment="1">
      <alignment wrapText="1"/>
    </xf>
    <xf numFmtId="166" fontId="0" fillId="33" borderId="18" xfId="0" applyNumberFormat="1" applyFill="1" applyBorder="1" applyAlignment="1">
      <alignment/>
    </xf>
    <xf numFmtId="174" fontId="0" fillId="33" borderId="18" xfId="47" applyNumberFormat="1" applyFill="1" applyBorder="1" applyAlignment="1">
      <alignment/>
    </xf>
    <xf numFmtId="0" fontId="0" fillId="33" borderId="0" xfId="0" applyFill="1" applyBorder="1" applyAlignment="1">
      <alignment wrapText="1"/>
    </xf>
    <xf numFmtId="175" fontId="0" fillId="33" borderId="0" xfId="0" applyNumberFormat="1" applyFill="1" applyBorder="1" applyAlignment="1">
      <alignment/>
    </xf>
    <xf numFmtId="166" fontId="0" fillId="33" borderId="0" xfId="0" applyNumberFormat="1" applyFill="1" applyBorder="1" applyAlignment="1">
      <alignment/>
    </xf>
    <xf numFmtId="174" fontId="0" fillId="33" borderId="0" xfId="47" applyNumberFormat="1" applyFill="1" applyBorder="1" applyAlignment="1">
      <alignment/>
    </xf>
    <xf numFmtId="0" fontId="9" fillId="33" borderId="0" xfId="0" applyFont="1" applyFill="1" applyBorder="1" applyAlignment="1">
      <alignment/>
    </xf>
    <xf numFmtId="2" fontId="0" fillId="33" borderId="0" xfId="0" applyNumberFormat="1" applyFill="1" applyBorder="1" applyAlignment="1">
      <alignment/>
    </xf>
    <xf numFmtId="10" fontId="4"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44" fontId="0" fillId="33" borderId="9" xfId="45" applyFill="1" applyBorder="1" applyAlignment="1">
      <alignment/>
    </xf>
    <xf numFmtId="44" fontId="0" fillId="35" borderId="9" xfId="45" applyFill="1" applyBorder="1" applyAlignment="1">
      <alignment/>
    </xf>
    <xf numFmtId="44" fontId="0" fillId="33" borderId="0" xfId="45" applyFill="1" applyBorder="1" applyAlignment="1">
      <alignment/>
    </xf>
    <xf numFmtId="37" fontId="0" fillId="35" borderId="0" xfId="45" applyNumberFormat="1" applyFont="1" applyFill="1" applyBorder="1" applyAlignment="1">
      <alignment horizontal="right"/>
    </xf>
    <xf numFmtId="176" fontId="0" fillId="33" borderId="0" xfId="45" applyNumberFormat="1" applyFill="1" applyBorder="1" applyAlignment="1">
      <alignment horizontal="right"/>
    </xf>
    <xf numFmtId="44" fontId="0" fillId="33" borderId="16" xfId="45" applyFill="1" applyBorder="1" applyAlignment="1">
      <alignment/>
    </xf>
    <xf numFmtId="7"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7"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76" fontId="0" fillId="33" borderId="9" xfId="45" applyNumberFormat="1" applyFill="1" applyBorder="1" applyAlignment="1">
      <alignment horizontal="right"/>
    </xf>
    <xf numFmtId="167" fontId="0" fillId="33" borderId="0" xfId="42" applyNumberFormat="1" applyFill="1" applyBorder="1" applyAlignment="1">
      <alignment/>
    </xf>
    <xf numFmtId="43" fontId="0" fillId="33" borderId="0" xfId="42" applyFill="1" applyBorder="1" applyAlignment="1">
      <alignment/>
    </xf>
    <xf numFmtId="44" fontId="0" fillId="33" borderId="0" xfId="45" applyFill="1" applyBorder="1" applyAlignment="1">
      <alignment horizontal="right"/>
    </xf>
    <xf numFmtId="43" fontId="0" fillId="33" borderId="0" xfId="45" applyNumberFormat="1" applyFill="1" applyAlignment="1">
      <alignment/>
    </xf>
    <xf numFmtId="168" fontId="0" fillId="33" borderId="0" xfId="45" applyNumberFormat="1" applyFill="1" applyAlignment="1">
      <alignment/>
    </xf>
    <xf numFmtId="0" fontId="4"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4" fillId="33" borderId="18" xfId="0" applyFont="1" applyFill="1" applyBorder="1" applyAlignment="1">
      <alignment horizontal="center" wrapText="1"/>
    </xf>
    <xf numFmtId="0" fontId="0" fillId="33" borderId="0" xfId="0" applyFont="1" applyFill="1" applyAlignment="1">
      <alignment horizontal="center"/>
    </xf>
    <xf numFmtId="44" fontId="0" fillId="33" borderId="0" xfId="0" applyNumberFormat="1" applyFont="1" applyFill="1" applyAlignment="1">
      <alignment/>
    </xf>
    <xf numFmtId="9" fontId="0" fillId="33" borderId="0" xfId="0" applyNumberFormat="1" applyFont="1" applyFill="1" applyAlignment="1">
      <alignment horizontal="center"/>
    </xf>
    <xf numFmtId="165" fontId="0" fillId="33" borderId="0" xfId="0" applyNumberFormat="1" applyFont="1" applyFill="1" applyAlignment="1">
      <alignment horizontal="center" wrapText="1"/>
    </xf>
    <xf numFmtId="179"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165" fontId="0" fillId="33" borderId="9" xfId="0" applyNumberFormat="1" applyFont="1" applyFill="1" applyBorder="1" applyAlignment="1">
      <alignment horizontal="center" wrapText="1"/>
    </xf>
    <xf numFmtId="179"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44" fontId="0" fillId="33" borderId="9" xfId="45" applyFont="1" applyFill="1" applyBorder="1" applyAlignment="1">
      <alignment/>
    </xf>
    <xf numFmtId="0" fontId="0" fillId="33" borderId="0" xfId="0" applyFont="1" applyFill="1" applyBorder="1" applyAlignment="1">
      <alignment/>
    </xf>
    <xf numFmtId="44" fontId="0" fillId="33" borderId="0" xfId="45" applyFont="1" applyFill="1" applyBorder="1" applyAlignment="1">
      <alignment/>
    </xf>
    <xf numFmtId="172" fontId="0" fillId="33" borderId="0" xfId="45" applyNumberFormat="1" applyFont="1" applyFill="1" applyBorder="1" applyAlignment="1">
      <alignment/>
    </xf>
    <xf numFmtId="171" fontId="0" fillId="33" borderId="0" xfId="0" applyNumberFormat="1" applyFill="1" applyAlignment="1">
      <alignment/>
    </xf>
    <xf numFmtId="172" fontId="0" fillId="33" borderId="0" xfId="0" applyNumberFormat="1" applyFill="1" applyAlignment="1">
      <alignment/>
    </xf>
    <xf numFmtId="0" fontId="3" fillId="33" borderId="15" xfId="0" applyFont="1" applyFill="1" applyBorder="1" applyAlignment="1" applyProtection="1">
      <alignment/>
      <protection locked="0"/>
    </xf>
    <xf numFmtId="0" fontId="3" fillId="33" borderId="17" xfId="0" applyFont="1" applyFill="1" applyBorder="1" applyAlignment="1">
      <alignment/>
    </xf>
    <xf numFmtId="15" fontId="0" fillId="33" borderId="18" xfId="0" applyNumberFormat="1" applyFill="1" applyBorder="1" applyAlignment="1">
      <alignment horizontal="left"/>
    </xf>
    <xf numFmtId="169" fontId="6"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7" fillId="33" borderId="0" xfId="0" applyFont="1" applyFill="1" applyAlignment="1">
      <alignment horizontal="center"/>
    </xf>
    <xf numFmtId="0" fontId="49" fillId="33" borderId="0" xfId="0" applyFont="1" applyFill="1" applyAlignment="1">
      <alignment/>
    </xf>
    <xf numFmtId="0" fontId="25" fillId="33" borderId="0" xfId="0" applyFont="1" applyFill="1" applyAlignment="1">
      <alignment/>
    </xf>
    <xf numFmtId="0" fontId="50" fillId="33" borderId="9" xfId="0" applyFont="1" applyFill="1" applyBorder="1" applyAlignment="1">
      <alignment horizontal="left"/>
    </xf>
    <xf numFmtId="0" fontId="39" fillId="33" borderId="9" xfId="0" applyFont="1" applyFill="1" applyBorder="1" applyAlignment="1" quotePrefix="1">
      <alignment/>
    </xf>
    <xf numFmtId="44" fontId="39" fillId="33" borderId="9" xfId="45" applyFont="1" applyFill="1" applyBorder="1" applyAlignment="1">
      <alignment/>
    </xf>
    <xf numFmtId="0" fontId="39" fillId="33" borderId="9" xfId="0" applyFont="1" applyFill="1" applyBorder="1" applyAlignment="1">
      <alignment/>
    </xf>
    <xf numFmtId="44" fontId="4" fillId="35" borderId="9" xfId="45" applyFont="1" applyFill="1" applyBorder="1" applyAlignment="1">
      <alignment/>
    </xf>
    <xf numFmtId="0" fontId="4" fillId="37" borderId="22" xfId="0" applyFont="1" applyFill="1" applyBorder="1" applyAlignment="1">
      <alignment/>
    </xf>
    <xf numFmtId="3" fontId="4" fillId="37" borderId="23" xfId="42" applyNumberFormat="1" applyFont="1" applyFill="1" applyBorder="1" applyAlignment="1">
      <alignment/>
    </xf>
    <xf numFmtId="10" fontId="4" fillId="37" borderId="23" xfId="42" applyNumberFormat="1" applyFont="1" applyFill="1" applyBorder="1" applyAlignment="1">
      <alignment horizontal="right"/>
    </xf>
    <xf numFmtId="0" fontId="9" fillId="33" borderId="0" xfId="0" applyNumberFormat="1" applyFont="1" applyFill="1" applyBorder="1" applyAlignment="1">
      <alignment horizontal="center"/>
    </xf>
    <xf numFmtId="178" fontId="9" fillId="33" borderId="0" xfId="0" applyNumberFormat="1" applyFont="1" applyFill="1" applyBorder="1" applyAlignment="1">
      <alignment/>
    </xf>
    <xf numFmtId="0" fontId="12" fillId="33" borderId="50" xfId="0" applyFont="1" applyFill="1" applyBorder="1" applyAlignment="1">
      <alignment/>
    </xf>
    <xf numFmtId="0" fontId="9" fillId="33" borderId="51" xfId="0" applyNumberFormat="1" applyFont="1" applyFill="1" applyBorder="1" applyAlignment="1">
      <alignment horizontal="center"/>
    </xf>
    <xf numFmtId="169" fontId="12" fillId="33" borderId="51" xfId="0" applyNumberFormat="1" applyFont="1" applyFill="1" applyBorder="1" applyAlignment="1">
      <alignment/>
    </xf>
    <xf numFmtId="178" fontId="12" fillId="35" borderId="52" xfId="0" applyNumberFormat="1" applyFont="1" applyFill="1" applyBorder="1" applyAlignment="1">
      <alignment/>
    </xf>
    <xf numFmtId="0" fontId="12" fillId="33" borderId="53" xfId="0" applyFont="1" applyFill="1" applyBorder="1" applyAlignment="1">
      <alignment/>
    </xf>
    <xf numFmtId="178" fontId="12" fillId="35" borderId="20" xfId="0" applyNumberFormat="1" applyFont="1" applyFill="1" applyBorder="1" applyAlignment="1">
      <alignment/>
    </xf>
    <xf numFmtId="0" fontId="9" fillId="34" borderId="15" xfId="0" applyFont="1" applyFill="1" applyBorder="1" applyAlignment="1">
      <alignment horizontal="left"/>
    </xf>
    <xf numFmtId="0" fontId="9" fillId="34" borderId="0" xfId="0" applyNumberFormat="1" applyFont="1" applyFill="1" applyBorder="1" applyAlignment="1">
      <alignment horizontal="center"/>
    </xf>
    <xf numFmtId="169" fontId="12" fillId="34" borderId="0" xfId="0" applyNumberFormat="1" applyFont="1" applyFill="1" applyBorder="1" applyAlignment="1">
      <alignment/>
    </xf>
    <xf numFmtId="178" fontId="12" fillId="34" borderId="16" xfId="0" applyNumberFormat="1" applyFont="1" applyFill="1" applyBorder="1" applyAlignment="1">
      <alignment/>
    </xf>
    <xf numFmtId="0" fontId="9" fillId="38" borderId="17" xfId="0" applyFont="1" applyFill="1" applyBorder="1" applyAlignment="1">
      <alignment/>
    </xf>
    <xf numFmtId="0" fontId="9" fillId="38" borderId="18" xfId="0" applyNumberFormat="1" applyFont="1" applyFill="1" applyBorder="1" applyAlignment="1">
      <alignment horizontal="center"/>
    </xf>
    <xf numFmtId="169" fontId="12" fillId="38" borderId="18" xfId="0" applyNumberFormat="1" applyFont="1" applyFill="1" applyBorder="1" applyAlignment="1">
      <alignment/>
    </xf>
    <xf numFmtId="178" fontId="9" fillId="38" borderId="19" xfId="0" applyNumberFormat="1" applyFont="1" applyFill="1" applyBorder="1" applyAlignment="1">
      <alignment/>
    </xf>
    <xf numFmtId="0" fontId="12" fillId="33" borderId="54" xfId="0" applyFont="1" applyFill="1" applyBorder="1" applyAlignment="1">
      <alignment/>
    </xf>
    <xf numFmtId="178" fontId="12" fillId="35" borderId="55" xfId="0" applyNumberFormat="1" applyFont="1" applyFill="1" applyBorder="1" applyAlignment="1">
      <alignment/>
    </xf>
    <xf numFmtId="0" fontId="26" fillId="33" borderId="54" xfId="0" applyFont="1" applyFill="1" applyBorder="1" applyAlignment="1">
      <alignment horizontal="left" indent="2"/>
    </xf>
    <xf numFmtId="178" fontId="12" fillId="35" borderId="55" xfId="0" applyNumberFormat="1" applyFont="1" applyFill="1" applyBorder="1" applyAlignment="1">
      <alignment horizontal="right"/>
    </xf>
    <xf numFmtId="178" fontId="12" fillId="33" borderId="16" xfId="0" applyNumberFormat="1" applyFont="1" applyFill="1" applyBorder="1" applyAlignment="1">
      <alignment horizontal="right"/>
    </xf>
    <xf numFmtId="0" fontId="9" fillId="33" borderId="56" xfId="0" applyFont="1" applyFill="1" applyBorder="1" applyAlignment="1">
      <alignment/>
    </xf>
    <xf numFmtId="0" fontId="9" fillId="33" borderId="56" xfId="0" applyNumberFormat="1" applyFont="1" applyFill="1" applyBorder="1" applyAlignment="1">
      <alignment/>
    </xf>
    <xf numFmtId="169" fontId="33" fillId="33" borderId="56" xfId="0" applyNumberFormat="1" applyFont="1" applyFill="1" applyBorder="1" applyAlignment="1">
      <alignment/>
    </xf>
    <xf numFmtId="170" fontId="9" fillId="33" borderId="56" xfId="0" applyNumberFormat="1" applyFont="1" applyFill="1" applyBorder="1" applyAlignment="1">
      <alignment/>
    </xf>
    <xf numFmtId="0" fontId="12" fillId="33" borderId="56" xfId="0" applyFont="1" applyFill="1" applyBorder="1" applyAlignment="1">
      <alignment/>
    </xf>
    <xf numFmtId="0" fontId="12" fillId="33" borderId="56" xfId="0" applyNumberFormat="1" applyFont="1" applyFill="1" applyBorder="1" applyAlignment="1">
      <alignment/>
    </xf>
    <xf numFmtId="169" fontId="34" fillId="33" borderId="56" xfId="0" applyNumberFormat="1" applyFont="1" applyFill="1" applyBorder="1" applyAlignment="1">
      <alignment/>
    </xf>
    <xf numFmtId="170" fontId="12" fillId="33" borderId="56" xfId="0" applyNumberFormat="1" applyFont="1" applyFill="1" applyBorder="1" applyAlignment="1">
      <alignment/>
    </xf>
    <xf numFmtId="0" fontId="51" fillId="33" borderId="0" xfId="0" applyFont="1" applyFill="1" applyAlignment="1">
      <alignment/>
    </xf>
    <xf numFmtId="44" fontId="4" fillId="35" borderId="9" xfId="45" applyFont="1" applyFill="1" applyBorder="1" applyAlignment="1">
      <alignment horizontal="center"/>
    </xf>
    <xf numFmtId="0" fontId="9" fillId="33" borderId="8" xfId="0" applyFont="1" applyFill="1" applyBorder="1" applyAlignment="1">
      <alignment horizontal="left"/>
    </xf>
    <xf numFmtId="44" fontId="0" fillId="33" borderId="8" xfId="45" applyFill="1" applyBorder="1" applyAlignment="1">
      <alignment/>
    </xf>
    <xf numFmtId="44" fontId="4" fillId="33" borderId="8" xfId="45" applyFont="1" applyFill="1" applyBorder="1" applyAlignment="1">
      <alignment horizontal="center"/>
    </xf>
    <xf numFmtId="44" fontId="0" fillId="0" borderId="37" xfId="47" applyBorder="1" applyAlignment="1">
      <alignment vertical="center"/>
    </xf>
    <xf numFmtId="0" fontId="0" fillId="33" borderId="57" xfId="0" applyFont="1" applyFill="1" applyBorder="1" applyAlignment="1">
      <alignment horizontal="center" wrapText="1"/>
    </xf>
    <xf numFmtId="175" fontId="0" fillId="0" borderId="46" xfId="0" applyNumberFormat="1" applyBorder="1" applyAlignment="1">
      <alignment vertical="center"/>
    </xf>
    <xf numFmtId="44" fontId="0" fillId="0" borderId="47" xfId="47" applyBorder="1" applyAlignment="1">
      <alignment vertical="center"/>
    </xf>
    <xf numFmtId="0" fontId="3" fillId="33" borderId="0" xfId="0" applyFont="1" applyFill="1" applyBorder="1" applyAlignment="1">
      <alignment/>
    </xf>
    <xf numFmtId="0" fontId="0" fillId="33" borderId="0" xfId="0" applyFont="1" applyFill="1" applyAlignment="1">
      <alignment/>
    </xf>
    <xf numFmtId="0" fontId="12" fillId="33" borderId="0" xfId="0" applyFont="1" applyFill="1" applyBorder="1" applyAlignment="1">
      <alignment/>
    </xf>
    <xf numFmtId="0" fontId="12" fillId="33" borderId="18" xfId="0" applyFont="1" applyFill="1" applyBorder="1" applyAlignment="1">
      <alignment/>
    </xf>
    <xf numFmtId="170" fontId="4"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4" fillId="33" borderId="17" xfId="0" applyFont="1" applyFill="1" applyBorder="1" applyAlignment="1">
      <alignment/>
    </xf>
    <xf numFmtId="169" fontId="6" fillId="33" borderId="0" xfId="0" applyNumberFormat="1" applyFont="1" applyFill="1" applyAlignment="1">
      <alignment wrapText="1"/>
    </xf>
    <xf numFmtId="0" fontId="6" fillId="33" borderId="0" xfId="0" applyFont="1" applyFill="1" applyAlignment="1">
      <alignment wrapText="1"/>
    </xf>
    <xf numFmtId="170" fontId="6" fillId="33" borderId="0" xfId="0" applyNumberFormat="1" applyFont="1" applyFill="1" applyAlignment="1">
      <alignment/>
    </xf>
    <xf numFmtId="171" fontId="6" fillId="33" borderId="0" xfId="0" applyNumberFormat="1" applyFont="1" applyFill="1" applyAlignment="1">
      <alignment/>
    </xf>
    <xf numFmtId="169" fontId="6" fillId="33" borderId="0" xfId="0" applyNumberFormat="1" applyFont="1" applyFill="1" applyAlignment="1">
      <alignment horizontal="center"/>
    </xf>
    <xf numFmtId="170" fontId="0" fillId="33" borderId="0" xfId="0" applyNumberFormat="1" applyFont="1" applyFill="1" applyAlignment="1">
      <alignment horizontal="center"/>
    </xf>
    <xf numFmtId="0" fontId="26" fillId="33" borderId="0" xfId="0" applyFont="1" applyFill="1" applyAlignment="1">
      <alignment horizontal="center"/>
    </xf>
    <xf numFmtId="44" fontId="4" fillId="34" borderId="40" xfId="47" applyFont="1" applyFill="1" applyBorder="1" applyAlignment="1">
      <alignment vertical="center"/>
    </xf>
    <xf numFmtId="44"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2" fillId="33" borderId="0" xfId="0" applyFont="1" applyFill="1" applyBorder="1" applyAlignment="1" applyProtection="1">
      <alignment/>
      <protection locked="0"/>
    </xf>
    <xf numFmtId="178" fontId="0" fillId="33" borderId="0" xfId="45" applyNumberFormat="1" applyFont="1" applyFill="1" applyBorder="1" applyAlignment="1">
      <alignment horizontal="right"/>
    </xf>
    <xf numFmtId="178" fontId="0" fillId="33" borderId="9" xfId="45" applyNumberFormat="1" applyFont="1" applyFill="1" applyBorder="1" applyAlignment="1">
      <alignment horizontal="right"/>
    </xf>
    <xf numFmtId="180" fontId="0" fillId="33" borderId="0" xfId="0" applyNumberFormat="1" applyFill="1" applyAlignment="1">
      <alignment/>
    </xf>
    <xf numFmtId="169" fontId="4" fillId="33" borderId="34" xfId="47" applyNumberFormat="1" applyFont="1" applyFill="1" applyBorder="1" applyAlignment="1">
      <alignment vertical="center"/>
    </xf>
    <xf numFmtId="182" fontId="4" fillId="34" borderId="40" xfId="0" applyNumberFormat="1" applyFont="1" applyFill="1" applyBorder="1" applyAlignment="1">
      <alignment/>
    </xf>
    <xf numFmtId="44" fontId="4"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2" fillId="33" borderId="0" xfId="0" applyFont="1" applyFill="1" applyAlignment="1">
      <alignment/>
    </xf>
    <xf numFmtId="15" fontId="15" fillId="33" borderId="0" xfId="57" applyNumberFormat="1" applyFont="1" applyFill="1" applyBorder="1" applyAlignment="1" applyProtection="1">
      <alignment horizontal="left"/>
      <protection/>
    </xf>
    <xf numFmtId="0" fontId="3" fillId="33" borderId="0" xfId="0" applyFont="1" applyFill="1" applyBorder="1" applyAlignment="1">
      <alignment horizontal="left"/>
    </xf>
    <xf numFmtId="0" fontId="2" fillId="33" borderId="0" xfId="0" applyFont="1" applyFill="1" applyBorder="1" applyAlignment="1">
      <alignment horizontal="left"/>
    </xf>
    <xf numFmtId="0" fontId="0" fillId="33" borderId="18" xfId="0" applyFill="1" applyBorder="1" applyAlignment="1">
      <alignment horizontal="left"/>
    </xf>
    <xf numFmtId="0" fontId="43" fillId="33" borderId="14" xfId="0" applyFont="1" applyFill="1" applyBorder="1" applyAlignment="1">
      <alignment horizontal="center"/>
    </xf>
    <xf numFmtId="0" fontId="3" fillId="33" borderId="16" xfId="0" applyFont="1" applyFill="1" applyBorder="1" applyAlignment="1">
      <alignment horizontal="right"/>
    </xf>
    <xf numFmtId="178" fontId="0" fillId="35" borderId="0" xfId="45" applyNumberFormat="1" applyFill="1" applyBorder="1" applyAlignment="1">
      <alignment horizontal="right"/>
    </xf>
    <xf numFmtId="178" fontId="0" fillId="35" borderId="0" xfId="45" applyNumberFormat="1" applyFont="1" applyFill="1" applyBorder="1" applyAlignment="1">
      <alignment horizontal="right"/>
    </xf>
    <xf numFmtId="178" fontId="0" fillId="35" borderId="0" xfId="45" applyNumberFormat="1" applyFill="1" applyBorder="1" applyAlignment="1">
      <alignment/>
    </xf>
    <xf numFmtId="178" fontId="0" fillId="35" borderId="9" xfId="45" applyNumberFormat="1" applyFill="1" applyBorder="1" applyAlignment="1">
      <alignment/>
    </xf>
    <xf numFmtId="178" fontId="0" fillId="33" borderId="16" xfId="45" applyNumberFormat="1" applyFill="1" applyBorder="1" applyAlignment="1">
      <alignment/>
    </xf>
    <xf numFmtId="178" fontId="0" fillId="33" borderId="20" xfId="45" applyNumberFormat="1" applyFill="1" applyBorder="1" applyAlignment="1">
      <alignment/>
    </xf>
    <xf numFmtId="178" fontId="0" fillId="33" borderId="9" xfId="0" applyNumberFormat="1" applyFont="1" applyFill="1" applyBorder="1" applyAlignment="1">
      <alignment horizontal="center" wrapText="1"/>
    </xf>
    <xf numFmtId="169" fontId="0" fillId="33" borderId="9" xfId="0" applyNumberFormat="1" applyFont="1" applyFill="1" applyBorder="1" applyAlignment="1">
      <alignment horizontal="center" wrapText="1"/>
    </xf>
    <xf numFmtId="169" fontId="0" fillId="33" borderId="0" xfId="0" applyNumberFormat="1" applyFont="1" applyFill="1" applyAlignment="1">
      <alignment horizontal="center" wrapText="1"/>
    </xf>
    <xf numFmtId="169" fontId="0" fillId="33" borderId="9" xfId="45" applyNumberFormat="1" applyFont="1" applyFill="1" applyBorder="1" applyAlignment="1">
      <alignment/>
    </xf>
    <xf numFmtId="169" fontId="0" fillId="33" borderId="9" xfId="45" applyNumberFormat="1" applyFont="1" applyFill="1" applyBorder="1" applyAlignment="1">
      <alignment horizontal="center"/>
    </xf>
    <xf numFmtId="178" fontId="0" fillId="33" borderId="9" xfId="0" applyNumberFormat="1" applyFont="1" applyFill="1" applyBorder="1" applyAlignment="1">
      <alignment horizontal="center"/>
    </xf>
    <xf numFmtId="178" fontId="0" fillId="35" borderId="9" xfId="45" applyNumberFormat="1" applyFont="1" applyFill="1" applyBorder="1" applyAlignment="1">
      <alignment horizontal="right"/>
    </xf>
    <xf numFmtId="178" fontId="4" fillId="33" borderId="16" xfId="0" applyNumberFormat="1" applyFont="1" applyFill="1" applyBorder="1" applyAlignment="1">
      <alignment/>
    </xf>
    <xf numFmtId="178" fontId="0" fillId="33" borderId="59" xfId="45" applyNumberFormat="1" applyFill="1" applyBorder="1" applyAlignment="1">
      <alignment/>
    </xf>
    <xf numFmtId="178" fontId="4" fillId="33" borderId="0" xfId="42" applyNumberFormat="1" applyFont="1" applyFill="1" applyBorder="1" applyAlignment="1">
      <alignment/>
    </xf>
    <xf numFmtId="178" fontId="4" fillId="37" borderId="23" xfId="42" applyNumberFormat="1" applyFont="1" applyFill="1" applyBorder="1" applyAlignment="1">
      <alignment/>
    </xf>
    <xf numFmtId="178" fontId="4" fillId="37" borderId="24" xfId="0" applyNumberFormat="1" applyFont="1" applyFill="1" applyBorder="1" applyAlignment="1">
      <alignment/>
    </xf>
    <xf numFmtId="178" fontId="29" fillId="33" borderId="43" xfId="45" applyNumberFormat="1" applyFont="1" applyFill="1" applyBorder="1" applyAlignment="1">
      <alignment/>
    </xf>
    <xf numFmtId="178" fontId="0" fillId="33" borderId="16" xfId="45" applyNumberFormat="1" applyFont="1" applyFill="1" applyBorder="1" applyAlignment="1">
      <alignment/>
    </xf>
    <xf numFmtId="178" fontId="0" fillId="33" borderId="20" xfId="45" applyNumberFormat="1" applyFont="1" applyFill="1" applyBorder="1" applyAlignment="1">
      <alignment/>
    </xf>
    <xf numFmtId="178" fontId="0" fillId="33" borderId="59" xfId="45" applyNumberFormat="1" applyFont="1" applyFill="1" applyBorder="1" applyAlignment="1">
      <alignment/>
    </xf>
    <xf numFmtId="164" fontId="0" fillId="33" borderId="16" xfId="45" applyNumberFormat="1" applyFill="1" applyBorder="1" applyAlignment="1">
      <alignment/>
    </xf>
    <xf numFmtId="164" fontId="0" fillId="33" borderId="20" xfId="45" applyNumberFormat="1" applyFill="1" applyBorder="1" applyAlignment="1">
      <alignment/>
    </xf>
    <xf numFmtId="164" fontId="4" fillId="33" borderId="16" xfId="0" applyNumberFormat="1" applyFont="1" applyFill="1" applyBorder="1" applyAlignment="1">
      <alignment/>
    </xf>
    <xf numFmtId="164" fontId="0" fillId="33" borderId="59" xfId="45" applyNumberFormat="1" applyFill="1" applyBorder="1" applyAlignment="1">
      <alignment/>
    </xf>
    <xf numFmtId="164" fontId="0" fillId="33" borderId="0" xfId="45" applyNumberFormat="1" applyFont="1" applyFill="1" applyBorder="1" applyAlignment="1">
      <alignment horizontal="right"/>
    </xf>
    <xf numFmtId="164" fontId="0" fillId="33" borderId="9" xfId="45" applyNumberFormat="1" applyFont="1" applyFill="1" applyBorder="1" applyAlignment="1">
      <alignment horizontal="right"/>
    </xf>
    <xf numFmtId="164" fontId="0" fillId="33" borderId="0" xfId="45" applyNumberFormat="1" applyFill="1" applyBorder="1" applyAlignment="1">
      <alignment/>
    </xf>
    <xf numFmtId="164" fontId="4" fillId="33" borderId="0" xfId="42" applyNumberFormat="1" applyFont="1" applyFill="1" applyBorder="1" applyAlignment="1">
      <alignment/>
    </xf>
    <xf numFmtId="169" fontId="12" fillId="35" borderId="26" xfId="0" applyNumberFormat="1" applyFont="1" applyFill="1" applyBorder="1" applyAlignment="1">
      <alignment/>
    </xf>
    <xf numFmtId="169" fontId="12" fillId="35" borderId="48" xfId="0" applyNumberFormat="1" applyFont="1" applyFill="1" applyBorder="1" applyAlignment="1">
      <alignment/>
    </xf>
    <xf numFmtId="169" fontId="0" fillId="0" borderId="41" xfId="0" applyNumberFormat="1" applyFill="1" applyBorder="1" applyAlignment="1">
      <alignment vertical="center"/>
    </xf>
    <xf numFmtId="169" fontId="0" fillId="0" borderId="34" xfId="0" applyNumberFormat="1" applyBorder="1" applyAlignment="1">
      <alignment vertical="center"/>
    </xf>
    <xf numFmtId="169" fontId="0" fillId="33" borderId="41" xfId="47" applyNumberFormat="1" applyFill="1" applyBorder="1" applyAlignment="1">
      <alignment/>
    </xf>
    <xf numFmtId="169" fontId="4" fillId="33" borderId="34" xfId="47" applyNumberFormat="1" applyFont="1" applyFill="1" applyBorder="1" applyAlignment="1">
      <alignment/>
    </xf>
    <xf numFmtId="169" fontId="0" fillId="0" borderId="46" xfId="0" applyNumberFormat="1" applyBorder="1" applyAlignment="1">
      <alignment vertical="center"/>
    </xf>
    <xf numFmtId="169" fontId="0" fillId="33" borderId="41" xfId="47" applyNumberFormat="1" applyFill="1" applyBorder="1" applyAlignment="1">
      <alignment horizontal="right" vertical="center"/>
    </xf>
    <xf numFmtId="169" fontId="0" fillId="0" borderId="34" xfId="0" applyNumberFormat="1" applyBorder="1" applyAlignment="1">
      <alignment horizontal="right" vertical="center"/>
    </xf>
    <xf numFmtId="169" fontId="0" fillId="0" borderId="46" xfId="0" applyNumberFormat="1" applyBorder="1" applyAlignment="1">
      <alignment horizontal="right" vertical="center"/>
    </xf>
    <xf numFmtId="169" fontId="0" fillId="33" borderId="41" xfId="47" applyNumberFormat="1" applyFill="1" applyBorder="1" applyAlignment="1">
      <alignment vertical="center"/>
    </xf>
    <xf numFmtId="169" fontId="0" fillId="33" borderId="46" xfId="47" applyNumberFormat="1" applyFill="1" applyBorder="1" applyAlignment="1">
      <alignment vertical="center"/>
    </xf>
    <xf numFmtId="183" fontId="4" fillId="33" borderId="34" xfId="0" applyNumberFormat="1" applyFont="1" applyFill="1" applyBorder="1" applyAlignment="1">
      <alignment vertical="center"/>
    </xf>
    <xf numFmtId="183" fontId="0" fillId="0" borderId="41" xfId="0" applyNumberFormat="1" applyFill="1" applyBorder="1" applyAlignment="1">
      <alignment vertical="center"/>
    </xf>
    <xf numFmtId="183" fontId="0" fillId="0" borderId="34" xfId="0" applyNumberFormat="1" applyBorder="1" applyAlignment="1">
      <alignment vertical="center"/>
    </xf>
    <xf numFmtId="183" fontId="0" fillId="33" borderId="41" xfId="47" applyNumberFormat="1" applyFill="1" applyBorder="1" applyAlignment="1">
      <alignment/>
    </xf>
    <xf numFmtId="183" fontId="0" fillId="33" borderId="46" xfId="47" applyNumberFormat="1" applyFill="1" applyBorder="1" applyAlignment="1">
      <alignment/>
    </xf>
    <xf numFmtId="183" fontId="4" fillId="33" borderId="34" xfId="47" applyNumberFormat="1" applyFont="1" applyFill="1" applyBorder="1" applyAlignment="1">
      <alignment/>
    </xf>
    <xf numFmtId="183" fontId="4" fillId="33" borderId="34" xfId="47" applyNumberFormat="1" applyFont="1" applyFill="1" applyBorder="1" applyAlignment="1">
      <alignment vertical="center"/>
    </xf>
    <xf numFmtId="183" fontId="0" fillId="33" borderId="41" xfId="47" applyNumberFormat="1" applyFill="1" applyBorder="1" applyAlignment="1">
      <alignment vertical="center"/>
    </xf>
    <xf numFmtId="0" fontId="0" fillId="33" borderId="46" xfId="0" applyFill="1" applyBorder="1" applyAlignment="1">
      <alignment vertical="center"/>
    </xf>
    <xf numFmtId="183" fontId="0" fillId="33" borderId="46" xfId="47" applyNumberFormat="1" applyFill="1" applyBorder="1" applyAlignment="1">
      <alignment vertical="center"/>
    </xf>
    <xf numFmtId="10" fontId="4"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3" fillId="33" borderId="14" xfId="0" applyFont="1" applyFill="1" applyBorder="1" applyAlignment="1">
      <alignment horizontal="right"/>
    </xf>
    <xf numFmtId="0" fontId="6" fillId="33" borderId="0" xfId="0" applyFont="1" applyFill="1" applyBorder="1" applyAlignment="1">
      <alignment horizontal="left"/>
    </xf>
    <xf numFmtId="0" fontId="6" fillId="33" borderId="0" xfId="0" applyFont="1" applyFill="1" applyBorder="1" applyAlignment="1">
      <alignment/>
    </xf>
    <xf numFmtId="15" fontId="6" fillId="33" borderId="18" xfId="0" applyNumberFormat="1" applyFont="1" applyFill="1" applyBorder="1" applyAlignment="1">
      <alignment horizontal="left"/>
    </xf>
    <xf numFmtId="0" fontId="6" fillId="33" borderId="18" xfId="0" applyFont="1" applyFill="1" applyBorder="1" applyAlignment="1">
      <alignment horizontal="left"/>
    </xf>
    <xf numFmtId="0" fontId="6" fillId="33" borderId="16" xfId="0" applyFont="1" applyFill="1" applyBorder="1" applyAlignment="1">
      <alignment/>
    </xf>
    <xf numFmtId="0" fontId="6" fillId="33" borderId="19" xfId="0" applyFont="1" applyFill="1" applyBorder="1" applyAlignment="1">
      <alignment/>
    </xf>
    <xf numFmtId="0" fontId="54" fillId="33" borderId="0" xfId="57" applyNumberFormat="1" applyFont="1" applyFill="1" applyBorder="1" applyAlignment="1" applyProtection="1">
      <alignment horizontal="left"/>
      <protection/>
    </xf>
    <xf numFmtId="0" fontId="6" fillId="33" borderId="19" xfId="0" applyFont="1" applyFill="1" applyBorder="1" applyAlignment="1">
      <alignment horizontal="left"/>
    </xf>
    <xf numFmtId="0" fontId="6" fillId="33" borderId="0" xfId="0" applyFont="1" applyFill="1" applyBorder="1" applyAlignment="1">
      <alignment horizontal="right"/>
    </xf>
    <xf numFmtId="0" fontId="6"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4" fillId="33" borderId="0" xfId="0" applyFont="1" applyFill="1" applyAlignment="1" applyProtection="1">
      <alignment/>
      <protection locked="0"/>
    </xf>
    <xf numFmtId="0" fontId="3" fillId="33" borderId="0" xfId="0" applyFont="1" applyFill="1" applyAlignment="1" applyProtection="1">
      <alignment horizontal="right"/>
      <protection locked="0"/>
    </xf>
    <xf numFmtId="181" fontId="3" fillId="33" borderId="0" xfId="0" applyNumberFormat="1" applyFont="1" applyFill="1" applyAlignment="1" applyProtection="1">
      <alignment horizontal="left"/>
      <protection locked="0"/>
    </xf>
    <xf numFmtId="181" fontId="43" fillId="33" borderId="0" xfId="0" applyNumberFormat="1" applyFont="1" applyFill="1" applyAlignment="1" applyProtection="1">
      <alignment horizontal="right"/>
      <protection/>
    </xf>
    <xf numFmtId="176"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0" fontId="6" fillId="39" borderId="0" xfId="0" applyFont="1" applyFill="1" applyAlignment="1">
      <alignment/>
    </xf>
    <xf numFmtId="169" fontId="0" fillId="33" borderId="0" xfId="45" applyNumberFormat="1" applyFont="1" applyFill="1" applyBorder="1" applyAlignment="1">
      <alignment/>
    </xf>
    <xf numFmtId="169" fontId="0" fillId="33" borderId="0" xfId="45" applyNumberFormat="1" applyFont="1" applyFill="1" applyBorder="1" applyAlignment="1">
      <alignment horizontal="center"/>
    </xf>
    <xf numFmtId="0" fontId="0" fillId="39" borderId="0" xfId="0" applyFill="1" applyAlignment="1">
      <alignment/>
    </xf>
    <xf numFmtId="0" fontId="0" fillId="39" borderId="9" xfId="0" applyFont="1" applyFill="1" applyBorder="1" applyAlignment="1">
      <alignment/>
    </xf>
    <xf numFmtId="184" fontId="0" fillId="33" borderId="0" xfId="45" applyNumberFormat="1" applyFont="1" applyFill="1" applyAlignment="1">
      <alignment/>
    </xf>
    <xf numFmtId="184" fontId="0" fillId="33" borderId="60" xfId="45" applyNumberFormat="1" applyFont="1" applyFill="1" applyBorder="1" applyAlignment="1">
      <alignment/>
    </xf>
    <xf numFmtId="173" fontId="0" fillId="33" borderId="0" xfId="42" applyNumberFormat="1" applyFont="1" applyFill="1" applyAlignment="1">
      <alignment/>
    </xf>
    <xf numFmtId="173" fontId="0" fillId="33" borderId="60" xfId="42" applyNumberFormat="1" applyFont="1" applyFill="1" applyBorder="1" applyAlignment="1">
      <alignment/>
    </xf>
    <xf numFmtId="176" fontId="0" fillId="33" borderId="0" xfId="63" applyNumberFormat="1" applyFont="1" applyFill="1" applyAlignment="1">
      <alignment/>
    </xf>
    <xf numFmtId="176" fontId="0" fillId="33" borderId="60" xfId="0" applyNumberFormat="1" applyFill="1" applyBorder="1" applyAlignment="1">
      <alignment/>
    </xf>
    <xf numFmtId="0" fontId="4" fillId="33" borderId="23" xfId="0" applyFont="1" applyFill="1" applyBorder="1" applyAlignment="1">
      <alignment horizontal="center" vertical="center" wrapText="1"/>
    </xf>
    <xf numFmtId="176" fontId="0" fillId="33" borderId="60" xfId="63" applyNumberFormat="1" applyFont="1" applyFill="1" applyBorder="1" applyAlignment="1">
      <alignment/>
    </xf>
    <xf numFmtId="178" fontId="0" fillId="33" borderId="0" xfId="0" applyNumberFormat="1" applyFill="1" applyAlignment="1">
      <alignment/>
    </xf>
    <xf numFmtId="178" fontId="0" fillId="33" borderId="60" xfId="0" applyNumberFormat="1" applyFill="1" applyBorder="1" applyAlignment="1">
      <alignment/>
    </xf>
    <xf numFmtId="173" fontId="0" fillId="33" borderId="0" xfId="0" applyNumberFormat="1" applyFont="1" applyFill="1" applyAlignment="1">
      <alignment horizontal="center" wrapText="1"/>
    </xf>
    <xf numFmtId="0" fontId="4" fillId="39" borderId="0" xfId="0" applyFont="1" applyFill="1" applyAlignment="1">
      <alignment/>
    </xf>
    <xf numFmtId="0" fontId="4" fillId="39" borderId="0" xfId="0" applyFont="1" applyFill="1" applyAlignment="1" quotePrefix="1">
      <alignment horizontal="center"/>
    </xf>
    <xf numFmtId="0" fontId="39" fillId="39" borderId="0" xfId="0" applyFont="1" applyFill="1" applyAlignment="1">
      <alignment/>
    </xf>
    <xf numFmtId="0" fontId="4" fillId="39" borderId="0" xfId="0" applyFont="1" applyFill="1" applyBorder="1" applyAlignment="1">
      <alignment/>
    </xf>
    <xf numFmtId="0" fontId="0" fillId="39" borderId="0" xfId="0" applyFill="1" applyBorder="1" applyAlignment="1">
      <alignment/>
    </xf>
    <xf numFmtId="44" fontId="0" fillId="0" borderId="0" xfId="45" applyFont="1" applyAlignment="1">
      <alignment/>
    </xf>
    <xf numFmtId="177" fontId="0" fillId="0" borderId="0" xfId="45" applyNumberFormat="1" applyFont="1" applyAlignment="1">
      <alignment/>
    </xf>
    <xf numFmtId="184" fontId="0" fillId="0" borderId="0" xfId="45" applyNumberFormat="1" applyFont="1" applyAlignment="1">
      <alignment/>
    </xf>
    <xf numFmtId="184" fontId="0" fillId="0" borderId="10" xfId="0" applyNumberFormat="1" applyBorder="1" applyAlignment="1">
      <alignment/>
    </xf>
    <xf numFmtId="177" fontId="4" fillId="0" borderId="60" xfId="45" applyNumberFormat="1" applyFont="1" applyBorder="1" applyAlignment="1">
      <alignment/>
    </xf>
    <xf numFmtId="44" fontId="4" fillId="0" borderId="60" xfId="45" applyFont="1" applyBorder="1" applyAlignment="1">
      <alignment/>
    </xf>
    <xf numFmtId="0" fontId="17" fillId="33" borderId="0" xfId="0" applyFont="1" applyFill="1" applyAlignment="1" applyProtection="1">
      <alignment horizontal="center" vertical="center"/>
      <protection locked="0"/>
    </xf>
    <xf numFmtId="0" fontId="22" fillId="35" borderId="9" xfId="0" applyFont="1" applyFill="1" applyBorder="1" applyAlignment="1" applyProtection="1">
      <alignment horizontal="left" vertical="center"/>
      <protection locked="0"/>
    </xf>
    <xf numFmtId="49" fontId="22" fillId="35" borderId="9" xfId="0" applyNumberFormat="1" applyFont="1" applyFill="1" applyBorder="1" applyAlignment="1" applyProtection="1">
      <alignment horizontal="left" vertical="center"/>
      <protection locked="0"/>
    </xf>
    <xf numFmtId="15" fontId="23" fillId="33" borderId="0" xfId="57"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23" fillId="35" borderId="9" xfId="57" applyFont="1" applyFill="1" applyBorder="1" applyAlignment="1" applyProtection="1">
      <alignment horizontal="left" vertical="center"/>
      <protection locked="0"/>
    </xf>
    <xf numFmtId="0" fontId="48" fillId="33" borderId="0" xfId="0" applyFont="1" applyFill="1" applyAlignment="1">
      <alignment horizontal="left" vertical="center" wrapText="1"/>
    </xf>
    <xf numFmtId="0" fontId="3" fillId="33" borderId="15" xfId="0" applyFont="1" applyFill="1" applyBorder="1" applyAlignment="1" applyProtection="1">
      <alignment horizontal="left"/>
      <protection locked="0"/>
    </xf>
    <xf numFmtId="0" fontId="3" fillId="33" borderId="0" xfId="0" applyFont="1" applyFill="1" applyBorder="1" applyAlignment="1" applyProtection="1">
      <alignment horizontal="left"/>
      <protection locked="0"/>
    </xf>
    <xf numFmtId="0" fontId="3" fillId="33" borderId="0" xfId="0" applyFont="1" applyFill="1" applyBorder="1" applyAlignment="1">
      <alignment horizontal="left"/>
    </xf>
    <xf numFmtId="0" fontId="3" fillId="33" borderId="12" xfId="0" applyFont="1" applyFill="1" applyBorder="1" applyAlignment="1" applyProtection="1">
      <alignment horizontal="left"/>
      <protection locked="0"/>
    </xf>
    <xf numFmtId="0" fontId="3" fillId="33" borderId="13" xfId="0" applyFont="1" applyFill="1" applyBorder="1" applyAlignment="1" applyProtection="1">
      <alignment horizontal="left"/>
      <protection locked="0"/>
    </xf>
    <xf numFmtId="0" fontId="3" fillId="33" borderId="15" xfId="0" applyFont="1" applyFill="1" applyBorder="1" applyAlignment="1">
      <alignment horizontal="left"/>
    </xf>
    <xf numFmtId="0" fontId="53"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1" xfId="0" applyFont="1" applyFill="1" applyBorder="1" applyAlignment="1">
      <alignment horizontal="right"/>
    </xf>
    <xf numFmtId="0" fontId="9" fillId="33" borderId="9" xfId="0" applyFont="1" applyFill="1" applyBorder="1" applyAlignment="1">
      <alignment horizontal="left"/>
    </xf>
    <xf numFmtId="0" fontId="3" fillId="33" borderId="17" xfId="0" applyFont="1" applyFill="1" applyBorder="1" applyAlignment="1">
      <alignment horizontal="left"/>
    </xf>
    <xf numFmtId="0" fontId="3" fillId="33" borderId="18" xfId="0" applyFont="1" applyFill="1" applyBorder="1" applyAlignment="1">
      <alignment horizontal="left"/>
    </xf>
    <xf numFmtId="0" fontId="18" fillId="33" borderId="0" xfId="0" applyFont="1" applyFill="1" applyBorder="1" applyAlignment="1">
      <alignment horizontal="right"/>
    </xf>
    <xf numFmtId="0" fontId="18" fillId="33" borderId="61" xfId="0" applyFont="1" applyFill="1" applyBorder="1" applyAlignment="1">
      <alignment horizontal="right"/>
    </xf>
    <xf numFmtId="0" fontId="3" fillId="33" borderId="0" xfId="0" applyFont="1" applyFill="1" applyBorder="1" applyAlignment="1">
      <alignment horizontal="right"/>
    </xf>
    <xf numFmtId="0" fontId="3" fillId="33" borderId="16" xfId="0" applyFont="1" applyFill="1" applyBorder="1" applyAlignment="1">
      <alignment horizontal="right"/>
    </xf>
    <xf numFmtId="0" fontId="12" fillId="33" borderId="8" xfId="0" applyFont="1" applyFill="1" applyBorder="1" applyAlignment="1">
      <alignment horizontal="left" vertical="center" wrapText="1"/>
    </xf>
    <xf numFmtId="0" fontId="12" fillId="33" borderId="9" xfId="0" applyFont="1" applyFill="1" applyBorder="1" applyAlignment="1">
      <alignment horizontal="left" vertical="center" wrapText="1"/>
    </xf>
    <xf numFmtId="0" fontId="9" fillId="33" borderId="53" xfId="0" applyFont="1" applyFill="1" applyBorder="1" applyAlignment="1">
      <alignment horizontal="left"/>
    </xf>
    <xf numFmtId="0" fontId="28" fillId="39" borderId="0" xfId="0" applyFont="1" applyFill="1" applyAlignment="1">
      <alignment horizontal="center"/>
    </xf>
    <xf numFmtId="0" fontId="9" fillId="33" borderId="53" xfId="0" applyFont="1" applyFill="1" applyBorder="1" applyAlignment="1">
      <alignment horizontal="left" wrapText="1"/>
    </xf>
    <xf numFmtId="0" fontId="9" fillId="33" borderId="9" xfId="0" applyFont="1" applyFill="1" applyBorder="1" applyAlignment="1">
      <alignment horizontal="left" wrapText="1"/>
    </xf>
    <xf numFmtId="0" fontId="43" fillId="33" borderId="0" xfId="0" applyFont="1" applyFill="1" applyAlignment="1">
      <alignment horizontal="left" vertical="center" wrapText="1"/>
    </xf>
    <xf numFmtId="0" fontId="3" fillId="33" borderId="16"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3" fillId="33" borderId="15" xfId="0" applyFont="1" applyFill="1" applyBorder="1" applyAlignment="1" applyProtection="1">
      <alignment/>
      <protection locked="0"/>
    </xf>
    <xf numFmtId="0" fontId="0" fillId="0" borderId="0" xfId="0" applyAlignment="1">
      <alignment/>
    </xf>
    <xf numFmtId="0" fontId="3"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0" fillId="33" borderId="0" xfId="0" applyFont="1" applyFill="1" applyAlignment="1">
      <alignment horizontal="left" vertical="center" wrapText="1"/>
    </xf>
    <xf numFmtId="0" fontId="3"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0" fillId="33" borderId="0" xfId="0" applyFont="1" applyFill="1" applyBorder="1" applyAlignment="1">
      <alignment/>
    </xf>
    <xf numFmtId="0" fontId="0" fillId="0" borderId="0" xfId="0" applyBorder="1" applyAlignment="1">
      <alignment/>
    </xf>
    <xf numFmtId="0" fontId="3" fillId="33" borderId="15" xfId="0" applyFont="1" applyFill="1" applyBorder="1" applyAlignment="1">
      <alignment/>
    </xf>
    <xf numFmtId="0" fontId="3" fillId="33" borderId="0" xfId="0" applyFont="1" applyFill="1" applyAlignment="1">
      <alignment horizontal="center"/>
    </xf>
    <xf numFmtId="0" fontId="26" fillId="33" borderId="0" xfId="0" applyFont="1" applyFill="1" applyAlignment="1">
      <alignment horizontal="center"/>
    </xf>
    <xf numFmtId="0" fontId="27" fillId="33" borderId="0" xfId="0" applyFont="1" applyFill="1" applyAlignment="1">
      <alignment horizontal="center"/>
    </xf>
    <xf numFmtId="0" fontId="25" fillId="33" borderId="0" xfId="0" applyFont="1" applyFill="1" applyAlignment="1">
      <alignment horizontal="left" vertical="center" wrapText="1"/>
    </xf>
    <xf numFmtId="0" fontId="6" fillId="0" borderId="18" xfId="0" applyFont="1" applyBorder="1" applyAlignment="1">
      <alignment/>
    </xf>
    <xf numFmtId="0" fontId="6" fillId="0" borderId="0" xfId="0" applyFont="1" applyBorder="1" applyAlignment="1">
      <alignment/>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62" xfId="0" applyFill="1" applyBorder="1" applyAlignment="1">
      <alignment horizontal="center"/>
    </xf>
    <xf numFmtId="0" fontId="0" fillId="33" borderId="61" xfId="0" applyFill="1" applyBorder="1" applyAlignment="1">
      <alignment horizontal="center"/>
    </xf>
    <xf numFmtId="0" fontId="43" fillId="33" borderId="13" xfId="0" applyFont="1" applyFill="1" applyBorder="1" applyAlignment="1">
      <alignment horizontal="right"/>
    </xf>
    <xf numFmtId="0" fontId="43" fillId="33" borderId="14" xfId="0" applyFont="1" applyFill="1" applyBorder="1" applyAlignment="1">
      <alignment horizontal="right"/>
    </xf>
    <xf numFmtId="0" fontId="41" fillId="33" borderId="0" xfId="0" applyFont="1" applyFill="1" applyAlignment="1">
      <alignment horizontal="left"/>
    </xf>
    <xf numFmtId="0" fontId="3" fillId="37" borderId="0" xfId="0" applyFont="1" applyFill="1" applyBorder="1" applyAlignment="1">
      <alignment horizontal="center"/>
    </xf>
    <xf numFmtId="44" fontId="0" fillId="33" borderId="12" xfId="47" applyFill="1" applyBorder="1" applyAlignment="1">
      <alignment horizontal="center"/>
    </xf>
    <xf numFmtId="44" fontId="0" fillId="33" borderId="14" xfId="47" applyFill="1" applyBorder="1" applyAlignment="1">
      <alignment horizontal="center"/>
    </xf>
    <xf numFmtId="44" fontId="0" fillId="33" borderId="17" xfId="47" applyFill="1" applyBorder="1" applyAlignment="1">
      <alignment horizontal="center"/>
    </xf>
    <xf numFmtId="44" fontId="0" fillId="33" borderId="19" xfId="47" applyFill="1" applyBorder="1" applyAlignment="1">
      <alignment horizontal="center"/>
    </xf>
    <xf numFmtId="44" fontId="0" fillId="33" borderId="15" xfId="47" applyFill="1" applyBorder="1" applyAlignment="1">
      <alignment horizontal="center"/>
    </xf>
    <xf numFmtId="44" fontId="0" fillId="33" borderId="16" xfId="47" applyFill="1" applyBorder="1" applyAlignment="1">
      <alignment horizontal="center"/>
    </xf>
    <xf numFmtId="0" fontId="4" fillId="33" borderId="63"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65" xfId="0" applyFont="1" applyFill="1" applyBorder="1" applyAlignment="1">
      <alignment horizontal="center" vertical="center" wrapText="1"/>
    </xf>
    <xf numFmtId="0" fontId="4" fillId="33" borderId="58" xfId="0" applyFont="1" applyFill="1" applyBorder="1" applyAlignment="1">
      <alignment horizontal="center" vertical="center" wrapText="1"/>
    </xf>
    <xf numFmtId="2" fontId="4" fillId="33" borderId="66" xfId="0" applyNumberFormat="1" applyFont="1" applyFill="1" applyBorder="1" applyAlignment="1">
      <alignment horizontal="center" vertical="center" wrapText="1"/>
    </xf>
    <xf numFmtId="2" fontId="4" fillId="33" borderId="67" xfId="0" applyNumberFormat="1" applyFont="1" applyFill="1" applyBorder="1" applyAlignment="1">
      <alignment horizontal="center" vertical="center" wrapText="1"/>
    </xf>
    <xf numFmtId="0" fontId="4" fillId="33" borderId="68" xfId="0" applyFont="1" applyFill="1" applyBorder="1" applyAlignment="1">
      <alignment horizontal="center" vertical="center"/>
    </xf>
    <xf numFmtId="0" fontId="4" fillId="33" borderId="69" xfId="0" applyFont="1" applyFill="1" applyBorder="1" applyAlignment="1">
      <alignment horizontal="center" vertical="center" wrapText="1"/>
    </xf>
    <xf numFmtId="0" fontId="5" fillId="38" borderId="1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4" xfId="0" applyFont="1" applyFill="1" applyBorder="1" applyAlignment="1">
      <alignment horizontal="center" vertical="center"/>
    </xf>
    <xf numFmtId="0" fontId="5" fillId="38" borderId="15" xfId="0" applyFont="1" applyFill="1" applyBorder="1" applyAlignment="1">
      <alignment horizontal="center" vertical="center"/>
    </xf>
    <xf numFmtId="0" fontId="5" fillId="38" borderId="0" xfId="0" applyFont="1" applyFill="1" applyBorder="1" applyAlignment="1">
      <alignment horizontal="center" vertical="center"/>
    </xf>
    <xf numFmtId="0" fontId="5" fillId="38" borderId="16" xfId="0" applyFont="1" applyFill="1" applyBorder="1" applyAlignment="1">
      <alignment horizontal="center" vertical="center"/>
    </xf>
    <xf numFmtId="0" fontId="0" fillId="33" borderId="36" xfId="0" applyFont="1" applyFill="1" applyBorder="1" applyAlignment="1">
      <alignment horizontal="center" wrapText="1"/>
    </xf>
    <xf numFmtId="0" fontId="0" fillId="33" borderId="70" xfId="0" applyFont="1" applyFill="1" applyBorder="1" applyAlignment="1">
      <alignment horizontal="center" wrapText="1"/>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4" fillId="33" borderId="25" xfId="0" applyFont="1" applyFill="1" applyBorder="1" applyAlignment="1">
      <alignment horizontal="center" vertical="center" wrapText="1"/>
    </xf>
    <xf numFmtId="0" fontId="4" fillId="33" borderId="48" xfId="0" applyFont="1" applyFill="1" applyBorder="1" applyAlignment="1">
      <alignment horizontal="center" vertical="center" wrapText="1"/>
    </xf>
    <xf numFmtId="10" fontId="4" fillId="33" borderId="25" xfId="0" applyNumberFormat="1" applyFont="1" applyFill="1" applyBorder="1" applyAlignment="1">
      <alignment horizontal="center" vertical="center" wrapText="1"/>
    </xf>
    <xf numFmtId="10" fontId="4" fillId="33" borderId="48" xfId="0" applyNumberFormat="1" applyFont="1" applyFill="1" applyBorder="1" applyAlignment="1">
      <alignment horizontal="center" vertical="center" wrapText="1"/>
    </xf>
    <xf numFmtId="0" fontId="4" fillId="34" borderId="23" xfId="0" applyFont="1" applyFill="1" applyBorder="1" applyAlignment="1">
      <alignment horizontal="left"/>
    </xf>
    <xf numFmtId="0" fontId="0" fillId="33" borderId="54" xfId="0" applyFont="1" applyFill="1" applyBorder="1" applyAlignment="1">
      <alignment horizontal="center" wrapText="1"/>
    </xf>
    <xf numFmtId="0" fontId="0" fillId="33" borderId="55" xfId="0" applyFont="1" applyFill="1" applyBorder="1" applyAlignment="1">
      <alignment horizontal="center" wrapText="1"/>
    </xf>
    <xf numFmtId="0" fontId="0" fillId="33" borderId="10"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32" xfId="0" applyFont="1" applyFill="1" applyBorder="1" applyAlignment="1">
      <alignment horizontal="center" wrapText="1"/>
    </xf>
    <xf numFmtId="0" fontId="42" fillId="33" borderId="0" xfId="0" applyFont="1" applyFill="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dxfs count="2">
    <dxf>
      <font>
        <b/>
        <i val="0"/>
        <color indexed="12"/>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zoomScalePageLayoutView="0" workbookViewId="0" topLeftCell="A1">
      <pane xSplit="12" ySplit="28" topLeftCell="M38" activePane="bottomRight" state="frozen"/>
      <selection pane="topLeft" activeCell="A1" sqref="A1"/>
      <selection pane="topRight" activeCell="M1" sqref="M1"/>
      <selection pane="bottomLeft" activeCell="A29" sqref="A29"/>
      <selection pane="bottomRight" activeCell="H6" sqref="H6"/>
    </sheetView>
  </sheetViews>
  <sheetFormatPr defaultColWidth="9.140625" defaultRowHeight="12.75"/>
  <cols>
    <col min="1" max="1" width="20.57421875" style="466" bestFit="1" customWidth="1"/>
    <col min="2" max="3" width="15.7109375" style="466" customWidth="1"/>
    <col min="4" max="16384" width="9.140625" style="466" customWidth="1"/>
  </cols>
  <sheetData>
    <row r="1" spans="1:7" ht="27.75">
      <c r="A1" s="508" t="s">
        <v>186</v>
      </c>
      <c r="B1" s="508"/>
      <c r="C1" s="508"/>
      <c r="D1" s="508"/>
      <c r="E1" s="508"/>
      <c r="F1" s="508"/>
      <c r="G1" s="508"/>
    </row>
    <row r="2" spans="1:6" ht="27.75">
      <c r="A2" s="467"/>
      <c r="B2" s="467"/>
      <c r="C2" s="467"/>
      <c r="D2" s="467"/>
      <c r="E2" s="467"/>
      <c r="F2" s="467"/>
    </row>
    <row r="4" spans="1:5" ht="15.75" customHeight="1">
      <c r="A4" s="33" t="s">
        <v>60</v>
      </c>
      <c r="B4" s="509" t="s">
        <v>204</v>
      </c>
      <c r="C4" s="509"/>
      <c r="D4" s="509"/>
      <c r="E4" s="509"/>
    </row>
    <row r="5" spans="1:5" ht="15.75" customHeight="1">
      <c r="A5" s="469"/>
      <c r="B5" s="470"/>
      <c r="C5" s="470"/>
      <c r="D5" s="470"/>
      <c r="E5" s="470"/>
    </row>
    <row r="6" spans="1:5" ht="15.75" customHeight="1">
      <c r="A6" s="33" t="s">
        <v>63</v>
      </c>
      <c r="B6" s="509" t="s">
        <v>205</v>
      </c>
      <c r="C6" s="509"/>
      <c r="D6" s="509"/>
      <c r="E6" s="509"/>
    </row>
    <row r="7" spans="1:5" ht="15.75" customHeight="1">
      <c r="A7" s="33"/>
      <c r="B7" s="471"/>
      <c r="C7" s="471"/>
      <c r="D7" s="471"/>
      <c r="E7" s="471"/>
    </row>
    <row r="8" spans="1:5" ht="15.75" customHeight="1">
      <c r="A8" s="33" t="s">
        <v>198</v>
      </c>
      <c r="B8" s="509" t="s">
        <v>206</v>
      </c>
      <c r="C8" s="509"/>
      <c r="D8" s="509"/>
      <c r="E8" s="509"/>
    </row>
    <row r="9" spans="1:5" ht="15.75" customHeight="1">
      <c r="A9" s="33"/>
      <c r="B9" s="471"/>
      <c r="C9" s="471"/>
      <c r="D9" s="471"/>
      <c r="E9" s="471"/>
    </row>
    <row r="10" spans="1:5" ht="15.75" customHeight="1">
      <c r="A10" s="33"/>
      <c r="B10" s="509" t="s">
        <v>207</v>
      </c>
      <c r="C10" s="509"/>
      <c r="D10" s="509"/>
      <c r="E10" s="509"/>
    </row>
    <row r="11" spans="1:6" ht="15.75" customHeight="1">
      <c r="A11" s="469"/>
      <c r="B11" s="471"/>
      <c r="C11" s="471"/>
      <c r="D11" s="472"/>
      <c r="E11" s="472"/>
      <c r="F11" s="473"/>
    </row>
    <row r="12" spans="1:6" ht="15.75" customHeight="1">
      <c r="A12" s="33" t="s">
        <v>61</v>
      </c>
      <c r="B12" s="509" t="s">
        <v>208</v>
      </c>
      <c r="C12" s="509"/>
      <c r="D12" s="509"/>
      <c r="E12" s="509"/>
      <c r="F12" s="473"/>
    </row>
    <row r="13" spans="1:6" ht="15.75" customHeight="1">
      <c r="A13" s="469"/>
      <c r="B13" s="511"/>
      <c r="C13" s="511"/>
      <c r="D13" s="472"/>
      <c r="E13" s="472"/>
      <c r="F13" s="473"/>
    </row>
    <row r="14" spans="1:6" ht="15.75" customHeight="1">
      <c r="A14" s="33" t="s">
        <v>62</v>
      </c>
      <c r="B14" s="513" t="s">
        <v>209</v>
      </c>
      <c r="C14" s="509"/>
      <c r="D14" s="509"/>
      <c r="E14" s="509"/>
      <c r="F14" s="473"/>
    </row>
    <row r="15" spans="1:6" ht="15.75" customHeight="1">
      <c r="A15" s="469"/>
      <c r="B15" s="471"/>
      <c r="C15" s="472"/>
      <c r="D15" s="472"/>
      <c r="E15" s="472"/>
      <c r="F15" s="473"/>
    </row>
    <row r="16" spans="1:6" ht="15.75" customHeight="1">
      <c r="A16" s="33" t="s">
        <v>64</v>
      </c>
      <c r="B16" s="468"/>
      <c r="C16" s="474" t="s">
        <v>210</v>
      </c>
      <c r="D16" s="512"/>
      <c r="E16" s="512"/>
      <c r="F16" s="473"/>
    </row>
    <row r="17" spans="1:6" ht="15.75" customHeight="1">
      <c r="A17" s="469"/>
      <c r="B17" s="472"/>
      <c r="C17" s="472"/>
      <c r="D17" s="472"/>
      <c r="E17" s="472"/>
      <c r="F17" s="473"/>
    </row>
    <row r="18" spans="1:5" ht="15.75" customHeight="1">
      <c r="A18" s="33" t="s">
        <v>65</v>
      </c>
      <c r="B18" s="510" t="s">
        <v>255</v>
      </c>
      <c r="C18" s="510"/>
      <c r="D18" s="510"/>
      <c r="E18" s="510"/>
    </row>
    <row r="19" spans="2:5" ht="12.75">
      <c r="B19" s="475"/>
      <c r="C19" s="475"/>
      <c r="D19" s="475"/>
      <c r="E19" s="475"/>
    </row>
    <row r="20" spans="3:5" ht="12.75">
      <c r="C20" s="475"/>
      <c r="D20" s="475"/>
      <c r="E20" s="475"/>
    </row>
    <row r="21" spans="1:5" ht="15.75">
      <c r="A21" s="476" t="s">
        <v>152</v>
      </c>
      <c r="B21" s="478" t="s">
        <v>202</v>
      </c>
      <c r="C21" s="477"/>
      <c r="D21" s="477"/>
      <c r="E21" s="477"/>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222"/>
  <sheetViews>
    <sheetView zoomScalePageLayoutView="0" workbookViewId="0" topLeftCell="A1">
      <selection activeCell="D22" sqref="D22"/>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171</v>
      </c>
    </row>
    <row r="2" ht="13.5" thickBot="1"/>
    <row r="3" spans="1:5" ht="15.75">
      <c r="A3" s="518" t="str">
        <f>"Name of Utility:      "&amp;'Info Sheet'!B4</f>
        <v>Name of Utility:      Chatham-Kent Hydro</v>
      </c>
      <c r="B3" s="519"/>
      <c r="C3" s="519"/>
      <c r="D3" s="455" t="str">
        <f>'Info Sheet'!$B$21</f>
        <v>2005.V1.1</v>
      </c>
      <c r="E3" s="36"/>
    </row>
    <row r="4" spans="1:5" ht="18">
      <c r="A4" s="301" t="str">
        <f>"License Number:   "&amp;'Info Sheet'!B6</f>
        <v>License Number:   ED-2002-0563</v>
      </c>
      <c r="B4" s="27"/>
      <c r="C4" s="392"/>
      <c r="D4" s="395" t="str">
        <f>'Info Sheet'!B8</f>
        <v>RP-2005-0013</v>
      </c>
      <c r="E4" s="36"/>
    </row>
    <row r="5" spans="1:4" ht="15.75">
      <c r="A5" s="515" t="str">
        <f>"Name of Contact:  "&amp;'Info Sheet'!B12</f>
        <v>Name of Contact:  Jim Hogan</v>
      </c>
      <c r="B5" s="516"/>
      <c r="C5" s="516"/>
      <c r="D5" s="395" t="str">
        <f>'Info Sheet'!B10</f>
        <v>EB-2005-0017</v>
      </c>
    </row>
    <row r="6" spans="1:4" ht="18" customHeight="1">
      <c r="A6" s="520" t="str">
        <f>"E- Mail Address:    "&amp;'Info Sheet'!B14</f>
        <v>E- Mail Address:    jimhogan@ckenergy.com</v>
      </c>
      <c r="B6" s="517"/>
      <c r="C6" s="517"/>
      <c r="D6" s="100"/>
    </row>
    <row r="7" spans="1:4" ht="15.75">
      <c r="A7" s="301" t="str">
        <f>"Phone Number:     "&amp;'Info Sheet'!B16</f>
        <v>Phone Number:     </v>
      </c>
      <c r="B7" s="517" t="str">
        <f>'Info Sheet'!$C$16&amp;" "&amp;'Info Sheet'!$D$16</f>
        <v>519-352-6300 (277) </v>
      </c>
      <c r="C7" s="517"/>
      <c r="D7" s="100"/>
    </row>
    <row r="8" spans="1:4" ht="16.5" thickBot="1">
      <c r="A8" s="302" t="str">
        <f>"Date:                      "&amp;('Info Sheet'!B18)</f>
        <v>Date:                      March 10, 2005</v>
      </c>
      <c r="B8" s="303"/>
      <c r="C8" s="393"/>
      <c r="D8" s="149"/>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1:7" ht="12.75">
      <c r="A15" s="484" t="s">
        <v>211</v>
      </c>
      <c r="B15" s="15"/>
      <c r="C15" s="15"/>
      <c r="D15" s="49"/>
      <c r="E15" s="15"/>
      <c r="F15" s="15"/>
      <c r="G15" s="15"/>
    </row>
    <row r="16" spans="1:7" ht="12.75">
      <c r="A16" s="109" t="s">
        <v>68</v>
      </c>
      <c r="B16" s="109"/>
      <c r="C16" s="110"/>
      <c r="D16" s="111">
        <f>+'5. 2005 Rate Sch. with PILs'!D16+'7. 2003 Data &amp; add RSVA'!B98+'8. 2003 Data &amp; Non-RSVA'!B98</f>
        <v>0.004711214755167096</v>
      </c>
      <c r="E16" s="15"/>
      <c r="F16" s="15"/>
      <c r="G16" s="15"/>
    </row>
    <row r="17" spans="1:7" ht="12.75">
      <c r="A17" s="112"/>
      <c r="B17" s="112"/>
      <c r="C17" s="113"/>
      <c r="D17" s="113"/>
      <c r="E17" s="15"/>
      <c r="F17" s="15"/>
      <c r="G17" s="15"/>
    </row>
    <row r="18" spans="1:7" ht="12.75">
      <c r="A18" s="109" t="s">
        <v>69</v>
      </c>
      <c r="B18" s="109"/>
      <c r="C18" s="110"/>
      <c r="D18" s="114">
        <f>+'5. 2005 Rate Sch. with PILs'!D18+'7. 2003 Data &amp; add RSVA'!C117+'8. 2003 Data &amp; Non-RSVA'!C117</f>
        <v>3.682510053146183</v>
      </c>
      <c r="E18" s="15"/>
      <c r="F18" s="15"/>
      <c r="G18" s="15"/>
    </row>
    <row r="19" spans="3:7" ht="12.75">
      <c r="C19" s="15"/>
      <c r="D19" s="15"/>
      <c r="E19" s="15"/>
      <c r="F19" s="15"/>
      <c r="G19" s="15"/>
    </row>
    <row r="20" spans="3:7" ht="12.75">
      <c r="C20" s="15"/>
      <c r="D20" s="15"/>
      <c r="E20" s="15"/>
      <c r="F20" s="15"/>
      <c r="G20" s="15"/>
    </row>
    <row r="21" spans="1:7" ht="12.75">
      <c r="A21" s="484" t="s">
        <v>212</v>
      </c>
      <c r="B21" s="15"/>
      <c r="C21" s="15"/>
      <c r="D21" s="49"/>
      <c r="E21" s="15"/>
      <c r="F21" s="15"/>
      <c r="G21" s="15"/>
    </row>
    <row r="22" spans="1:7" ht="12.75">
      <c r="A22" s="109" t="s">
        <v>68</v>
      </c>
      <c r="B22" s="109"/>
      <c r="C22" s="110"/>
      <c r="D22" s="111">
        <f>+'5. 2005 Rate Sch. with PILs'!D22+'7. 2003 Data &amp; add RSVA'!B132+'8. 2003 Data &amp; Non-RSVA'!B115</f>
        <v>0.015756419285195094</v>
      </c>
      <c r="E22" s="15"/>
      <c r="F22" s="15"/>
      <c r="G22" s="15"/>
    </row>
    <row r="23" spans="1:7" ht="12.75">
      <c r="A23" s="112"/>
      <c r="B23" s="112"/>
      <c r="C23" s="113"/>
      <c r="D23" s="113"/>
      <c r="E23" s="15"/>
      <c r="F23" s="15"/>
      <c r="G23" s="15"/>
    </row>
    <row r="24" spans="1:7" ht="12.75">
      <c r="A24" s="109" t="s">
        <v>69</v>
      </c>
      <c r="B24" s="109"/>
      <c r="C24" s="110"/>
      <c r="D24" s="114">
        <f>+'5. 2005 Rate Sch. with PILs'!D24+'7. 2003 Data &amp; add RSVA'!C117+'8. 2003 Data &amp; Non-RSVA'!C117</f>
        <v>13.86921420074977</v>
      </c>
      <c r="E24" s="15"/>
      <c r="F24" s="15"/>
      <c r="G24" s="15"/>
    </row>
    <row r="25" spans="3:7" ht="12.75">
      <c r="C25" s="15"/>
      <c r="D25" s="15"/>
      <c r="E25" s="15"/>
      <c r="F25" s="15"/>
      <c r="G25" s="15"/>
    </row>
    <row r="26" spans="3:7" ht="12.75">
      <c r="C26" s="15"/>
      <c r="D26" s="15"/>
      <c r="E26" s="15"/>
      <c r="F26" s="15"/>
      <c r="G26" s="15"/>
    </row>
    <row r="27" spans="1:7" ht="12.75">
      <c r="A27" s="484" t="s">
        <v>213</v>
      </c>
      <c r="B27" s="15"/>
      <c r="C27" s="15"/>
      <c r="D27" s="49"/>
      <c r="E27" s="15"/>
      <c r="F27" s="15"/>
      <c r="G27" s="15"/>
    </row>
    <row r="28" spans="1:7" ht="12.75">
      <c r="A28" s="109" t="s">
        <v>68</v>
      </c>
      <c r="B28" s="109"/>
      <c r="C28" s="110"/>
      <c r="D28" s="111">
        <f>+'5. 2005 Rate Sch. with PILs'!D28+'7. 2003 Data &amp; add RSVA'!B132+'8. 2003 Data &amp; Non-RSVA'!B132</f>
        <v>0.014856078887733954</v>
      </c>
      <c r="E28" s="15"/>
      <c r="F28" s="15"/>
      <c r="G28" s="15"/>
    </row>
    <row r="29" spans="1:7" ht="12.75">
      <c r="A29" s="112"/>
      <c r="B29" s="112"/>
      <c r="C29" s="113"/>
      <c r="D29" s="113"/>
      <c r="E29" s="15"/>
      <c r="F29" s="15"/>
      <c r="G29" s="15"/>
    </row>
    <row r="30" spans="1:7" ht="12.75">
      <c r="A30" s="109" t="s">
        <v>69</v>
      </c>
      <c r="B30" s="109"/>
      <c r="C30" s="110"/>
      <c r="D30" s="114">
        <f>+'5. 2005 Rate Sch. with PILs'!D30+'7. 2003 Data &amp; add RSVA'!C134+'8. 2003 Data &amp; Non-RSVA'!C134</f>
        <v>12.32927333576484</v>
      </c>
      <c r="E30" s="15"/>
      <c r="F30" s="15"/>
      <c r="G30" s="15"/>
    </row>
    <row r="31" spans="3:7" ht="12.75">
      <c r="C31" s="15"/>
      <c r="D31" s="15"/>
      <c r="E31" s="15"/>
      <c r="F31" s="15"/>
      <c r="G31" s="15"/>
    </row>
    <row r="32" spans="3:7" ht="12.75">
      <c r="C32" s="15"/>
      <c r="D32" s="15"/>
      <c r="E32" s="15"/>
      <c r="F32" s="15"/>
      <c r="G32" s="15"/>
    </row>
    <row r="33" spans="1:7" ht="12.75">
      <c r="A33" s="484" t="s">
        <v>214</v>
      </c>
      <c r="B33" s="15"/>
      <c r="C33" s="15"/>
      <c r="D33" s="49"/>
      <c r="E33" s="15"/>
      <c r="F33" s="15"/>
      <c r="G33" s="15"/>
    </row>
    <row r="34" spans="1:7" ht="12.75">
      <c r="A34" s="109" t="s">
        <v>68</v>
      </c>
      <c r="B34" s="109"/>
      <c r="C34" s="110"/>
      <c r="D34" s="111">
        <f>+'5. 2005 Rate Sch. with PILs'!D34+'7. 2003 Data &amp; add RSVA'!B149+'8. 2003 Data &amp; Non-RSVA'!B149</f>
        <v>0.01412564658497362</v>
      </c>
      <c r="E34" s="15"/>
      <c r="F34" s="15"/>
      <c r="G34" s="15"/>
    </row>
    <row r="35" spans="1:7" ht="12.75">
      <c r="A35" s="112"/>
      <c r="B35" s="112"/>
      <c r="C35" s="113"/>
      <c r="D35" s="113"/>
      <c r="E35" s="15"/>
      <c r="F35" s="15"/>
      <c r="G35" s="15"/>
    </row>
    <row r="36" spans="1:7" ht="12.75">
      <c r="A36" s="109" t="s">
        <v>69</v>
      </c>
      <c r="B36" s="109"/>
      <c r="C36" s="110"/>
      <c r="D36" s="114">
        <f>+'5. 2005 Rate Sch. with PILs'!D36+'7. 2003 Data &amp; add RSVA'!C151+'8. 2003 Data &amp; Non-RSVA'!C151</f>
        <v>12.329782012300532</v>
      </c>
      <c r="E36" s="15"/>
      <c r="F36" s="15"/>
      <c r="G36" s="15"/>
    </row>
    <row r="37" spans="3:7" ht="12.75">
      <c r="C37" s="15"/>
      <c r="D37" s="15"/>
      <c r="E37" s="15"/>
      <c r="F37" s="15"/>
      <c r="G37" s="15"/>
    </row>
    <row r="38" spans="3:7" ht="12.75">
      <c r="C38" s="15"/>
      <c r="D38" s="15"/>
      <c r="E38" s="15"/>
      <c r="F38" s="15"/>
      <c r="G38" s="15"/>
    </row>
    <row r="39" spans="1:7" ht="12.75">
      <c r="A39" s="484" t="s">
        <v>215</v>
      </c>
      <c r="B39" s="15"/>
      <c r="C39" s="15"/>
      <c r="D39" s="49"/>
      <c r="E39" s="15"/>
      <c r="F39" s="15"/>
      <c r="G39" s="15"/>
    </row>
    <row r="40" spans="1:7" ht="12.75">
      <c r="A40" s="109" t="s">
        <v>68</v>
      </c>
      <c r="B40" s="109"/>
      <c r="C40" s="110"/>
      <c r="D40" s="111">
        <f>+'5. 2005 Rate Sch. with PILs'!D40+'7. 2003 Data &amp; add RSVA'!B166+'8. 2003 Data &amp; Non-RSVA'!B166</f>
        <v>0.012202412737308639</v>
      </c>
      <c r="E40" s="15"/>
      <c r="F40" s="15"/>
      <c r="G40" s="15"/>
    </row>
    <row r="41" spans="1:7" ht="12.75">
      <c r="A41" s="112"/>
      <c r="B41" s="112"/>
      <c r="C41" s="113"/>
      <c r="D41" s="113"/>
      <c r="E41" s="15"/>
      <c r="F41" s="15"/>
      <c r="G41" s="15"/>
    </row>
    <row r="42" spans="1:7" ht="12.75">
      <c r="A42" s="109" t="s">
        <v>69</v>
      </c>
      <c r="B42" s="109"/>
      <c r="C42" s="110"/>
      <c r="D42" s="114">
        <f>+'5. 2005 Rate Sch. with PILs'!D42+'7. 2003 Data &amp; add RSVA'!C168+'8. 2003 Data &amp; Non-RSVA'!C168</f>
        <v>9.742855983694888</v>
      </c>
      <c r="E42" s="15"/>
      <c r="F42" s="15"/>
      <c r="G42" s="15"/>
    </row>
    <row r="43" spans="3:7" ht="12.75">
      <c r="C43" s="15"/>
      <c r="D43" s="15"/>
      <c r="E43" s="15"/>
      <c r="F43" s="15"/>
      <c r="G43" s="15"/>
    </row>
    <row r="44" spans="3:7" ht="12.75">
      <c r="C44" s="15"/>
      <c r="D44" s="15"/>
      <c r="E44" s="15"/>
      <c r="F44" s="15"/>
      <c r="G44" s="15"/>
    </row>
    <row r="45" spans="1:7" ht="12.75">
      <c r="A45" s="484" t="s">
        <v>216</v>
      </c>
      <c r="B45" s="15"/>
      <c r="C45" s="15"/>
      <c r="D45" s="49"/>
      <c r="E45" s="15"/>
      <c r="F45" s="15"/>
      <c r="G45" s="15"/>
    </row>
    <row r="46" spans="1:7" ht="12.75">
      <c r="A46" s="109" t="s">
        <v>68</v>
      </c>
      <c r="B46" s="109"/>
      <c r="C46" s="110"/>
      <c r="D46" s="111">
        <f>+'5. 2005 Rate Sch. with PILs'!D46+'7. 2003 Data &amp; add RSVA'!B183+'8. 2003 Data &amp; Non-RSVA'!B183</f>
        <v>0.01431968993944357</v>
      </c>
      <c r="E46" s="15"/>
      <c r="F46" s="15"/>
      <c r="G46" s="15"/>
    </row>
    <row r="47" spans="1:7" ht="12.75">
      <c r="A47" s="112"/>
      <c r="B47" s="112"/>
      <c r="C47" s="113"/>
      <c r="D47" s="113"/>
      <c r="E47" s="15"/>
      <c r="F47" s="15"/>
      <c r="G47" s="15"/>
    </row>
    <row r="48" spans="1:7" ht="12.75">
      <c r="A48" s="109" t="s">
        <v>69</v>
      </c>
      <c r="B48" s="109"/>
      <c r="C48" s="110"/>
      <c r="D48" s="114">
        <f>+'5. 2005 Rate Sch. with PILs'!D48+'7. 2003 Data &amp; add RSVA'!C185+'8. 2003 Data &amp; Non-RSVA'!C185</f>
        <v>13.580287018663661</v>
      </c>
      <c r="E48" s="15"/>
      <c r="F48" s="15"/>
      <c r="G48" s="15"/>
    </row>
    <row r="49" spans="3:7" ht="12.75">
      <c r="C49" s="15"/>
      <c r="D49" s="15"/>
      <c r="E49" s="15"/>
      <c r="F49" s="15"/>
      <c r="G49" s="15"/>
    </row>
    <row r="50" spans="3:7" ht="12.75">
      <c r="C50" s="15"/>
      <c r="D50" s="15"/>
      <c r="E50" s="15"/>
      <c r="F50" s="15"/>
      <c r="G50" s="15"/>
    </row>
    <row r="51" spans="1:7" ht="12.75">
      <c r="A51" s="484" t="s">
        <v>217</v>
      </c>
      <c r="B51" s="15"/>
      <c r="C51" s="15"/>
      <c r="D51" s="49"/>
      <c r="E51" s="15"/>
      <c r="F51" s="15"/>
      <c r="G51" s="15"/>
    </row>
    <row r="52" spans="1:7" ht="12.75">
      <c r="A52" s="109" t="s">
        <v>68</v>
      </c>
      <c r="B52" s="109"/>
      <c r="C52" s="110"/>
      <c r="D52" s="111">
        <f>+'5. 2005 Rate Sch. with PILs'!D52+'7. 2003 Data &amp; add RSVA'!B200+'8. 2003 Data &amp; Non-RSVA'!B200</f>
        <v>0.016587893848177236</v>
      </c>
      <c r="E52" s="15"/>
      <c r="F52" s="15"/>
      <c r="G52" s="15"/>
    </row>
    <row r="53" spans="1:7" ht="12.75">
      <c r="A53" s="112"/>
      <c r="B53" s="112"/>
      <c r="C53" s="113"/>
      <c r="D53" s="113"/>
      <c r="E53" s="15"/>
      <c r="F53" s="15"/>
      <c r="G53" s="15"/>
    </row>
    <row r="54" spans="1:7" ht="12.75">
      <c r="A54" s="109" t="s">
        <v>69</v>
      </c>
      <c r="B54" s="109"/>
      <c r="C54" s="110"/>
      <c r="D54" s="114">
        <f>+'5. 2005 Rate Sch. with PILs'!D54+'7. 2003 Data &amp; add RSVA'!C202+'8. 2003 Data &amp; Non-RSVA'!C202</f>
        <v>13.491499640108744</v>
      </c>
      <c r="E54" s="15"/>
      <c r="F54" s="15"/>
      <c r="G54" s="15"/>
    </row>
    <row r="55" spans="3:7" ht="12.75">
      <c r="C55" s="15"/>
      <c r="D55" s="15"/>
      <c r="E55" s="15"/>
      <c r="F55" s="15"/>
      <c r="G55" s="15"/>
    </row>
    <row r="56" spans="3:7" ht="12.75">
      <c r="C56" s="15"/>
      <c r="D56" s="15"/>
      <c r="E56" s="15"/>
      <c r="F56" s="15"/>
      <c r="G56" s="15"/>
    </row>
    <row r="57" spans="1:7" ht="12.75">
      <c r="A57" s="484" t="s">
        <v>218</v>
      </c>
      <c r="B57" s="15"/>
      <c r="C57" s="15"/>
      <c r="D57" s="49"/>
      <c r="E57" s="15"/>
      <c r="F57" s="15"/>
      <c r="G57" s="15"/>
    </row>
    <row r="58" spans="1:7" ht="12.75">
      <c r="A58" s="109" t="s">
        <v>68</v>
      </c>
      <c r="B58" s="109"/>
      <c r="C58" s="110"/>
      <c r="D58" s="111">
        <f>+'5. 2005 Rate Sch. with PILs'!D58+'7. 2003 Data &amp; add RSVA'!B217+'8. 2003 Data &amp; Non-RSVA'!B217</f>
        <v>0.008588133684912487</v>
      </c>
      <c r="E58" s="15"/>
      <c r="F58" s="15"/>
      <c r="G58" s="15"/>
    </row>
    <row r="59" spans="1:7" ht="12.75">
      <c r="A59" s="112"/>
      <c r="B59" s="112"/>
      <c r="C59" s="113"/>
      <c r="D59" s="113"/>
      <c r="E59" s="15"/>
      <c r="F59" s="15"/>
      <c r="G59" s="15"/>
    </row>
    <row r="60" spans="1:7" ht="12.75">
      <c r="A60" s="109" t="s">
        <v>69</v>
      </c>
      <c r="B60" s="109"/>
      <c r="C60" s="110"/>
      <c r="D60" s="114">
        <f>+'5. 2005 Rate Sch. with PILs'!D60+'7. 2003 Data &amp; add RSVA'!C219+'8. 2003 Data &amp; Non-RSVA'!C219</f>
        <v>7.057043226024896</v>
      </c>
      <c r="E60" s="15"/>
      <c r="F60" s="15"/>
      <c r="G60" s="15"/>
    </row>
    <row r="61" spans="3:7" ht="12.75">
      <c r="C61" s="15"/>
      <c r="D61" s="15"/>
      <c r="E61" s="15"/>
      <c r="F61" s="15"/>
      <c r="G61" s="15"/>
    </row>
    <row r="62" spans="3:7" ht="12.75">
      <c r="C62" s="15"/>
      <c r="D62" s="15"/>
      <c r="E62" s="15"/>
      <c r="F62" s="15"/>
      <c r="G62" s="15"/>
    </row>
    <row r="63" spans="1:7" ht="12.75">
      <c r="A63" s="484" t="s">
        <v>219</v>
      </c>
      <c r="B63" s="15"/>
      <c r="C63" s="15"/>
      <c r="D63" s="49"/>
      <c r="E63" s="15"/>
      <c r="F63" s="15"/>
      <c r="G63" s="15"/>
    </row>
    <row r="64" spans="1:7" ht="12.75">
      <c r="A64" s="109" t="s">
        <v>68</v>
      </c>
      <c r="B64" s="109"/>
      <c r="C64" s="110"/>
      <c r="D64" s="111">
        <f>+'5. 2005 Rate Sch. with PILs'!D64+'7. 2003 Data &amp; add RSVA'!B234+'8. 2003 Data &amp; Non-RSVA'!B234</f>
        <v>0.012513444822933938</v>
      </c>
      <c r="E64" s="15"/>
      <c r="F64" s="15"/>
      <c r="G64" s="15"/>
    </row>
    <row r="65" spans="1:7" ht="12.75">
      <c r="A65" s="112"/>
      <c r="B65" s="112"/>
      <c r="C65" s="113"/>
      <c r="D65" s="113"/>
      <c r="E65" s="15"/>
      <c r="F65" s="15"/>
      <c r="G65" s="15"/>
    </row>
    <row r="66" spans="1:7" ht="12.75">
      <c r="A66" s="109" t="s">
        <v>69</v>
      </c>
      <c r="B66" s="109"/>
      <c r="C66" s="110"/>
      <c r="D66" s="114">
        <f>+'5. 2005 Rate Sch. with PILs'!D66+'7. 2003 Data &amp; add RSVA'!C236+'8. 2003 Data &amp; Non-RSVA'!C236</f>
        <v>10.723239435311964</v>
      </c>
      <c r="E66" s="15"/>
      <c r="F66" s="15"/>
      <c r="G66" s="15"/>
    </row>
    <row r="67" spans="3:7" ht="12.75">
      <c r="C67" s="15"/>
      <c r="D67" s="15"/>
      <c r="E67" s="15"/>
      <c r="F67" s="15"/>
      <c r="G67" s="15"/>
    </row>
    <row r="68" spans="3:7" ht="12.75">
      <c r="C68" s="15"/>
      <c r="D68" s="15"/>
      <c r="E68" s="15"/>
      <c r="F68" s="15"/>
      <c r="G68" s="15"/>
    </row>
    <row r="69" spans="1:7" ht="12.75">
      <c r="A69" s="484" t="s">
        <v>220</v>
      </c>
      <c r="B69" s="15"/>
      <c r="C69" s="15"/>
      <c r="D69" s="49"/>
      <c r="E69" s="15"/>
      <c r="F69" s="15"/>
      <c r="G69" s="15"/>
    </row>
    <row r="70" spans="1:7" ht="12.75">
      <c r="A70" s="109" t="s">
        <v>68</v>
      </c>
      <c r="B70" s="109"/>
      <c r="C70" s="110"/>
      <c r="D70" s="111">
        <f>+'5. 2005 Rate Sch. with PILs'!D70+'7. 2003 Data &amp; add RSVA'!B251+'8. 2003 Data &amp; Non-RSVA'!B251</f>
        <v>0.016895977714591216</v>
      </c>
      <c r="E70" s="15"/>
      <c r="F70" s="15"/>
      <c r="G70" s="15"/>
    </row>
    <row r="71" spans="1:7" ht="12.75">
      <c r="A71" s="112"/>
      <c r="B71" s="112"/>
      <c r="C71" s="113"/>
      <c r="D71" s="113"/>
      <c r="E71" s="15"/>
      <c r="F71" s="15"/>
      <c r="G71" s="15"/>
    </row>
    <row r="72" spans="1:7" ht="12.75">
      <c r="A72" s="109" t="s">
        <v>69</v>
      </c>
      <c r="B72" s="109"/>
      <c r="C72" s="110"/>
      <c r="D72" s="114">
        <f>+'5. 2005 Rate Sch. with PILs'!D72+'7. 2003 Data &amp; add RSVA'!C253+'8. 2003 Data &amp; Non-RSVA'!C253</f>
        <v>14.222490480733107</v>
      </c>
      <c r="E72" s="15"/>
      <c r="F72" s="15"/>
      <c r="G72" s="15"/>
    </row>
    <row r="73" spans="3:7" ht="12.75">
      <c r="C73" s="15"/>
      <c r="D73" s="15"/>
      <c r="E73" s="15"/>
      <c r="F73" s="15"/>
      <c r="G73" s="15"/>
    </row>
    <row r="74" spans="3:7" ht="12.75">
      <c r="C74" s="15"/>
      <c r="D74" s="15"/>
      <c r="E74" s="15"/>
      <c r="F74" s="15"/>
      <c r="G74" s="15"/>
    </row>
    <row r="75" spans="1:7" ht="12.75">
      <c r="A75" s="484" t="s">
        <v>221</v>
      </c>
      <c r="B75" s="15"/>
      <c r="C75" s="15"/>
      <c r="D75" s="49"/>
      <c r="E75" s="15"/>
      <c r="F75" s="15"/>
      <c r="G75" s="15"/>
    </row>
    <row r="76" spans="1:7" ht="12.75">
      <c r="A76" s="109" t="s">
        <v>68</v>
      </c>
      <c r="B76" s="109"/>
      <c r="C76" s="110"/>
      <c r="D76" s="111">
        <f>+'5. 2005 Rate Sch. with PILs'!D76+'7. 2003 Data &amp; add RSVA'!B268+'8. 2003 Data &amp; Non-RSVA'!B268</f>
        <v>0.0112178452172141</v>
      </c>
      <c r="E76" s="15"/>
      <c r="F76" s="15"/>
      <c r="G76" s="15"/>
    </row>
    <row r="77" spans="1:7" ht="12.75">
      <c r="A77" s="112"/>
      <c r="B77" s="112"/>
      <c r="C77" s="113"/>
      <c r="D77" s="113"/>
      <c r="E77" s="15"/>
      <c r="F77" s="15"/>
      <c r="G77" s="15"/>
    </row>
    <row r="78" spans="1:7" ht="12.75">
      <c r="A78" s="109" t="s">
        <v>69</v>
      </c>
      <c r="B78" s="109"/>
      <c r="C78" s="110"/>
      <c r="D78" s="114">
        <f>+'5. 2005 Rate Sch. with PILs'!D78+'7. 2003 Data &amp; add RSVA'!C270+'8. 2003 Data &amp; Non-RSVA'!C270</f>
        <v>10.102733291558184</v>
      </c>
      <c r="E78" s="15"/>
      <c r="F78" s="15"/>
      <c r="G78" s="15"/>
    </row>
    <row r="79" spans="3:7" ht="12.75">
      <c r="C79" s="15"/>
      <c r="D79" s="15"/>
      <c r="E79" s="15"/>
      <c r="F79" s="15"/>
      <c r="G79" s="15"/>
    </row>
    <row r="80" spans="3:7" ht="12.75">
      <c r="C80" s="15"/>
      <c r="D80" s="15"/>
      <c r="E80" s="15"/>
      <c r="F80" s="15"/>
      <c r="G80" s="15"/>
    </row>
    <row r="81" spans="1:7" ht="18">
      <c r="A81" s="55" t="s">
        <v>2</v>
      </c>
      <c r="C81" s="53"/>
      <c r="D81" s="52"/>
      <c r="E81" s="15"/>
      <c r="F81" s="15"/>
      <c r="G81" s="15"/>
    </row>
    <row r="82" spans="3:7" ht="12.75">
      <c r="C82" s="15"/>
      <c r="D82" s="15"/>
      <c r="E82" s="15"/>
      <c r="F82" s="15"/>
      <c r="G82" s="15"/>
    </row>
    <row r="83" spans="1:7" ht="12.75">
      <c r="A83" s="109" t="s">
        <v>68</v>
      </c>
      <c r="B83" s="109"/>
      <c r="C83" s="110"/>
      <c r="D83" s="111"/>
      <c r="E83" s="15"/>
      <c r="F83" s="15"/>
      <c r="G83" s="15"/>
    </row>
    <row r="84" spans="1:7" ht="12.75">
      <c r="A84" s="112"/>
      <c r="B84" s="112"/>
      <c r="C84" s="113"/>
      <c r="D84" s="113"/>
      <c r="E84" s="15"/>
      <c r="F84" s="15"/>
      <c r="G84" s="15"/>
    </row>
    <row r="85" spans="1:7" ht="12.75">
      <c r="A85" s="109" t="s">
        <v>69</v>
      </c>
      <c r="B85" s="109"/>
      <c r="C85" s="110"/>
      <c r="D85" s="114"/>
      <c r="E85" s="15"/>
      <c r="F85" s="15"/>
      <c r="G85" s="15"/>
    </row>
    <row r="86" spans="3:7" ht="12.75">
      <c r="C86" s="15"/>
      <c r="D86" s="49"/>
      <c r="E86" s="15"/>
      <c r="F86" s="15"/>
      <c r="G86" s="15"/>
    </row>
    <row r="87" spans="3:7" ht="12.75">
      <c r="C87" s="15"/>
      <c r="D87" s="15"/>
      <c r="E87" s="15"/>
      <c r="F87" s="15"/>
      <c r="G87" s="15"/>
    </row>
    <row r="88" spans="1:7" ht="18">
      <c r="A88" s="55" t="s">
        <v>3</v>
      </c>
      <c r="C88" s="53"/>
      <c r="D88" s="52"/>
      <c r="E88" s="15"/>
      <c r="F88" s="15"/>
      <c r="G88" s="15"/>
    </row>
    <row r="89" spans="3:7" ht="12.75">
      <c r="C89" s="15"/>
      <c r="D89" s="15"/>
      <c r="E89" s="15"/>
      <c r="F89" s="15"/>
      <c r="G89" s="15"/>
    </row>
    <row r="90" spans="1:7" ht="12.75">
      <c r="A90" s="109" t="s">
        <v>68</v>
      </c>
      <c r="B90" s="34"/>
      <c r="C90" s="23"/>
      <c r="D90" s="107">
        <f>+'5. 2005 Rate Sch. with PILs'!D90+'7. 2003 Data &amp; add RSVA'!B288+'8. 2003 Data &amp; Non-RSVA'!B288</f>
        <v>0.009926053143928023</v>
      </c>
      <c r="E90" s="15"/>
      <c r="F90" s="15"/>
      <c r="G90" s="15"/>
    </row>
    <row r="91" spans="1:7" ht="12.75">
      <c r="A91" s="112"/>
      <c r="C91" s="15"/>
      <c r="D91" s="15"/>
      <c r="E91" s="15"/>
      <c r="F91" s="15"/>
      <c r="G91" s="15"/>
    </row>
    <row r="92" spans="1:7" ht="12.75">
      <c r="A92" s="109" t="s">
        <v>69</v>
      </c>
      <c r="B92" s="34"/>
      <c r="C92" s="23"/>
      <c r="D92" s="108">
        <f>+'5. 2005 Rate Sch. with PILs'!D92+'7. 2003 Data &amp; add RSVA'!C290+'8. 2003 Data &amp; Non-RSVA'!C290</f>
        <v>32.23453397499679</v>
      </c>
      <c r="E92" s="15"/>
      <c r="F92" s="15"/>
      <c r="G92" s="15"/>
    </row>
    <row r="93" spans="3:7" ht="12.75">
      <c r="C93" s="15"/>
      <c r="D93" s="15"/>
      <c r="E93" s="15"/>
      <c r="F93" s="15"/>
      <c r="G93" s="15"/>
    </row>
    <row r="94" spans="2:7" ht="12.75">
      <c r="B94" s="15"/>
      <c r="C94" s="15"/>
      <c r="D94" s="49"/>
      <c r="E94" s="15"/>
      <c r="F94" s="15"/>
      <c r="G94" s="15"/>
    </row>
    <row r="95" spans="1:7" ht="18">
      <c r="A95" s="55" t="s">
        <v>4</v>
      </c>
      <c r="B95" s="52"/>
      <c r="C95" s="53"/>
      <c r="D95" s="49"/>
      <c r="E95" s="15"/>
      <c r="F95" s="15"/>
      <c r="G95" s="15"/>
    </row>
    <row r="96" spans="2:7" ht="12.75">
      <c r="B96" s="15"/>
      <c r="C96" s="15"/>
      <c r="D96" s="49"/>
      <c r="E96" s="15"/>
      <c r="F96" s="15"/>
      <c r="G96" s="15"/>
    </row>
    <row r="97" spans="1:7" ht="12.75">
      <c r="A97" s="109" t="s">
        <v>70</v>
      </c>
      <c r="B97" s="34"/>
      <c r="C97" s="23"/>
      <c r="D97" s="107">
        <f>+'5. 2005 Rate Sch. with PILs'!D97+'7. 2003 Data &amp; add RSVA'!B308+'8. 2003 Data &amp; Non-RSVA'!B308</f>
        <v>1.3814619766671221</v>
      </c>
      <c r="E97" s="15"/>
      <c r="F97" s="15"/>
      <c r="G97" s="15"/>
    </row>
    <row r="98" spans="1:7" ht="12.75">
      <c r="A98" s="112"/>
      <c r="C98" s="15"/>
      <c r="D98" s="15"/>
      <c r="E98" s="15"/>
      <c r="F98" s="15"/>
      <c r="G98" s="15"/>
    </row>
    <row r="99" spans="1:7" ht="12.75">
      <c r="A99" s="109" t="s">
        <v>69</v>
      </c>
      <c r="B99" s="34"/>
      <c r="C99" s="23"/>
      <c r="D99" s="108">
        <f>+'5. 2005 Rate Sch. with PILs'!D99+'7. 2003 Data &amp; add RSVA'!C310+'8. 2003 Data &amp; Non-RSVA'!C310</f>
        <v>133.85747626351818</v>
      </c>
      <c r="E99" s="15"/>
      <c r="F99" s="15"/>
      <c r="G99" s="15"/>
    </row>
    <row r="100" spans="2:7" ht="12.75">
      <c r="B100" s="15"/>
      <c r="C100" s="15"/>
      <c r="D100" s="49"/>
      <c r="E100" s="15"/>
      <c r="F100" s="15"/>
      <c r="G100" s="15"/>
    </row>
    <row r="101" spans="2:7" ht="12.75">
      <c r="B101" s="15"/>
      <c r="C101" s="15"/>
      <c r="D101" s="49"/>
      <c r="E101" s="15"/>
      <c r="F101" s="15"/>
      <c r="G101" s="15"/>
    </row>
    <row r="102" spans="1:7" ht="18">
      <c r="A102" s="55" t="s">
        <v>5</v>
      </c>
      <c r="B102" s="52"/>
      <c r="C102" s="53"/>
      <c r="D102" s="49"/>
      <c r="E102" s="15"/>
      <c r="F102" s="15"/>
      <c r="G102" s="15"/>
    </row>
    <row r="103" spans="1:7" ht="12.75">
      <c r="A103" s="484" t="s">
        <v>211</v>
      </c>
      <c r="B103" s="15"/>
      <c r="C103" s="15"/>
      <c r="D103" s="49"/>
      <c r="E103" s="15"/>
      <c r="F103" s="15"/>
      <c r="G103" s="15"/>
    </row>
    <row r="104" spans="1:7" ht="12.75">
      <c r="A104" s="109" t="s">
        <v>70</v>
      </c>
      <c r="B104" s="23"/>
      <c r="C104" s="23"/>
      <c r="D104" s="107">
        <f>+'5. 2005 Rate Sch. with PILs'!D104+'7. 2003 Data &amp; add RSVA'!B328+'8. 2003 Data &amp; Non-RSVA'!B328</f>
        <v>1.4065605027138843</v>
      </c>
      <c r="E104" s="15"/>
      <c r="F104" s="15"/>
      <c r="G104" s="15"/>
    </row>
    <row r="105" spans="1:7" ht="12.75">
      <c r="A105" s="112"/>
      <c r="B105" s="15"/>
      <c r="C105" s="15"/>
      <c r="D105" s="49"/>
      <c r="E105" s="15"/>
      <c r="F105" s="15"/>
      <c r="G105" s="15"/>
    </row>
    <row r="106" spans="1:7" ht="12.75">
      <c r="A106" s="109" t="s">
        <v>69</v>
      </c>
      <c r="B106" s="51"/>
      <c r="C106" s="23"/>
      <c r="D106" s="108">
        <f>+'5. 2005 Rate Sch. with PILs'!D106+'7. 2003 Data &amp; add RSVA'!C330+'8. 2003 Data &amp; Non-RSVA'!C330</f>
        <v>2302.371858459347</v>
      </c>
      <c r="E106" s="15"/>
      <c r="F106" s="15"/>
      <c r="G106" s="15"/>
    </row>
    <row r="107" spans="2:7" ht="12.75">
      <c r="B107" s="15"/>
      <c r="C107" s="15"/>
      <c r="D107" s="49"/>
      <c r="E107" s="15"/>
      <c r="F107" s="15"/>
      <c r="G107" s="15"/>
    </row>
    <row r="108" spans="1:7" ht="18">
      <c r="A108" s="8"/>
      <c r="B108" s="15"/>
      <c r="C108" s="15"/>
      <c r="D108" s="49"/>
      <c r="E108" s="15"/>
      <c r="F108" s="15"/>
      <c r="G108" s="15"/>
    </row>
    <row r="109" spans="1:7" ht="12.75">
      <c r="A109" s="484" t="s">
        <v>213</v>
      </c>
      <c r="B109" s="15"/>
      <c r="C109" s="15"/>
      <c r="D109" s="49"/>
      <c r="E109" s="15"/>
      <c r="F109" s="15"/>
      <c r="G109" s="15"/>
    </row>
    <row r="110" spans="1:7" ht="12.75">
      <c r="A110" s="109" t="s">
        <v>70</v>
      </c>
      <c r="B110" s="23"/>
      <c r="C110" s="23"/>
      <c r="D110" s="107">
        <f>+'5. 2005 Rate Sch. with PILs'!D110+'7. 2003 Data &amp; add RSVA'!B345+'8. 2003 Data &amp; Non-RSVA'!B345</f>
        <v>2.0767405324311348</v>
      </c>
      <c r="E110" s="15"/>
      <c r="F110" s="15"/>
      <c r="G110" s="15"/>
    </row>
    <row r="111" spans="1:7" ht="12.75">
      <c r="A111" s="112"/>
      <c r="B111" s="15"/>
      <c r="C111" s="15"/>
      <c r="D111" s="49"/>
      <c r="E111" s="15"/>
      <c r="F111" s="15"/>
      <c r="G111" s="15"/>
    </row>
    <row r="112" spans="1:7" ht="12.75">
      <c r="A112" s="109" t="s">
        <v>69</v>
      </c>
      <c r="B112" s="51"/>
      <c r="C112" s="23"/>
      <c r="D112" s="108">
        <f>+'5. 2005 Rate Sch. with PILs'!D112+'7. 2003 Data &amp; add RSVA'!C347+'8. 2003 Data &amp; Non-RSVA'!C347</f>
        <v>3857.508826100473</v>
      </c>
      <c r="E112" s="15"/>
      <c r="F112" s="15"/>
      <c r="G112" s="15"/>
    </row>
    <row r="113" spans="1:7" ht="12.75">
      <c r="A113" s="296"/>
      <c r="B113" s="50"/>
      <c r="C113" s="20"/>
      <c r="D113" s="15"/>
      <c r="E113" s="15"/>
      <c r="F113" s="15"/>
      <c r="G113" s="15"/>
    </row>
    <row r="114" spans="1:7" ht="12.75">
      <c r="A114" s="296"/>
      <c r="B114" s="50"/>
      <c r="C114" s="20"/>
      <c r="D114" s="15"/>
      <c r="E114" s="15"/>
      <c r="F114" s="15"/>
      <c r="G114" s="15"/>
    </row>
    <row r="115" spans="1:7" ht="18">
      <c r="A115" s="55" t="s">
        <v>199</v>
      </c>
      <c r="B115" s="15"/>
      <c r="C115" s="15"/>
      <c r="D115" s="49"/>
      <c r="E115" s="15"/>
      <c r="F115" s="15"/>
      <c r="G115" s="15"/>
    </row>
    <row r="116" spans="1:7" ht="12.75">
      <c r="A116" s="296"/>
      <c r="B116" s="15"/>
      <c r="C116" s="15"/>
      <c r="D116" s="49"/>
      <c r="E116" s="15"/>
      <c r="F116" s="15"/>
      <c r="G116" s="15"/>
    </row>
    <row r="117" spans="1:7" ht="12.75">
      <c r="A117" s="109" t="s">
        <v>70</v>
      </c>
      <c r="B117" s="34"/>
      <c r="C117" s="23"/>
      <c r="D117" s="107"/>
      <c r="E117" s="15"/>
      <c r="F117" s="15"/>
      <c r="G117" s="15"/>
    </row>
    <row r="118" spans="1:7" ht="12.75">
      <c r="A118" s="112"/>
      <c r="C118" s="15"/>
      <c r="D118" s="15"/>
      <c r="E118" s="15"/>
      <c r="F118" s="15"/>
      <c r="G118" s="15"/>
    </row>
    <row r="119" spans="1:7" ht="12.75">
      <c r="A119" s="109" t="s">
        <v>69</v>
      </c>
      <c r="B119" s="34"/>
      <c r="C119" s="23"/>
      <c r="D119" s="108"/>
      <c r="E119" s="15"/>
      <c r="F119" s="15"/>
      <c r="G119" s="15"/>
    </row>
    <row r="120" spans="2:7" ht="12.75">
      <c r="B120" s="15"/>
      <c r="C120" s="15"/>
      <c r="D120" s="49"/>
      <c r="E120" s="15"/>
      <c r="F120" s="15"/>
      <c r="G120" s="15"/>
    </row>
    <row r="121" spans="1:7" ht="18">
      <c r="A121" s="55" t="s">
        <v>1</v>
      </c>
      <c r="B121" s="15"/>
      <c r="C121" s="15"/>
      <c r="D121" s="49"/>
      <c r="E121" s="15"/>
      <c r="F121" s="15"/>
      <c r="G121" s="15"/>
    </row>
    <row r="122" spans="1:7" ht="12.75">
      <c r="A122" s="484" t="s">
        <v>213</v>
      </c>
      <c r="B122" s="15"/>
      <c r="C122" s="15"/>
      <c r="D122" s="49"/>
      <c r="E122" s="15"/>
      <c r="F122" s="15"/>
      <c r="G122" s="15"/>
    </row>
    <row r="123" spans="1:7" ht="12.75">
      <c r="A123" s="109" t="s">
        <v>70</v>
      </c>
      <c r="B123" s="23"/>
      <c r="C123" s="23"/>
      <c r="D123" s="107">
        <f>+'5. 2005 Rate Sch. with PILs'!D124+'7. 2003 Data &amp; add RSVA'!B386+'8. 2003 Data &amp; Non-RSVA'!B386</f>
        <v>2.6159248864575155</v>
      </c>
      <c r="E123" s="15"/>
      <c r="F123" s="15"/>
      <c r="G123" s="15"/>
    </row>
    <row r="124" spans="1:7" ht="12.75">
      <c r="A124" s="112"/>
      <c r="B124" s="15"/>
      <c r="C124" s="15"/>
      <c r="D124" s="49"/>
      <c r="E124" s="15"/>
      <c r="F124" s="15"/>
      <c r="G124" s="15"/>
    </row>
    <row r="125" spans="1:7" ht="12.75">
      <c r="A125" s="109" t="s">
        <v>69</v>
      </c>
      <c r="B125" s="51"/>
      <c r="C125" s="23"/>
      <c r="D125" s="108">
        <f>+'5. 2005 Rate Sch. with PILs'!D126+'7. 2003 Data &amp; add RSVA'!C388+'8. 2003 Data &amp; Non-RSVA'!C388</f>
        <v>10069.069583156099</v>
      </c>
      <c r="E125" s="15"/>
      <c r="F125" s="15"/>
      <c r="G125" s="15"/>
    </row>
    <row r="126" spans="2:7" ht="12.75">
      <c r="B126" s="15"/>
      <c r="C126" s="15"/>
      <c r="D126" s="49"/>
      <c r="E126" s="15"/>
      <c r="F126" s="15"/>
      <c r="G126" s="15"/>
    </row>
    <row r="127" spans="3:7" ht="12.75">
      <c r="C127" s="15"/>
      <c r="E127" s="15"/>
      <c r="F127" s="15"/>
      <c r="G127" s="15"/>
    </row>
    <row r="128" spans="1:7" ht="12.75">
      <c r="A128" s="485" t="s">
        <v>220</v>
      </c>
      <c r="B128" s="23"/>
      <c r="C128" s="23"/>
      <c r="D128" s="107">
        <f>+'5. 2005 Rate Sch. with PILs'!D129+'7. 2003 Data &amp; add RSVA'!B403+'8. 2003 Data &amp; Non-RSVA'!B403</f>
        <v>2.657332409957566</v>
      </c>
      <c r="E128" s="15"/>
      <c r="F128" s="15"/>
      <c r="G128" s="15"/>
    </row>
    <row r="129" spans="1:7" ht="12.75">
      <c r="A129" s="112"/>
      <c r="B129" s="15"/>
      <c r="C129" s="15"/>
      <c r="D129" s="49"/>
      <c r="E129" s="15"/>
      <c r="F129" s="15"/>
      <c r="G129" s="15"/>
    </row>
    <row r="130" spans="1:7" ht="12.75">
      <c r="A130" s="109" t="s">
        <v>69</v>
      </c>
      <c r="B130" s="51"/>
      <c r="C130" s="23"/>
      <c r="D130" s="108">
        <f>+'5. 2005 Rate Sch. with PILs'!D131+'7. 2003 Data &amp; add RSVA'!C405+'8. 2003 Data &amp; Non-RSVA'!C405</f>
        <v>12771.823754726202</v>
      </c>
      <c r="E130" s="15"/>
      <c r="F130" s="15"/>
      <c r="G130" s="15"/>
    </row>
    <row r="131" spans="1:7" ht="12.75">
      <c r="A131" s="296"/>
      <c r="B131" s="50"/>
      <c r="C131" s="20"/>
      <c r="D131" s="15"/>
      <c r="E131" s="15"/>
      <c r="F131" s="15"/>
      <c r="G131" s="15"/>
    </row>
    <row r="132" spans="1:7" ht="12.75">
      <c r="A132" s="296"/>
      <c r="B132" s="50"/>
      <c r="C132" s="20"/>
      <c r="D132" s="15"/>
      <c r="E132" s="15"/>
      <c r="F132" s="15"/>
      <c r="G132" s="15"/>
    </row>
    <row r="133" spans="1:7" ht="18">
      <c r="A133" s="55" t="s">
        <v>6</v>
      </c>
      <c r="B133" s="15"/>
      <c r="C133" s="15"/>
      <c r="D133" s="49"/>
      <c r="E133" s="15"/>
      <c r="F133" s="15"/>
      <c r="G133" s="15"/>
    </row>
    <row r="134" spans="1:7" ht="12.75">
      <c r="A134" s="484" t="s">
        <v>211</v>
      </c>
      <c r="B134" s="15"/>
      <c r="C134" s="15"/>
      <c r="D134" s="49"/>
      <c r="E134" s="15"/>
      <c r="F134" s="15"/>
      <c r="G134" s="15"/>
    </row>
    <row r="135" spans="1:7" ht="12.75">
      <c r="A135" s="109" t="s">
        <v>70</v>
      </c>
      <c r="B135" s="34"/>
      <c r="C135" s="23"/>
      <c r="D135" s="107">
        <f>+'5. 2005 Rate Sch. with PILs'!D136+'7. 2003 Data &amp; add RSVA'!B424+'8. 2003 Data &amp; Non-RSVA'!B424</f>
        <v>1.5968190841417595</v>
      </c>
      <c r="E135" s="15"/>
      <c r="F135" s="15"/>
      <c r="G135" s="15"/>
    </row>
    <row r="136" spans="1:7" ht="12.75">
      <c r="A136" s="112"/>
      <c r="C136" s="15"/>
      <c r="D136" s="15"/>
      <c r="E136" s="15"/>
      <c r="F136" s="15"/>
      <c r="G136" s="15"/>
    </row>
    <row r="137" spans="1:7" ht="12.75">
      <c r="A137" s="109" t="s">
        <v>195</v>
      </c>
      <c r="B137" s="34"/>
      <c r="C137" s="23"/>
      <c r="D137" s="108">
        <f>+'5. 2005 Rate Sch. with PILs'!D138+'7. 2003 Data &amp; add RSVA'!C426+'8. 2003 Data &amp; Non-RSVA'!C426</f>
        <v>1.708792589588354</v>
      </c>
      <c r="E137" s="15"/>
      <c r="F137" s="15"/>
      <c r="G137" s="15"/>
    </row>
    <row r="138" spans="2:7" ht="12.75">
      <c r="B138" s="15"/>
      <c r="C138" s="15"/>
      <c r="D138" s="49"/>
      <c r="E138" s="15"/>
      <c r="F138" s="15"/>
      <c r="G138" s="15"/>
    </row>
    <row r="139" spans="2:7" ht="12.75">
      <c r="B139" s="15"/>
      <c r="C139" s="15"/>
      <c r="D139" s="49"/>
      <c r="E139" s="15"/>
      <c r="F139" s="15"/>
      <c r="G139" s="15"/>
    </row>
    <row r="140" spans="1:7" ht="12.75">
      <c r="A140" s="484" t="s">
        <v>212</v>
      </c>
      <c r="B140" s="15"/>
      <c r="C140" s="15"/>
      <c r="D140" s="49"/>
      <c r="E140" s="15"/>
      <c r="F140" s="15"/>
      <c r="G140" s="15"/>
    </row>
    <row r="141" spans="1:7" ht="12.75">
      <c r="A141" s="109" t="s">
        <v>70</v>
      </c>
      <c r="B141" s="34"/>
      <c r="C141" s="23"/>
      <c r="D141" s="107">
        <f>+'5. 2005 Rate Sch. with PILs'!D142+'7. 2003 Data &amp; add RSVA'!B441+'8. 2003 Data &amp; Non-RSVA'!B441</f>
        <v>3.485976625431693</v>
      </c>
      <c r="E141" s="15"/>
      <c r="F141" s="15"/>
      <c r="G141" s="15"/>
    </row>
    <row r="142" spans="1:7" ht="12.75">
      <c r="A142" s="112"/>
      <c r="C142" s="15"/>
      <c r="D142" s="15"/>
      <c r="E142" s="15"/>
      <c r="F142" s="15"/>
      <c r="G142" s="15"/>
    </row>
    <row r="143" spans="1:7" ht="12.75">
      <c r="A143" s="109" t="s">
        <v>195</v>
      </c>
      <c r="B143" s="34"/>
      <c r="C143" s="23"/>
      <c r="D143" s="108">
        <f>+'5. 2005 Rate Sch. with PILs'!D144+'7. 2003 Data &amp; add RSVA'!C443+'8. 2003 Data &amp; Non-RSVA'!C443</f>
        <v>3.139050610774767</v>
      </c>
      <c r="E143" s="15"/>
      <c r="F143" s="15"/>
      <c r="G143" s="15"/>
    </row>
    <row r="144" spans="2:7" ht="12.75">
      <c r="B144" s="15"/>
      <c r="C144" s="15"/>
      <c r="D144" s="49"/>
      <c r="E144" s="15"/>
      <c r="F144" s="15"/>
      <c r="G144" s="15"/>
    </row>
    <row r="145" spans="2:7" ht="12.75">
      <c r="B145" s="15"/>
      <c r="C145" s="15"/>
      <c r="D145" s="49"/>
      <c r="E145" s="15"/>
      <c r="F145" s="15"/>
      <c r="G145" s="15"/>
    </row>
    <row r="146" spans="1:7" ht="12.75">
      <c r="A146" s="484" t="s">
        <v>213</v>
      </c>
      <c r="B146" s="15"/>
      <c r="C146" s="15"/>
      <c r="D146" s="49"/>
      <c r="E146" s="15"/>
      <c r="F146" s="15"/>
      <c r="G146" s="15"/>
    </row>
    <row r="147" spans="1:7" ht="12.75">
      <c r="A147" s="109" t="s">
        <v>70</v>
      </c>
      <c r="B147" s="34"/>
      <c r="C147" s="23"/>
      <c r="D147" s="107">
        <f>+'5. 2005 Rate Sch. with PILs'!D148+'7. 2003 Data &amp; add RSVA'!B458+'8. 2003 Data &amp; Non-RSVA'!B458</f>
        <v>3.141334406415556</v>
      </c>
      <c r="E147" s="15"/>
      <c r="F147" s="15"/>
      <c r="G147" s="15"/>
    </row>
    <row r="148" spans="1:7" ht="12.75">
      <c r="A148" s="112"/>
      <c r="C148" s="15"/>
      <c r="D148" s="15"/>
      <c r="E148" s="15"/>
      <c r="F148" s="15"/>
      <c r="G148" s="15"/>
    </row>
    <row r="149" spans="1:7" ht="12.75">
      <c r="A149" s="109" t="s">
        <v>195</v>
      </c>
      <c r="B149" s="34"/>
      <c r="C149" s="23"/>
      <c r="D149" s="108">
        <f>+'5. 2005 Rate Sch. with PILs'!D150+'7. 2003 Data &amp; add RSVA'!C460+'8. 2003 Data &amp; Non-RSVA'!C460</f>
        <v>4.851132973099862</v>
      </c>
      <c r="E149" s="15"/>
      <c r="F149" s="15"/>
      <c r="G149" s="15"/>
    </row>
    <row r="150" spans="2:7" ht="12.75">
      <c r="B150" s="15"/>
      <c r="C150" s="15"/>
      <c r="D150" s="49"/>
      <c r="E150" s="15"/>
      <c r="F150" s="15"/>
      <c r="G150" s="15"/>
    </row>
    <row r="151" spans="2:7" ht="12.75">
      <c r="B151" s="15"/>
      <c r="C151" s="15"/>
      <c r="D151" s="49"/>
      <c r="E151" s="15"/>
      <c r="F151" s="15"/>
      <c r="G151" s="15"/>
    </row>
    <row r="152" spans="1:7" ht="12.75">
      <c r="A152" s="484" t="s">
        <v>214</v>
      </c>
      <c r="B152" s="15"/>
      <c r="C152" s="15"/>
      <c r="D152" s="49"/>
      <c r="E152" s="15"/>
      <c r="F152" s="15"/>
      <c r="G152" s="15"/>
    </row>
    <row r="153" spans="1:7" ht="12.75">
      <c r="A153" s="109" t="s">
        <v>70</v>
      </c>
      <c r="B153" s="34"/>
      <c r="C153" s="23"/>
      <c r="D153" s="107">
        <f>+'5. 2005 Rate Sch. with PILs'!D154+'7. 2003 Data &amp; add RSVA'!B475+'8. 2003 Data &amp; Non-RSVA'!B458</f>
        <v>3.1588677775103564</v>
      </c>
      <c r="E153" s="15"/>
      <c r="F153" s="15"/>
      <c r="G153" s="15"/>
    </row>
    <row r="154" spans="1:7" ht="12.75">
      <c r="A154" s="112"/>
      <c r="C154" s="15"/>
      <c r="D154" s="15"/>
      <c r="E154" s="15"/>
      <c r="F154" s="15"/>
      <c r="G154" s="15"/>
    </row>
    <row r="155" spans="1:7" ht="12.75">
      <c r="A155" s="109" t="s">
        <v>195</v>
      </c>
      <c r="B155" s="34"/>
      <c r="C155" s="23"/>
      <c r="D155" s="108">
        <f>+'5. 2005 Rate Sch. with PILs'!D156+'7. 2003 Data &amp; add RSVA'!C477+'8. 2003 Data &amp; Non-RSVA'!C460</f>
        <v>4.519230142673625</v>
      </c>
      <c r="E155" s="15"/>
      <c r="F155" s="15"/>
      <c r="G155" s="15"/>
    </row>
    <row r="156" spans="2:7" ht="12.75">
      <c r="B156" s="15"/>
      <c r="C156" s="15"/>
      <c r="D156" s="49"/>
      <c r="E156" s="15"/>
      <c r="F156" s="15"/>
      <c r="G156" s="15"/>
    </row>
    <row r="157" spans="2:7" ht="12.75">
      <c r="B157" s="15"/>
      <c r="C157" s="15"/>
      <c r="D157" s="49"/>
      <c r="E157" s="15"/>
      <c r="F157" s="15"/>
      <c r="G157" s="15"/>
    </row>
    <row r="158" spans="1:7" ht="12.75">
      <c r="A158" s="484" t="s">
        <v>215</v>
      </c>
      <c r="B158" s="15"/>
      <c r="C158" s="15"/>
      <c r="D158" s="49"/>
      <c r="E158" s="15"/>
      <c r="F158" s="15"/>
      <c r="G158" s="15"/>
    </row>
    <row r="159" spans="1:7" ht="12.75">
      <c r="A159" s="109" t="s">
        <v>70</v>
      </c>
      <c r="B159" s="34"/>
      <c r="C159" s="23"/>
      <c r="D159" s="107">
        <f>+'5. 2005 Rate Sch. with PILs'!D160+'7. 2003 Data &amp; add RSVA'!B492+'8. 2003 Data &amp; Non-RSVA'!B492</f>
        <v>0.17</v>
      </c>
      <c r="E159" s="15"/>
      <c r="F159" s="15"/>
      <c r="G159" s="15"/>
    </row>
    <row r="160" spans="1:7" ht="12.75">
      <c r="A160" s="112"/>
      <c r="C160" s="15"/>
      <c r="D160" s="15"/>
      <c r="E160" s="15"/>
      <c r="F160" s="15"/>
      <c r="G160" s="15"/>
    </row>
    <row r="161" spans="1:7" ht="12.75">
      <c r="A161" s="109" t="s">
        <v>195</v>
      </c>
      <c r="B161" s="34"/>
      <c r="C161" s="23"/>
      <c r="D161" s="108">
        <f>+'5. 2005 Rate Sch. with PILs'!D162+'7. 2003 Data &amp; add RSVA'!C494+'8. 2003 Data &amp; Non-RSVA'!C494</f>
        <v>2.87</v>
      </c>
      <c r="E161" s="15"/>
      <c r="F161" s="15"/>
      <c r="G161" s="15"/>
    </row>
    <row r="162" spans="2:7" ht="12.75">
      <c r="B162" s="15"/>
      <c r="C162" s="15"/>
      <c r="D162" s="49"/>
      <c r="E162" s="15"/>
      <c r="F162" s="15"/>
      <c r="G162" s="15"/>
    </row>
    <row r="163" spans="2:7" ht="12.75">
      <c r="B163" s="15"/>
      <c r="C163" s="15"/>
      <c r="D163" s="49"/>
      <c r="E163" s="15"/>
      <c r="F163" s="15"/>
      <c r="G163" s="15"/>
    </row>
    <row r="164" spans="1:7" ht="12.75">
      <c r="A164" s="484" t="s">
        <v>216</v>
      </c>
      <c r="B164" s="15"/>
      <c r="C164" s="15"/>
      <c r="D164" s="49"/>
      <c r="E164" s="15"/>
      <c r="F164" s="15"/>
      <c r="G164" s="15"/>
    </row>
    <row r="165" spans="1:7" ht="12.75">
      <c r="A165" s="109" t="s">
        <v>70</v>
      </c>
      <c r="B165" s="34"/>
      <c r="C165" s="23"/>
      <c r="D165" s="107">
        <f>+'5. 2005 Rate Sch. with PILs'!D166+'7. 2003 Data &amp; add RSVA'!B509+'8. 2003 Data &amp; Non-RSVA'!B509</f>
        <v>0.5152718283864239</v>
      </c>
      <c r="E165" s="15"/>
      <c r="F165" s="15"/>
      <c r="G165" s="15"/>
    </row>
    <row r="166" spans="1:7" ht="12.75">
      <c r="A166" s="112"/>
      <c r="C166" s="15"/>
      <c r="D166" s="15"/>
      <c r="E166" s="15"/>
      <c r="F166" s="15"/>
      <c r="G166" s="15"/>
    </row>
    <row r="167" spans="1:7" ht="12.75">
      <c r="A167" s="109" t="s">
        <v>195</v>
      </c>
      <c r="B167" s="34"/>
      <c r="C167" s="23"/>
      <c r="D167" s="108">
        <f>+'5. 2005 Rate Sch. with PILs'!D168+'7. 2003 Data &amp; add RSVA'!C511+'8. 2003 Data &amp; Non-RSVA'!C511</f>
        <v>0.5224524096962097</v>
      </c>
      <c r="E167" s="15"/>
      <c r="F167" s="15"/>
      <c r="G167" s="15"/>
    </row>
    <row r="168" spans="2:7" ht="12.75">
      <c r="B168" s="15"/>
      <c r="C168" s="15"/>
      <c r="D168" s="49"/>
      <c r="E168" s="15"/>
      <c r="F168" s="15"/>
      <c r="G168" s="15"/>
    </row>
    <row r="169" spans="2:7" ht="12.75">
      <c r="B169" s="15"/>
      <c r="C169" s="15"/>
      <c r="D169" s="49"/>
      <c r="E169" s="15"/>
      <c r="F169" s="15"/>
      <c r="G169" s="15"/>
    </row>
    <row r="170" spans="1:7" ht="12.75">
      <c r="A170" s="484" t="s">
        <v>217</v>
      </c>
      <c r="B170" s="15"/>
      <c r="C170" s="15"/>
      <c r="D170" s="49"/>
      <c r="E170" s="15"/>
      <c r="F170" s="15"/>
      <c r="G170" s="15"/>
    </row>
    <row r="171" spans="1:7" ht="12.75">
      <c r="A171" s="109" t="s">
        <v>70</v>
      </c>
      <c r="B171" s="34"/>
      <c r="C171" s="23"/>
      <c r="D171" s="107">
        <f>+'5. 2005 Rate Sch. with PILs'!D172+'7. 2003 Data &amp; add RSVA'!B526+'8. 2003 Data &amp; Non-RSVA'!B526</f>
        <v>2.481181762228966</v>
      </c>
      <c r="E171" s="15"/>
      <c r="F171" s="15"/>
      <c r="G171" s="15"/>
    </row>
    <row r="172" spans="1:7" ht="12.75">
      <c r="A172" s="112"/>
      <c r="C172" s="15"/>
      <c r="D172" s="15"/>
      <c r="E172" s="15"/>
      <c r="F172" s="15"/>
      <c r="G172" s="15"/>
    </row>
    <row r="173" spans="1:7" ht="12.75">
      <c r="A173" s="109" t="s">
        <v>195</v>
      </c>
      <c r="B173" s="34"/>
      <c r="C173" s="23"/>
      <c r="D173" s="108">
        <f>+'5. 2005 Rate Sch. with PILs'!D174+'7. 2003 Data &amp; add RSVA'!C528+'8. 2003 Data &amp; Non-RSVA'!C528</f>
        <v>2.54736083886073</v>
      </c>
      <c r="E173" s="15"/>
      <c r="F173" s="15"/>
      <c r="G173" s="15"/>
    </row>
    <row r="174" spans="2:7" ht="12.75">
      <c r="B174" s="15"/>
      <c r="C174" s="15"/>
      <c r="D174" s="49"/>
      <c r="E174" s="15"/>
      <c r="F174" s="15"/>
      <c r="G174" s="15"/>
    </row>
    <row r="175" spans="2:7" ht="12.75">
      <c r="B175" s="15"/>
      <c r="C175" s="15"/>
      <c r="D175" s="49"/>
      <c r="E175" s="15"/>
      <c r="F175" s="15"/>
      <c r="G175" s="15"/>
    </row>
    <row r="176" spans="1:7" ht="12.75">
      <c r="A176" s="484" t="s">
        <v>218</v>
      </c>
      <c r="B176" s="15"/>
      <c r="C176" s="15"/>
      <c r="D176" s="49"/>
      <c r="E176" s="15"/>
      <c r="F176" s="15"/>
      <c r="G176" s="15"/>
    </row>
    <row r="177" spans="1:7" ht="12.75">
      <c r="A177" s="109" t="s">
        <v>70</v>
      </c>
      <c r="B177" s="34"/>
      <c r="C177" s="23"/>
      <c r="D177" s="107">
        <f>+'5. 2005 Rate Sch. with PILs'!D178+'7. 2003 Data &amp; add RSVA'!B543+'8. 2003 Data &amp; Non-RSVA'!B543</f>
        <v>4.012423817305403</v>
      </c>
      <c r="E177" s="15"/>
      <c r="F177" s="15"/>
      <c r="G177" s="15"/>
    </row>
    <row r="178" spans="1:7" ht="12.75">
      <c r="A178" s="112"/>
      <c r="C178" s="15"/>
      <c r="D178" s="15"/>
      <c r="E178" s="15"/>
      <c r="F178" s="15"/>
      <c r="G178" s="15"/>
    </row>
    <row r="179" spans="1:7" ht="12.75">
      <c r="A179" s="109" t="s">
        <v>195</v>
      </c>
      <c r="B179" s="34"/>
      <c r="C179" s="23"/>
      <c r="D179" s="108">
        <f>+'5. 2005 Rate Sch. with PILs'!D180+'7. 2003 Data &amp; add RSVA'!C545+'8. 2003 Data &amp; Non-RSVA'!C545</f>
        <v>3.120638991195132</v>
      </c>
      <c r="E179" s="15"/>
      <c r="F179" s="15"/>
      <c r="G179" s="15"/>
    </row>
    <row r="180" spans="2:7" ht="12.75">
      <c r="B180" s="15"/>
      <c r="C180" s="15"/>
      <c r="D180" s="49"/>
      <c r="E180" s="15"/>
      <c r="F180" s="15"/>
      <c r="G180" s="15"/>
    </row>
    <row r="181" spans="2:7" ht="12.75">
      <c r="B181" s="15"/>
      <c r="C181" s="15"/>
      <c r="D181" s="49"/>
      <c r="E181" s="15"/>
      <c r="F181" s="15"/>
      <c r="G181" s="15"/>
    </row>
    <row r="182" spans="1:7" ht="12.75">
      <c r="A182" s="484" t="s">
        <v>219</v>
      </c>
      <c r="B182" s="15"/>
      <c r="C182" s="15"/>
      <c r="D182" s="49"/>
      <c r="E182" s="15"/>
      <c r="F182" s="15"/>
      <c r="G182" s="15"/>
    </row>
    <row r="183" spans="1:7" ht="12.75">
      <c r="A183" s="109" t="s">
        <v>70</v>
      </c>
      <c r="B183" s="34"/>
      <c r="C183" s="23"/>
      <c r="D183" s="107">
        <f>+'5. 2005 Rate Sch. with PILs'!D184+'7. 2003 Data &amp; add RSVA'!B560+'8. 2003 Data &amp; Non-RSVA'!B560</f>
        <v>2.7417572052146464</v>
      </c>
      <c r="E183" s="15"/>
      <c r="F183" s="15"/>
      <c r="G183" s="15"/>
    </row>
    <row r="184" spans="1:7" ht="12.75">
      <c r="A184" s="112"/>
      <c r="C184" s="15"/>
      <c r="D184" s="15"/>
      <c r="E184" s="15"/>
      <c r="F184" s="15"/>
      <c r="G184" s="15"/>
    </row>
    <row r="185" spans="1:7" ht="12.75">
      <c r="A185" s="109" t="s">
        <v>195</v>
      </c>
      <c r="B185" s="34"/>
      <c r="C185" s="23"/>
      <c r="D185" s="108">
        <f>+'5. 2005 Rate Sch. with PILs'!D186+'7. 2003 Data &amp; add RSVA'!C562+'8. 2003 Data &amp; Non-RSVA'!C562</f>
        <v>3.6888194632301112</v>
      </c>
      <c r="E185" s="15"/>
      <c r="F185" s="15"/>
      <c r="G185" s="15"/>
    </row>
    <row r="186" spans="2:7" ht="12.75">
      <c r="B186" s="15"/>
      <c r="C186" s="15"/>
      <c r="D186" s="49"/>
      <c r="E186" s="15"/>
      <c r="F186" s="15"/>
      <c r="G186" s="15"/>
    </row>
    <row r="187" spans="2:7" ht="12.75">
      <c r="B187" s="15"/>
      <c r="C187" s="15"/>
      <c r="D187" s="49"/>
      <c r="E187" s="15"/>
      <c r="F187" s="15"/>
      <c r="G187" s="15"/>
    </row>
    <row r="188" spans="1:7" ht="12.75">
      <c r="A188" s="484" t="s">
        <v>220</v>
      </c>
      <c r="B188" s="15"/>
      <c r="C188" s="15"/>
      <c r="D188" s="49"/>
      <c r="E188" s="15"/>
      <c r="F188" s="15"/>
      <c r="G188" s="15"/>
    </row>
    <row r="189" spans="1:7" ht="12.75">
      <c r="A189" s="109" t="s">
        <v>70</v>
      </c>
      <c r="B189" s="34"/>
      <c r="C189" s="23"/>
      <c r="D189" s="107">
        <f>+'5. 2005 Rate Sch. with PILs'!D190+'7. 2003 Data &amp; add RSVA'!B577+'8. 2003 Data &amp; Non-RSVA'!B577</f>
        <v>3.406504547604172</v>
      </c>
      <c r="E189" s="15"/>
      <c r="F189" s="15"/>
      <c r="G189" s="15"/>
    </row>
    <row r="190" spans="1:7" ht="12.75">
      <c r="A190" s="112"/>
      <c r="C190" s="15"/>
      <c r="D190" s="15"/>
      <c r="E190" s="15"/>
      <c r="F190" s="15"/>
      <c r="G190" s="15"/>
    </row>
    <row r="191" spans="1:7" ht="12.75">
      <c r="A191" s="109" t="s">
        <v>195</v>
      </c>
      <c r="B191" s="34"/>
      <c r="C191" s="23"/>
      <c r="D191" s="108">
        <f>+'5. 2005 Rate Sch. with PILs'!D192+'7. 2003 Data &amp; add RSVA'!C579+'8. 2003 Data &amp; Non-RSVA'!C579</f>
        <v>4.603533236187455</v>
      </c>
      <c r="E191" s="15"/>
      <c r="F191" s="15"/>
      <c r="G191" s="15"/>
    </row>
    <row r="192" spans="2:7" ht="12.75">
      <c r="B192" s="15"/>
      <c r="C192" s="15"/>
      <c r="D192" s="49"/>
      <c r="E192" s="15"/>
      <c r="F192" s="15"/>
      <c r="G192" s="15"/>
    </row>
    <row r="193" spans="2:7" ht="12.75">
      <c r="B193" s="15"/>
      <c r="C193" s="15"/>
      <c r="D193" s="49"/>
      <c r="E193" s="15"/>
      <c r="F193" s="15"/>
      <c r="G193" s="15"/>
    </row>
    <row r="194" spans="1:7" ht="12.75">
      <c r="A194" s="484" t="s">
        <v>221</v>
      </c>
      <c r="B194" s="15"/>
      <c r="C194" s="15"/>
      <c r="D194" s="49"/>
      <c r="E194" s="15"/>
      <c r="F194" s="15"/>
      <c r="G194" s="15"/>
    </row>
    <row r="195" spans="1:7" ht="12.75">
      <c r="A195" s="109" t="s">
        <v>70</v>
      </c>
      <c r="B195" s="34"/>
      <c r="C195" s="23"/>
      <c r="D195" s="107">
        <f>+'5. 2005 Rate Sch. with PILs'!D196+'7. 2003 Data &amp; add RSVA'!B594+'8. 2003 Data &amp; Non-RSVA'!B594</f>
        <v>1.0667351896092225</v>
      </c>
      <c r="E195" s="15"/>
      <c r="F195" s="15"/>
      <c r="G195" s="15"/>
    </row>
    <row r="196" spans="1:7" ht="12.75">
      <c r="A196" s="112"/>
      <c r="C196" s="15"/>
      <c r="D196" s="15"/>
      <c r="E196" s="15"/>
      <c r="F196" s="15"/>
      <c r="G196" s="15"/>
    </row>
    <row r="197" spans="1:7" ht="12.75">
      <c r="A197" s="109" t="s">
        <v>195</v>
      </c>
      <c r="B197" s="34"/>
      <c r="C197" s="23"/>
      <c r="D197" s="108">
        <f>+'5. 2005 Rate Sch. with PILs'!D198+'7. 2003 Data &amp; add RSVA'!C596+'8. 2003 Data &amp; Non-RSVA'!C596</f>
        <v>2.0154789635923094</v>
      </c>
      <c r="E197" s="15"/>
      <c r="F197" s="15"/>
      <c r="G197" s="15"/>
    </row>
    <row r="198" spans="2:7" ht="12.75">
      <c r="B198" s="15"/>
      <c r="C198" s="15"/>
      <c r="D198" s="49"/>
      <c r="E198" s="15"/>
      <c r="F198" s="15"/>
      <c r="G198" s="15"/>
    </row>
    <row r="199" spans="2:7" ht="12.75">
      <c r="B199" s="15"/>
      <c r="C199" s="15"/>
      <c r="D199" s="49"/>
      <c r="E199" s="15"/>
      <c r="F199" s="15"/>
      <c r="G199" s="15"/>
    </row>
    <row r="200" spans="1:7" ht="12.75">
      <c r="A200" s="12" t="s">
        <v>7</v>
      </c>
      <c r="B200" s="15"/>
      <c r="C200" s="15"/>
      <c r="D200" s="49"/>
      <c r="E200" s="15"/>
      <c r="F200" s="15"/>
      <c r="G200" s="15"/>
    </row>
    <row r="201" spans="2:7" ht="12.75">
      <c r="B201" s="15"/>
      <c r="C201" s="15"/>
      <c r="D201" s="49"/>
      <c r="E201" s="15"/>
      <c r="F201" s="15"/>
      <c r="G201" s="15"/>
    </row>
    <row r="202" spans="1:7" ht="18">
      <c r="A202" s="55" t="s">
        <v>8</v>
      </c>
      <c r="B202" s="15"/>
      <c r="C202" s="15"/>
      <c r="D202" s="49"/>
      <c r="E202" s="15"/>
      <c r="F202" s="15"/>
      <c r="G202" s="15"/>
    </row>
    <row r="203" spans="2:7" ht="12.75">
      <c r="B203" s="15"/>
      <c r="C203" s="15"/>
      <c r="D203" s="49"/>
      <c r="E203" s="15"/>
      <c r="F203" s="15"/>
      <c r="G203" s="15"/>
    </row>
    <row r="204" spans="1:7" ht="12.75">
      <c r="A204" s="109" t="s">
        <v>70</v>
      </c>
      <c r="B204" s="23"/>
      <c r="C204" s="23"/>
      <c r="D204" s="107"/>
      <c r="E204" s="15"/>
      <c r="F204" s="15"/>
      <c r="G204" s="15"/>
    </row>
    <row r="205" spans="1:7" ht="12.75">
      <c r="A205" s="112"/>
      <c r="B205" s="15"/>
      <c r="C205" s="15"/>
      <c r="D205" s="49"/>
      <c r="E205" s="15"/>
      <c r="F205" s="15"/>
      <c r="G205" s="15"/>
    </row>
    <row r="206" spans="1:7" ht="12.75">
      <c r="A206" s="109" t="s">
        <v>195</v>
      </c>
      <c r="B206" s="51"/>
      <c r="C206" s="23"/>
      <c r="D206" s="108"/>
      <c r="E206" s="15"/>
      <c r="F206" s="15"/>
      <c r="G206" s="15"/>
    </row>
    <row r="207" spans="2:7" ht="12.75">
      <c r="B207" s="15"/>
      <c r="C207" s="15"/>
      <c r="D207" s="49"/>
      <c r="E207" s="15"/>
      <c r="F207" s="15"/>
      <c r="G207" s="15"/>
    </row>
    <row r="208" spans="2:7" ht="12.75">
      <c r="B208" s="15"/>
      <c r="C208" s="15"/>
      <c r="D208" s="49"/>
      <c r="E208" s="15"/>
      <c r="F208" s="15"/>
      <c r="G208" s="15"/>
    </row>
    <row r="209" spans="1:7" ht="18">
      <c r="A209" s="55" t="s">
        <v>9</v>
      </c>
      <c r="B209" s="15"/>
      <c r="C209" s="15"/>
      <c r="D209" s="49"/>
      <c r="E209" s="15"/>
      <c r="F209" s="15"/>
      <c r="G209" s="15"/>
    </row>
    <row r="210" spans="2:7" ht="12.75">
      <c r="B210" s="15"/>
      <c r="C210" s="15"/>
      <c r="D210" s="49"/>
      <c r="E210" s="15"/>
      <c r="F210" s="15"/>
      <c r="G210" s="15"/>
    </row>
    <row r="211" spans="1:7" ht="12.75">
      <c r="A211" s="109" t="s">
        <v>70</v>
      </c>
      <c r="B211" s="34"/>
      <c r="C211" s="23"/>
      <c r="D211" s="107">
        <f>+'5. 2005 Rate Sch. with PILs'!D212+'7. 2003 Data &amp; add RSVA'!B614+'8. 2003 Data &amp; Non-RSVA'!B614</f>
        <v>3.2972791370398045</v>
      </c>
      <c r="E211" s="15"/>
      <c r="F211" s="15"/>
      <c r="G211" s="15"/>
    </row>
    <row r="212" spans="1:7" ht="12.75">
      <c r="A212" s="112"/>
      <c r="C212" s="15"/>
      <c r="D212" s="15"/>
      <c r="E212" s="15"/>
      <c r="F212" s="15"/>
      <c r="G212" s="15"/>
    </row>
    <row r="213" spans="1:7" ht="12.75">
      <c r="A213" s="109" t="s">
        <v>195</v>
      </c>
      <c r="B213" s="34"/>
      <c r="C213" s="23"/>
      <c r="D213" s="108">
        <f>+'5. 2005 Rate Sch. with PILs'!D214+'7. 2003 Data &amp; add RSVA'!C616+'8. 2003 Data &amp; Non-RSVA'!C616</f>
        <v>5164.943274510951</v>
      </c>
      <c r="E213" s="15"/>
      <c r="F213" s="15"/>
      <c r="G213" s="15"/>
    </row>
    <row r="214" spans="2:7" ht="12.75">
      <c r="B214" s="15"/>
      <c r="C214" s="15"/>
      <c r="D214" s="49"/>
      <c r="E214" s="15"/>
      <c r="F214" s="15"/>
      <c r="G214" s="15"/>
    </row>
    <row r="215" spans="1:7" ht="12.75">
      <c r="A215" s="12" t="s">
        <v>7</v>
      </c>
      <c r="B215" s="15"/>
      <c r="C215" s="15"/>
      <c r="D215" s="49"/>
      <c r="E215" s="15"/>
      <c r="F215" s="15"/>
      <c r="G215" s="15"/>
    </row>
    <row r="216" spans="2:7" ht="12.75">
      <c r="B216" s="15"/>
      <c r="C216" s="15"/>
      <c r="D216" s="49"/>
      <c r="E216" s="15"/>
      <c r="F216" s="15"/>
      <c r="G216" s="15"/>
    </row>
    <row r="217" spans="1:7" ht="18">
      <c r="A217" s="55" t="s">
        <v>10</v>
      </c>
      <c r="B217" s="15"/>
      <c r="C217" s="15"/>
      <c r="D217" s="49"/>
      <c r="E217" s="15"/>
      <c r="F217" s="15"/>
      <c r="G217" s="15"/>
    </row>
    <row r="218" spans="2:7" ht="12.75">
      <c r="B218" s="15"/>
      <c r="C218" s="15"/>
      <c r="D218" s="6"/>
      <c r="E218" s="15"/>
      <c r="F218" s="15"/>
      <c r="G218" s="15"/>
    </row>
    <row r="219" spans="1:7" ht="12.75">
      <c r="A219" s="109" t="s">
        <v>70</v>
      </c>
      <c r="B219" s="23"/>
      <c r="C219" s="23"/>
      <c r="D219" s="107"/>
      <c r="E219" s="15"/>
      <c r="F219" s="15"/>
      <c r="G219" s="15"/>
    </row>
    <row r="220" spans="1:7" ht="12.75">
      <c r="A220" s="112"/>
      <c r="B220" s="15"/>
      <c r="C220" s="15"/>
      <c r="D220" s="49"/>
      <c r="E220" s="15"/>
      <c r="F220" s="15"/>
      <c r="G220" s="15"/>
    </row>
    <row r="221" spans="1:7" ht="12.75">
      <c r="A221" s="109" t="s">
        <v>195</v>
      </c>
      <c r="B221" s="51"/>
      <c r="C221" s="23"/>
      <c r="D221" s="108"/>
      <c r="E221" s="15"/>
      <c r="F221" s="15"/>
      <c r="G221" s="15"/>
    </row>
    <row r="222" spans="2:7" ht="12.75">
      <c r="B222" s="15"/>
      <c r="C222" s="15"/>
      <c r="D222" s="49"/>
      <c r="E222" s="15"/>
      <c r="F222" s="15"/>
      <c r="G222" s="15"/>
    </row>
  </sheetData>
  <sheetProtection/>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80" r:id="rId1"/>
  <headerFooter alignWithMargins="0">
    <oddHeader>&amp;R&amp;P of &amp;N</oddHeader>
  </headerFooter>
  <rowBreaks count="5" manualBreakCount="5">
    <brk id="49" max="255" man="1"/>
    <brk id="86" max="255" man="1"/>
    <brk id="131" max="255" man="1"/>
    <brk id="168" max="255" man="1"/>
    <brk id="198" max="255" man="1"/>
  </rowBreaks>
</worksheet>
</file>

<file path=xl/worksheets/sheet11.xml><?xml version="1.0" encoding="utf-8"?>
<worksheet xmlns="http://schemas.openxmlformats.org/spreadsheetml/2006/main" xmlns:r="http://schemas.openxmlformats.org/officeDocument/2006/relationships">
  <dimension ref="A1:L25"/>
  <sheetViews>
    <sheetView zoomScalePageLayoutView="0" workbookViewId="0" topLeftCell="A1">
      <selection activeCell="A7" sqref="A7:E7"/>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150</v>
      </c>
    </row>
    <row r="2" ht="15" thickBot="1"/>
    <row r="3" spans="1:8" s="9" customFormat="1" ht="15.75">
      <c r="A3" s="555" t="str">
        <f>"Name of Utility:      "&amp;'Info Sheet'!B4</f>
        <v>Name of Utility:      Chatham-Kent Hydro</v>
      </c>
      <c r="B3" s="556"/>
      <c r="C3" s="556"/>
      <c r="D3" s="556"/>
      <c r="E3" s="556"/>
      <c r="F3" s="557"/>
      <c r="G3" s="557"/>
      <c r="H3" s="394" t="str">
        <f>'Info Sheet'!$B$21</f>
        <v>2005.V1.1</v>
      </c>
    </row>
    <row r="4" spans="1:8" s="9" customFormat="1" ht="15.75">
      <c r="A4" s="543" t="str">
        <f>"License Number:   "&amp;'Info Sheet'!B6</f>
        <v>License Number:   ED-2002-0563</v>
      </c>
      <c r="B4" s="558"/>
      <c r="C4" s="558"/>
      <c r="D4" s="558"/>
      <c r="E4" s="558"/>
      <c r="F4" s="559"/>
      <c r="G4" s="559"/>
      <c r="H4" s="395" t="str">
        <f>'Info Sheet'!B8</f>
        <v>RP-2005-0013</v>
      </c>
    </row>
    <row r="5" spans="1:8" s="9" customFormat="1" ht="15.75">
      <c r="A5" s="543" t="str">
        <f>"Name of Contact:  "&amp;'Info Sheet'!B12</f>
        <v>Name of Contact:  Jim Hogan</v>
      </c>
      <c r="B5" s="558"/>
      <c r="C5" s="558"/>
      <c r="D5" s="558"/>
      <c r="E5" s="558"/>
      <c r="F5" s="559"/>
      <c r="G5" s="559"/>
      <c r="H5" s="395" t="str">
        <f>'Info Sheet'!B10</f>
        <v>EB-2005-0017</v>
      </c>
    </row>
    <row r="6" spans="1:12" s="9" customFormat="1" ht="15.75">
      <c r="A6" s="560" t="str">
        <f>"E- Mail Address:    "&amp;'Info Sheet'!B14</f>
        <v>E- Mail Address:    jimhogan@ckenergy.com</v>
      </c>
      <c r="B6" s="558"/>
      <c r="C6" s="558"/>
      <c r="D6" s="558"/>
      <c r="E6" s="558"/>
      <c r="F6" s="559"/>
      <c r="G6" s="559"/>
      <c r="H6" s="100"/>
      <c r="K6" s="517"/>
      <c r="L6" s="517"/>
    </row>
    <row r="7" spans="1:8" s="9" customFormat="1" ht="15.75">
      <c r="A7" s="543" t="str">
        <f>"Phone Number:     "&amp;'Info Sheet'!B16</f>
        <v>Phone Number:     </v>
      </c>
      <c r="B7" s="544"/>
      <c r="C7" s="544"/>
      <c r="D7" s="544"/>
      <c r="E7" s="544"/>
      <c r="F7" s="517" t="str">
        <f>'Info Sheet'!$C$16&amp;" "&amp;'Info Sheet'!$D$16</f>
        <v>519-352-6300 (277) </v>
      </c>
      <c r="G7" s="517"/>
      <c r="H7" s="100"/>
    </row>
    <row r="8" spans="1:8" s="9" customFormat="1" ht="16.5" thickBot="1">
      <c r="A8" s="545" t="str">
        <f>"Date:                      "&amp;('Info Sheet'!B18)</f>
        <v>Date:                      March 10, 2005</v>
      </c>
      <c r="B8" s="546"/>
      <c r="C8" s="546"/>
      <c r="D8" s="546"/>
      <c r="E8" s="546"/>
      <c r="F8" s="547"/>
      <c r="G8" s="547"/>
      <c r="H8" s="149"/>
    </row>
    <row r="9" spans="6:8" ht="14.25">
      <c r="F9" s="358"/>
      <c r="G9" s="358"/>
      <c r="H9" s="358"/>
    </row>
    <row r="10" spans="1:9" ht="15" customHeight="1">
      <c r="A10" s="554" t="s">
        <v>196</v>
      </c>
      <c r="B10" s="554"/>
      <c r="C10" s="554"/>
      <c r="D10" s="554"/>
      <c r="E10" s="554"/>
      <c r="F10" s="554"/>
      <c r="G10" s="554"/>
      <c r="H10" s="554"/>
      <c r="I10" s="554"/>
    </row>
    <row r="11" spans="1:9" ht="33.75" customHeight="1">
      <c r="A11" s="554"/>
      <c r="B11" s="554"/>
      <c r="C11" s="554"/>
      <c r="D11" s="554"/>
      <c r="E11" s="554"/>
      <c r="F11" s="554"/>
      <c r="G11" s="554"/>
      <c r="H11" s="554"/>
      <c r="I11" s="554"/>
    </row>
    <row r="14" ht="15" thickBot="1"/>
    <row r="15" spans="2:8" ht="14.25">
      <c r="B15" s="551" t="s">
        <v>140</v>
      </c>
      <c r="C15" s="363"/>
      <c r="D15" s="363"/>
      <c r="E15" s="363"/>
      <c r="F15" s="363"/>
      <c r="G15" s="363"/>
      <c r="H15" s="548" t="s">
        <v>172</v>
      </c>
    </row>
    <row r="16" spans="2:8" ht="11.25" customHeight="1">
      <c r="B16" s="552"/>
      <c r="C16" s="364"/>
      <c r="D16" s="364"/>
      <c r="E16" s="364"/>
      <c r="F16" s="364"/>
      <c r="G16" s="364"/>
      <c r="H16" s="549"/>
    </row>
    <row r="17" spans="2:8" ht="15" thickBot="1">
      <c r="B17" s="553"/>
      <c r="C17" s="386"/>
      <c r="D17" s="386"/>
      <c r="E17" s="386"/>
      <c r="F17" s="386"/>
      <c r="G17" s="386"/>
      <c r="H17" s="550"/>
    </row>
    <row r="18" spans="2:8" ht="14.25">
      <c r="B18" s="147" t="s">
        <v>16</v>
      </c>
      <c r="C18" s="358"/>
      <c r="D18" s="358"/>
      <c r="E18" s="358"/>
      <c r="F18" s="358"/>
      <c r="G18" s="358"/>
      <c r="H18" s="426"/>
    </row>
    <row r="19" spans="2:8" ht="14.25">
      <c r="B19" s="147" t="s">
        <v>72</v>
      </c>
      <c r="C19" s="358"/>
      <c r="D19" s="358"/>
      <c r="E19" s="358"/>
      <c r="F19" s="358"/>
      <c r="G19" s="358"/>
      <c r="H19" s="426"/>
    </row>
    <row r="20" spans="2:8" ht="14.25">
      <c r="B20" s="147" t="s">
        <v>73</v>
      </c>
      <c r="C20" s="358"/>
      <c r="D20" s="358"/>
      <c r="E20" s="358"/>
      <c r="F20" s="358"/>
      <c r="G20" s="358"/>
      <c r="H20" s="426"/>
    </row>
    <row r="21" spans="2:8" ht="14.25">
      <c r="B21" s="147" t="s">
        <v>74</v>
      </c>
      <c r="C21" s="358"/>
      <c r="D21" s="358"/>
      <c r="E21" s="358"/>
      <c r="F21" s="358"/>
      <c r="G21" s="358"/>
      <c r="H21" s="426"/>
    </row>
    <row r="22" spans="2:8" ht="14.25">
      <c r="B22" s="147" t="s">
        <v>141</v>
      </c>
      <c r="C22" s="358"/>
      <c r="D22" s="358"/>
      <c r="E22" s="358"/>
      <c r="F22" s="358"/>
      <c r="G22" s="358"/>
      <c r="H22" s="426"/>
    </row>
    <row r="23" spans="2:8" ht="14.25">
      <c r="B23" s="147" t="s">
        <v>75</v>
      </c>
      <c r="C23" s="358"/>
      <c r="D23" s="358"/>
      <c r="E23" s="358"/>
      <c r="F23" s="358"/>
      <c r="G23" s="358"/>
      <c r="H23" s="426"/>
    </row>
    <row r="24" spans="2:8" ht="14.25">
      <c r="B24" s="147" t="s">
        <v>76</v>
      </c>
      <c r="C24" s="358"/>
      <c r="D24" s="358"/>
      <c r="E24" s="358"/>
      <c r="F24" s="358"/>
      <c r="G24" s="358"/>
      <c r="H24" s="426"/>
    </row>
    <row r="25" spans="2:8" ht="15" thickBot="1">
      <c r="B25" s="365" t="s">
        <v>77</v>
      </c>
      <c r="C25" s="359"/>
      <c r="D25" s="359"/>
      <c r="E25" s="359"/>
      <c r="F25" s="359"/>
      <c r="G25" s="359"/>
      <c r="H25" s="427"/>
    </row>
  </sheetData>
  <sheetProtection/>
  <mergeCells count="11">
    <mergeCell ref="A3:G3"/>
    <mergeCell ref="A4:G4"/>
    <mergeCell ref="A5:G5"/>
    <mergeCell ref="A6:G6"/>
    <mergeCell ref="K6:L6"/>
    <mergeCell ref="A7:E7"/>
    <mergeCell ref="F7:G7"/>
    <mergeCell ref="A8:G8"/>
    <mergeCell ref="H15:H17"/>
    <mergeCell ref="B15:B17"/>
    <mergeCell ref="A10:I11"/>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dimension ref="A1:H852"/>
  <sheetViews>
    <sheetView view="pageBreakPreview" zoomScale="60" zoomScalePageLayoutView="0" workbookViewId="0" topLeftCell="A1">
      <selection activeCell="A830" sqref="A830"/>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30.421875" style="9" customWidth="1"/>
    <col min="6" max="6" width="20.57421875" style="9" customWidth="1"/>
    <col min="7" max="7" width="14.00390625" style="9" customWidth="1"/>
    <col min="8" max="16384" width="9.140625" style="9" customWidth="1"/>
  </cols>
  <sheetData>
    <row r="1" spans="1:8" ht="15.75">
      <c r="A1" s="561" t="str">
        <f>IF(ISBLANK('Info Sheet'!B4),"",'Info Sheet'!B4)</f>
        <v>Chatham-Kent Hydro</v>
      </c>
      <c r="B1" s="561"/>
      <c r="C1" s="561"/>
      <c r="D1" s="561"/>
      <c r="E1" s="561"/>
      <c r="F1" s="561"/>
      <c r="G1" s="561"/>
      <c r="H1" s="561"/>
    </row>
    <row r="2" spans="1:8" ht="15.75">
      <c r="A2" s="561" t="str">
        <f>IF(ISBLANK('Info Sheet'!B6),"",'Info Sheet'!B8&amp;"    "&amp;'Info Sheet'!B10)</f>
        <v>RP-2005-0013    EB-2005-0017</v>
      </c>
      <c r="B2" s="561"/>
      <c r="C2" s="561"/>
      <c r="D2" s="561"/>
      <c r="E2" s="561"/>
      <c r="F2" s="561"/>
      <c r="G2" s="561"/>
      <c r="H2" s="561"/>
    </row>
    <row r="3" spans="1:8" ht="15.75">
      <c r="A3" s="561" t="s">
        <v>173</v>
      </c>
      <c r="B3" s="561"/>
      <c r="C3" s="561"/>
      <c r="D3" s="561"/>
      <c r="E3" s="561"/>
      <c r="F3" s="561"/>
      <c r="G3" s="561"/>
      <c r="H3" s="561"/>
    </row>
    <row r="4" spans="1:8" ht="15.75" customHeight="1">
      <c r="A4" s="562" t="s">
        <v>174</v>
      </c>
      <c r="B4" s="562"/>
      <c r="C4" s="562"/>
      <c r="D4" s="562"/>
      <c r="E4" s="562"/>
      <c r="F4" s="562"/>
      <c r="G4" s="562"/>
      <c r="H4" s="562"/>
    </row>
    <row r="5" spans="1:8" ht="15.75" customHeight="1">
      <c r="A5" s="372"/>
      <c r="B5" s="372"/>
      <c r="C5" s="372"/>
      <c r="D5" s="563" t="s">
        <v>242</v>
      </c>
      <c r="E5" s="563"/>
      <c r="F5" s="372"/>
      <c r="G5" s="372"/>
      <c r="H5" s="372"/>
    </row>
    <row r="6" spans="1:5" ht="15.75">
      <c r="A6" s="36"/>
      <c r="D6" s="132"/>
      <c r="E6" s="36"/>
    </row>
    <row r="7" spans="1:5" ht="15.75">
      <c r="A7" s="387" t="s">
        <v>144</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66"/>
      <c r="C11" s="367"/>
      <c r="D11" s="131"/>
      <c r="E11" s="304"/>
      <c r="G11" s="15"/>
    </row>
    <row r="12" spans="1:7" ht="15">
      <c r="A12" s="132"/>
      <c r="B12" s="304"/>
      <c r="C12" s="304"/>
      <c r="D12" s="368"/>
      <c r="E12" s="304"/>
      <c r="F12" s="15"/>
      <c r="G12" s="15"/>
    </row>
    <row r="13" spans="1:8" ht="15">
      <c r="A13" s="132"/>
      <c r="B13" s="369"/>
      <c r="C13" s="368" t="s">
        <v>21</v>
      </c>
      <c r="E13" s="370" t="s">
        <v>23</v>
      </c>
      <c r="F13" s="25">
        <f>+'9. 2005 Rate Sch. Reg. Assets'!D18</f>
        <v>3.682510053146183</v>
      </c>
      <c r="G13" s="299"/>
      <c r="H13" s="299"/>
    </row>
    <row r="14" spans="1:7" ht="15">
      <c r="A14" s="132"/>
      <c r="B14" s="304"/>
      <c r="C14" s="368" t="s">
        <v>22</v>
      </c>
      <c r="E14" s="370" t="s">
        <v>24</v>
      </c>
      <c r="F14" s="16">
        <f>+'9. 2005 Rate Sch. Reg. Assets'!D16</f>
        <v>0.004711214755167096</v>
      </c>
      <c r="G14" s="15"/>
    </row>
    <row r="15" spans="1:8" ht="15">
      <c r="A15" s="132"/>
      <c r="B15" s="369"/>
      <c r="C15" s="368"/>
      <c r="E15" s="370"/>
      <c r="F15" s="15"/>
      <c r="G15" s="279"/>
      <c r="H15" s="299"/>
    </row>
    <row r="16" spans="1:7" ht="15">
      <c r="A16" s="132"/>
      <c r="B16" s="304"/>
      <c r="C16" s="304"/>
      <c r="D16" s="304"/>
      <c r="E16" s="304"/>
      <c r="F16" s="15"/>
      <c r="G16" s="15"/>
    </row>
    <row r="17" spans="1:7" ht="15.75">
      <c r="A17" s="54" t="s">
        <v>25</v>
      </c>
      <c r="B17" s="366"/>
      <c r="C17" s="367"/>
      <c r="D17" s="304"/>
      <c r="E17" s="304"/>
      <c r="F17" s="15"/>
      <c r="G17" s="15"/>
    </row>
    <row r="18" spans="1:7" ht="15">
      <c r="A18" s="132"/>
      <c r="B18" s="304"/>
      <c r="C18" s="304"/>
      <c r="D18" s="304"/>
      <c r="E18" s="304"/>
      <c r="F18" s="15"/>
      <c r="G18" s="15"/>
    </row>
    <row r="19" spans="1:7" ht="15">
      <c r="A19" s="132"/>
      <c r="B19" s="369"/>
      <c r="C19" s="368" t="s">
        <v>21</v>
      </c>
      <c r="E19" s="370" t="s">
        <v>23</v>
      </c>
      <c r="F19" s="25" t="s">
        <v>153</v>
      </c>
      <c r="G19" s="15"/>
    </row>
    <row r="20" spans="1:7" ht="15">
      <c r="A20" s="132"/>
      <c r="B20" s="304"/>
      <c r="C20" s="368" t="s">
        <v>22</v>
      </c>
      <c r="E20" s="370" t="s">
        <v>24</v>
      </c>
      <c r="F20" s="16" t="s">
        <v>153</v>
      </c>
      <c r="G20" s="15"/>
    </row>
    <row r="21" spans="1:7" ht="15">
      <c r="A21" s="132"/>
      <c r="B21" s="369"/>
      <c r="C21" s="304"/>
      <c r="D21" s="304"/>
      <c r="E21" s="304"/>
      <c r="F21" s="15"/>
      <c r="G21" s="15"/>
    </row>
    <row r="22" spans="1:7" ht="15">
      <c r="A22" s="132"/>
      <c r="B22" s="304"/>
      <c r="C22" s="304"/>
      <c r="D22" s="368"/>
      <c r="E22" s="304"/>
      <c r="F22" s="15"/>
      <c r="G22" s="15"/>
    </row>
    <row r="23" spans="1:7" ht="15.75">
      <c r="A23" s="54" t="s">
        <v>3</v>
      </c>
      <c r="B23" s="366"/>
      <c r="C23" s="367"/>
      <c r="D23" s="368"/>
      <c r="E23" s="304"/>
      <c r="F23" s="15"/>
      <c r="G23" s="15"/>
    </row>
    <row r="24" spans="1:7" ht="15">
      <c r="A24" s="132"/>
      <c r="B24" s="304"/>
      <c r="C24" s="304"/>
      <c r="D24" s="368"/>
      <c r="E24" s="304"/>
      <c r="F24" s="15"/>
      <c r="G24" s="15"/>
    </row>
    <row r="25" spans="1:8" ht="15">
      <c r="A25" s="132"/>
      <c r="B25" s="369"/>
      <c r="C25" s="368" t="s">
        <v>21</v>
      </c>
      <c r="E25" s="370" t="s">
        <v>23</v>
      </c>
      <c r="F25" s="25">
        <f>+'9. 2005 Rate Sch. Reg. Assets'!D92</f>
        <v>32.23453397499679</v>
      </c>
      <c r="G25" s="300"/>
      <c r="H25" s="299"/>
    </row>
    <row r="26" spans="1:7" ht="15">
      <c r="A26" s="132"/>
      <c r="B26" s="304"/>
      <c r="C26" s="368" t="s">
        <v>22</v>
      </c>
      <c r="E26" s="370" t="s">
        <v>24</v>
      </c>
      <c r="F26" s="16">
        <f>+'9. 2005 Rate Sch. Reg. Assets'!D90</f>
        <v>0.009926053143928023</v>
      </c>
      <c r="G26" s="300"/>
    </row>
    <row r="27" spans="1:8" ht="15">
      <c r="A27" s="132"/>
      <c r="B27" s="369"/>
      <c r="C27" s="368"/>
      <c r="E27" s="370"/>
      <c r="F27" s="15"/>
      <c r="G27" s="300"/>
      <c r="H27" s="299"/>
    </row>
    <row r="28" spans="1:7" ht="15">
      <c r="A28" s="132"/>
      <c r="B28" s="304"/>
      <c r="C28" s="304"/>
      <c r="D28" s="368"/>
      <c r="E28" s="304"/>
      <c r="F28" s="15"/>
      <c r="G28" s="15"/>
    </row>
    <row r="29" spans="1:7" ht="15.75">
      <c r="A29" s="54" t="s">
        <v>26</v>
      </c>
      <c r="B29" s="366"/>
      <c r="C29" s="367"/>
      <c r="D29" s="368"/>
      <c r="E29" s="304"/>
      <c r="F29" s="15"/>
      <c r="G29" s="15"/>
    </row>
    <row r="30" spans="1:7" ht="15">
      <c r="A30" s="132"/>
      <c r="B30" s="304"/>
      <c r="C30" s="304"/>
      <c r="D30" s="368"/>
      <c r="E30" s="304"/>
      <c r="F30" s="15"/>
      <c r="G30" s="15"/>
    </row>
    <row r="31" spans="1:7" ht="15">
      <c r="A31" s="132"/>
      <c r="B31" s="369"/>
      <c r="C31" s="368" t="s">
        <v>21</v>
      </c>
      <c r="E31" s="370" t="s">
        <v>23</v>
      </c>
      <c r="F31" s="25">
        <f>+'9. 2005 Rate Sch. Reg. Assets'!D99</f>
        <v>133.85747626351818</v>
      </c>
      <c r="G31" s="15"/>
    </row>
    <row r="32" spans="1:7" ht="15">
      <c r="A32" s="132"/>
      <c r="B32" s="304"/>
      <c r="C32" s="368" t="s">
        <v>22</v>
      </c>
      <c r="E32" s="370" t="s">
        <v>27</v>
      </c>
      <c r="F32" s="16">
        <f>+'9. 2005 Rate Sch. Reg. Assets'!D97</f>
        <v>1.3814619766671221</v>
      </c>
      <c r="G32" s="15"/>
    </row>
    <row r="33" spans="1:7" ht="15">
      <c r="A33" s="132"/>
      <c r="B33" s="369"/>
      <c r="C33" s="368"/>
      <c r="E33" s="370"/>
      <c r="F33" s="15"/>
      <c r="G33" s="15"/>
    </row>
    <row r="34" spans="1:7" ht="15">
      <c r="A34" s="132"/>
      <c r="B34" s="304"/>
      <c r="C34" s="304"/>
      <c r="D34" s="368"/>
      <c r="E34" s="304"/>
      <c r="F34" s="15"/>
      <c r="G34" s="15"/>
    </row>
    <row r="35" spans="1:7" ht="15.75">
      <c r="A35" s="54" t="s">
        <v>28</v>
      </c>
      <c r="B35" s="304"/>
      <c r="C35" s="304"/>
      <c r="D35" s="368"/>
      <c r="E35" s="304"/>
      <c r="F35" s="15"/>
      <c r="G35" s="15"/>
    </row>
    <row r="36" spans="2:7" ht="15">
      <c r="B36" s="366"/>
      <c r="C36" s="367"/>
      <c r="D36" s="368"/>
      <c r="E36" s="304"/>
      <c r="F36" s="15"/>
      <c r="G36" s="15"/>
    </row>
    <row r="37" spans="1:7" ht="15.75">
      <c r="A37" s="131"/>
      <c r="B37" s="304"/>
      <c r="C37" s="368" t="s">
        <v>21</v>
      </c>
      <c r="E37" s="370" t="s">
        <v>23</v>
      </c>
      <c r="F37" s="25">
        <f>+'9. 2005 Rate Sch. Reg. Assets'!D106</f>
        <v>2302.371858459347</v>
      </c>
      <c r="G37" s="15"/>
    </row>
    <row r="38" spans="1:7" ht="15">
      <c r="A38" s="132"/>
      <c r="B38" s="369"/>
      <c r="C38" s="368" t="s">
        <v>22</v>
      </c>
      <c r="E38" s="370" t="s">
        <v>27</v>
      </c>
      <c r="F38" s="16">
        <f>+'9. 2005 Rate Sch. Reg. Assets'!D104</f>
        <v>1.4065605027138843</v>
      </c>
      <c r="G38" s="15"/>
    </row>
    <row r="39" spans="1:7" ht="15">
      <c r="A39" s="132"/>
      <c r="B39" s="369"/>
      <c r="C39" s="368"/>
      <c r="E39" s="370"/>
      <c r="F39" s="15"/>
      <c r="G39" s="15"/>
    </row>
    <row r="40" spans="1:7" ht="15.75">
      <c r="A40" s="131"/>
      <c r="B40" s="370"/>
      <c r="C40" s="370"/>
      <c r="D40" s="370"/>
      <c r="E40" s="370"/>
      <c r="F40" s="16"/>
      <c r="G40" s="16"/>
    </row>
    <row r="41" spans="1:7" ht="15.75" customHeight="1">
      <c r="A41" s="54" t="s">
        <v>199</v>
      </c>
      <c r="B41" s="370"/>
      <c r="C41" s="370"/>
      <c r="D41" s="370"/>
      <c r="E41" s="370"/>
      <c r="F41" s="16"/>
      <c r="G41" s="16"/>
    </row>
    <row r="42" spans="1:7" ht="12" customHeight="1">
      <c r="A42" s="131"/>
      <c r="B42" s="370"/>
      <c r="C42" s="370"/>
      <c r="D42" s="370"/>
      <c r="E42" s="370"/>
      <c r="F42" s="25"/>
      <c r="G42" s="16"/>
    </row>
    <row r="43" spans="1:7" ht="15" customHeight="1">
      <c r="A43" s="131"/>
      <c r="B43" s="304"/>
      <c r="C43" s="368" t="s">
        <v>21</v>
      </c>
      <c r="E43" s="370" t="s">
        <v>23</v>
      </c>
      <c r="F43" s="25" t="s">
        <v>153</v>
      </c>
      <c r="G43" s="15"/>
    </row>
    <row r="44" spans="2:7" ht="15">
      <c r="B44" s="304"/>
      <c r="C44" s="368" t="s">
        <v>22</v>
      </c>
      <c r="E44" s="370" t="s">
        <v>27</v>
      </c>
      <c r="F44" s="16" t="s">
        <v>153</v>
      </c>
      <c r="G44" s="15"/>
    </row>
    <row r="45" spans="1:7" ht="15">
      <c r="A45" s="132"/>
      <c r="B45" s="304"/>
      <c r="C45" s="368"/>
      <c r="E45" s="370"/>
      <c r="F45" s="15"/>
      <c r="G45" s="15"/>
    </row>
    <row r="46" spans="1:7" ht="15">
      <c r="A46" s="132"/>
      <c r="B46" s="304"/>
      <c r="C46" s="304"/>
      <c r="D46" s="368"/>
      <c r="E46" s="304"/>
      <c r="F46" s="15"/>
      <c r="G46" s="15"/>
    </row>
    <row r="47" spans="1:7" ht="15.75">
      <c r="A47" s="54" t="s">
        <v>1</v>
      </c>
      <c r="B47" s="304"/>
      <c r="C47" s="304"/>
      <c r="D47" s="368"/>
      <c r="E47" s="304"/>
      <c r="F47" s="15"/>
      <c r="G47" s="15"/>
    </row>
    <row r="48" spans="1:7" ht="15">
      <c r="A48" s="132"/>
      <c r="B48" s="304"/>
      <c r="C48" s="304"/>
      <c r="D48" s="368"/>
      <c r="E48" s="304"/>
      <c r="F48" s="15"/>
      <c r="G48" s="15"/>
    </row>
    <row r="49" spans="2:7" ht="15">
      <c r="B49" s="304"/>
      <c r="C49" s="368" t="s">
        <v>21</v>
      </c>
      <c r="E49" s="370" t="s">
        <v>23</v>
      </c>
      <c r="F49" s="25" t="s">
        <v>153</v>
      </c>
      <c r="G49" s="15"/>
    </row>
    <row r="50" spans="1:7" ht="15">
      <c r="A50" s="132"/>
      <c r="B50" s="304"/>
      <c r="C50" s="368" t="s">
        <v>22</v>
      </c>
      <c r="E50" s="370" t="s">
        <v>27</v>
      </c>
      <c r="F50" s="16" t="s">
        <v>153</v>
      </c>
      <c r="G50" s="15"/>
    </row>
    <row r="51" spans="1:7" ht="15">
      <c r="A51" s="132"/>
      <c r="B51" s="369"/>
      <c r="C51" s="368"/>
      <c r="E51" s="370"/>
      <c r="F51" s="15"/>
      <c r="G51" s="15"/>
    </row>
    <row r="52" spans="1:7" ht="15">
      <c r="A52" s="132"/>
      <c r="B52" s="304"/>
      <c r="C52" s="304"/>
      <c r="D52" s="371"/>
      <c r="E52" s="304"/>
      <c r="F52" s="15"/>
      <c r="G52" s="15"/>
    </row>
    <row r="53" spans="1:7" ht="15">
      <c r="A53" s="132"/>
      <c r="B53" s="304"/>
      <c r="C53" s="304"/>
      <c r="D53" s="368"/>
      <c r="E53" s="304"/>
      <c r="F53" s="15"/>
      <c r="G53" s="15"/>
    </row>
    <row r="54" spans="1:7" ht="15.75">
      <c r="A54" s="54" t="s">
        <v>29</v>
      </c>
      <c r="B54" s="369"/>
      <c r="C54" s="304"/>
      <c r="D54" s="368"/>
      <c r="E54" s="304"/>
      <c r="F54" s="15"/>
      <c r="G54" s="15"/>
    </row>
    <row r="55" spans="1:7" ht="15">
      <c r="A55" s="132"/>
      <c r="B55" s="304"/>
      <c r="C55" s="304"/>
      <c r="D55" s="368"/>
      <c r="E55" s="304"/>
      <c r="F55" s="15"/>
      <c r="G55" s="15"/>
    </row>
    <row r="56" spans="1:7" ht="15">
      <c r="A56" s="132"/>
      <c r="B56" s="369"/>
      <c r="C56" s="368" t="s">
        <v>21</v>
      </c>
      <c r="E56" s="370" t="s">
        <v>253</v>
      </c>
      <c r="F56" s="25">
        <f>+'9. 2005 Rate Sch. Reg. Assets'!D137</f>
        <v>1.708792589588354</v>
      </c>
      <c r="G56" s="15"/>
    </row>
    <row r="57" spans="1:7" ht="15">
      <c r="A57" s="132"/>
      <c r="B57" s="304"/>
      <c r="C57" s="368" t="s">
        <v>22</v>
      </c>
      <c r="E57" s="370" t="s">
        <v>27</v>
      </c>
      <c r="F57" s="16">
        <f>+'9. 2005 Rate Sch. Reg. Assets'!D135</f>
        <v>1.5968190841417595</v>
      </c>
      <c r="G57" s="15"/>
    </row>
    <row r="58" spans="1:7" ht="15">
      <c r="A58" s="132"/>
      <c r="B58" s="304"/>
      <c r="C58" s="368"/>
      <c r="E58" s="370"/>
      <c r="F58" s="15"/>
      <c r="G58" s="15"/>
    </row>
    <row r="59" spans="1:7" ht="15.75">
      <c r="A59" s="131"/>
      <c r="B59" s="304"/>
      <c r="C59" s="304"/>
      <c r="D59" s="368"/>
      <c r="E59" s="304"/>
      <c r="F59" s="15"/>
      <c r="G59" s="15"/>
    </row>
    <row r="60" spans="1:7" ht="15.75">
      <c r="A60" s="54" t="s">
        <v>30</v>
      </c>
      <c r="B60" s="304"/>
      <c r="C60" s="304"/>
      <c r="D60" s="368"/>
      <c r="E60" s="304"/>
      <c r="F60" s="15"/>
      <c r="G60" s="15"/>
    </row>
    <row r="61" spans="2:7" ht="15">
      <c r="B61" s="304"/>
      <c r="C61" s="304"/>
      <c r="D61" s="368"/>
      <c r="E61" s="304"/>
      <c r="F61" s="15"/>
      <c r="G61" s="15"/>
    </row>
    <row r="62" spans="1:7" ht="15">
      <c r="A62" s="132"/>
      <c r="B62" s="369"/>
      <c r="C62" s="368" t="s">
        <v>21</v>
      </c>
      <c r="E62" s="370" t="s">
        <v>23</v>
      </c>
      <c r="F62" s="25" t="s">
        <v>153</v>
      </c>
      <c r="G62" s="15"/>
    </row>
    <row r="63" spans="1:7" ht="15">
      <c r="A63" s="132"/>
      <c r="B63" s="304"/>
      <c r="C63" s="368" t="s">
        <v>22</v>
      </c>
      <c r="E63" s="370" t="s">
        <v>27</v>
      </c>
      <c r="F63" s="16" t="s">
        <v>153</v>
      </c>
      <c r="G63" s="15"/>
    </row>
    <row r="64" spans="1:7" ht="15">
      <c r="A64" s="132"/>
      <c r="B64" s="369"/>
      <c r="C64" s="304"/>
      <c r="E64" s="370"/>
      <c r="F64" s="15"/>
      <c r="G64" s="15"/>
    </row>
    <row r="65" spans="1:7" ht="15">
      <c r="A65" s="132"/>
      <c r="B65" s="370"/>
      <c r="C65" s="370"/>
      <c r="D65" s="368"/>
      <c r="E65" s="304"/>
      <c r="F65" s="15"/>
      <c r="G65" s="15"/>
    </row>
    <row r="66" spans="1:7" ht="15.75">
      <c r="A66" s="54" t="s">
        <v>31</v>
      </c>
      <c r="B66" s="369"/>
      <c r="C66" s="304"/>
      <c r="D66" s="368"/>
      <c r="E66" s="304"/>
      <c r="F66" s="15"/>
      <c r="G66" s="15"/>
    </row>
    <row r="67" spans="1:7" ht="15">
      <c r="A67" s="132"/>
      <c r="B67" s="304"/>
      <c r="C67" s="304"/>
      <c r="D67" s="368"/>
      <c r="E67" s="304"/>
      <c r="F67" s="15"/>
      <c r="G67" s="15"/>
    </row>
    <row r="68" spans="1:7" ht="12" customHeight="1">
      <c r="A68" s="132"/>
      <c r="B68" s="369"/>
      <c r="C68" s="368" t="s">
        <v>21</v>
      </c>
      <c r="E68" s="370" t="s">
        <v>253</v>
      </c>
      <c r="F68" s="25" t="s">
        <v>153</v>
      </c>
      <c r="G68" s="15"/>
    </row>
    <row r="69" spans="1:7" ht="14.25" customHeight="1">
      <c r="A69" s="132"/>
      <c r="B69" s="304"/>
      <c r="C69" s="368" t="s">
        <v>22</v>
      </c>
      <c r="E69" s="370" t="s">
        <v>27</v>
      </c>
      <c r="F69" s="16" t="s">
        <v>153</v>
      </c>
      <c r="G69" s="15"/>
    </row>
    <row r="70" spans="1:7" ht="15">
      <c r="A70" s="132"/>
      <c r="B70" s="304"/>
      <c r="C70" s="368"/>
      <c r="E70" s="370"/>
      <c r="F70" s="15"/>
      <c r="G70" s="15"/>
    </row>
    <row r="71" spans="1:7" ht="15.75">
      <c r="A71" s="131"/>
      <c r="B71" s="304"/>
      <c r="C71" s="304"/>
      <c r="D71" s="368"/>
      <c r="E71" s="304"/>
      <c r="F71" s="15"/>
      <c r="G71" s="15"/>
    </row>
    <row r="72" spans="1:7" ht="15.75">
      <c r="A72" s="54" t="s">
        <v>32</v>
      </c>
      <c r="B72" s="304"/>
      <c r="C72" s="304"/>
      <c r="D72" s="368"/>
      <c r="E72" s="304"/>
      <c r="F72" s="15"/>
      <c r="G72" s="15"/>
    </row>
    <row r="73" spans="2:7" ht="15">
      <c r="B73" s="304"/>
      <c r="C73" s="304"/>
      <c r="D73" s="368"/>
      <c r="E73" s="304"/>
      <c r="F73" s="15"/>
      <c r="G73" s="15"/>
    </row>
    <row r="74" spans="1:7" ht="15">
      <c r="A74" s="132"/>
      <c r="B74" s="369"/>
      <c r="C74" s="368" t="s">
        <v>21</v>
      </c>
      <c r="E74" s="370" t="s">
        <v>23</v>
      </c>
      <c r="F74" s="25" t="s">
        <v>153</v>
      </c>
      <c r="G74" s="15"/>
    </row>
    <row r="75" spans="1:7" ht="15">
      <c r="A75" s="132"/>
      <c r="B75" s="304"/>
      <c r="C75" s="368" t="s">
        <v>22</v>
      </c>
      <c r="E75" s="370" t="s">
        <v>27</v>
      </c>
      <c r="F75" s="16" t="s">
        <v>153</v>
      </c>
      <c r="G75" s="15"/>
    </row>
    <row r="76" spans="1:7" ht="15">
      <c r="A76" s="132"/>
      <c r="B76" s="369"/>
      <c r="C76" s="304"/>
      <c r="E76" s="370"/>
      <c r="F76" s="15"/>
      <c r="G76" s="15"/>
    </row>
    <row r="77" spans="1:7" ht="15.75">
      <c r="A77" s="131"/>
      <c r="B77" s="304"/>
      <c r="C77" s="304"/>
      <c r="D77" s="368"/>
      <c r="E77" s="304"/>
      <c r="F77" s="15"/>
      <c r="G77" s="15"/>
    </row>
    <row r="78" spans="1:7" ht="15">
      <c r="A78" s="132"/>
      <c r="B78" s="304"/>
      <c r="C78" s="304"/>
      <c r="D78" s="368"/>
      <c r="E78" s="304"/>
      <c r="F78" s="15"/>
      <c r="G78" s="15"/>
    </row>
    <row r="79" spans="1:8" ht="15.75">
      <c r="A79" s="561">
        <f>IF(ISBLANK('Info Sheet'!B82),"",'Info Sheet'!B82)</f>
      </c>
      <c r="B79" s="561"/>
      <c r="C79" s="561"/>
      <c r="D79" s="561"/>
      <c r="E79" s="561"/>
      <c r="F79" s="561"/>
      <c r="G79" s="561"/>
      <c r="H79" s="561"/>
    </row>
    <row r="80" spans="1:8" ht="15.75">
      <c r="A80" s="561">
        <f>IF(ISBLANK('Info Sheet'!B84),"",'Info Sheet'!B86&amp;"    "&amp;'Info Sheet'!B88)</f>
      </c>
      <c r="B80" s="561"/>
      <c r="C80" s="561"/>
      <c r="D80" s="561"/>
      <c r="E80" s="561"/>
      <c r="F80" s="561"/>
      <c r="G80" s="561"/>
      <c r="H80" s="561"/>
    </row>
    <row r="81" spans="1:8" ht="15.75">
      <c r="A81" s="561" t="s">
        <v>173</v>
      </c>
      <c r="B81" s="561"/>
      <c r="C81" s="561"/>
      <c r="D81" s="561"/>
      <c r="E81" s="561"/>
      <c r="F81" s="561"/>
      <c r="G81" s="561"/>
      <c r="H81" s="561"/>
    </row>
    <row r="82" spans="1:8" ht="14.25">
      <c r="A82" s="562" t="s">
        <v>174</v>
      </c>
      <c r="B82" s="562"/>
      <c r="C82" s="562"/>
      <c r="D82" s="562"/>
      <c r="E82" s="562"/>
      <c r="F82" s="562"/>
      <c r="G82" s="562"/>
      <c r="H82" s="562"/>
    </row>
    <row r="83" spans="1:8" ht="14.25">
      <c r="A83" s="372"/>
      <c r="B83" s="372"/>
      <c r="C83" s="372"/>
      <c r="D83" s="563" t="s">
        <v>243</v>
      </c>
      <c r="E83" s="563"/>
      <c r="F83" s="372"/>
      <c r="G83" s="372"/>
      <c r="H83" s="372"/>
    </row>
    <row r="84" spans="1:5" ht="15.75">
      <c r="A84" s="36"/>
      <c r="D84" s="132"/>
      <c r="E84" s="36"/>
    </row>
    <row r="85" spans="1:5" ht="15.75">
      <c r="A85" s="387" t="s">
        <v>144</v>
      </c>
      <c r="D85" s="132"/>
      <c r="E85" s="36"/>
    </row>
    <row r="86" spans="1:5" ht="15.75">
      <c r="A86" s="47"/>
      <c r="B86" s="132"/>
      <c r="C86" s="132"/>
      <c r="D86" s="132"/>
      <c r="E86" s="132"/>
    </row>
    <row r="87" spans="1:5" ht="15.75">
      <c r="A87" s="47"/>
      <c r="B87" s="132"/>
      <c r="C87" s="132"/>
      <c r="D87" s="132"/>
      <c r="E87" s="132"/>
    </row>
    <row r="88" spans="1:5" ht="15.75">
      <c r="A88" s="47"/>
      <c r="B88" s="132"/>
      <c r="C88" s="132"/>
      <c r="D88" s="132"/>
      <c r="E88" s="132"/>
    </row>
    <row r="89" spans="1:7" ht="15.75">
      <c r="A89" s="54" t="s">
        <v>0</v>
      </c>
      <c r="B89" s="366"/>
      <c r="C89" s="367"/>
      <c r="D89" s="131"/>
      <c r="E89" s="304"/>
      <c r="G89" s="15"/>
    </row>
    <row r="90" spans="1:7" ht="15">
      <c r="A90" s="132"/>
      <c r="B90" s="304"/>
      <c r="C90" s="304"/>
      <c r="D90" s="368"/>
      <c r="E90" s="304"/>
      <c r="F90" s="15"/>
      <c r="G90" s="15"/>
    </row>
    <row r="91" spans="1:8" ht="15">
      <c r="A91" s="132"/>
      <c r="B91" s="369"/>
      <c r="C91" s="368" t="s">
        <v>21</v>
      </c>
      <c r="E91" s="370" t="s">
        <v>23</v>
      </c>
      <c r="F91" s="25">
        <f>+'9. 2005 Rate Sch. Reg. Assets'!D24</f>
        <v>13.86921420074977</v>
      </c>
      <c r="G91" s="299"/>
      <c r="H91" s="299"/>
    </row>
    <row r="92" spans="1:7" ht="15">
      <c r="A92" s="132"/>
      <c r="B92" s="304"/>
      <c r="C92" s="368" t="s">
        <v>22</v>
      </c>
      <c r="E92" s="370" t="s">
        <v>24</v>
      </c>
      <c r="F92" s="16">
        <f>+'9. 2005 Rate Sch. Reg. Assets'!D22</f>
        <v>0.015756419285195094</v>
      </c>
      <c r="G92" s="15"/>
    </row>
    <row r="93" spans="1:8" ht="15">
      <c r="A93" s="132"/>
      <c r="B93" s="369"/>
      <c r="C93" s="368"/>
      <c r="E93" s="370"/>
      <c r="F93" s="15"/>
      <c r="G93" s="279"/>
      <c r="H93" s="299"/>
    </row>
    <row r="94" spans="1:7" ht="15">
      <c r="A94" s="132"/>
      <c r="B94" s="304"/>
      <c r="C94" s="304"/>
      <c r="D94" s="304"/>
      <c r="E94" s="304"/>
      <c r="F94" s="15"/>
      <c r="G94" s="15"/>
    </row>
    <row r="95" spans="1:7" ht="15.75">
      <c r="A95" s="54" t="s">
        <v>25</v>
      </c>
      <c r="B95" s="366"/>
      <c r="C95" s="367"/>
      <c r="D95" s="304"/>
      <c r="E95" s="304"/>
      <c r="F95" s="15"/>
      <c r="G95" s="15"/>
    </row>
    <row r="96" spans="1:7" ht="15">
      <c r="A96" s="132"/>
      <c r="B96" s="304"/>
      <c r="C96" s="304"/>
      <c r="D96" s="304"/>
      <c r="E96" s="304"/>
      <c r="F96" s="15"/>
      <c r="G96" s="15"/>
    </row>
    <row r="97" spans="1:7" ht="15">
      <c r="A97" s="132"/>
      <c r="B97" s="369"/>
      <c r="C97" s="368" t="s">
        <v>21</v>
      </c>
      <c r="E97" s="370" t="s">
        <v>23</v>
      </c>
      <c r="F97" s="25" t="s">
        <v>153</v>
      </c>
      <c r="G97" s="15"/>
    </row>
    <row r="98" spans="1:7" ht="15">
      <c r="A98" s="132"/>
      <c r="B98" s="304"/>
      <c r="C98" s="368" t="s">
        <v>22</v>
      </c>
      <c r="E98" s="370" t="s">
        <v>24</v>
      </c>
      <c r="F98" s="16" t="s">
        <v>153</v>
      </c>
      <c r="G98" s="15"/>
    </row>
    <row r="99" spans="1:7" ht="15">
      <c r="A99" s="132"/>
      <c r="B99" s="369"/>
      <c r="C99" s="304"/>
      <c r="D99" s="304"/>
      <c r="E99" s="304"/>
      <c r="F99" s="15"/>
      <c r="G99" s="15"/>
    </row>
    <row r="100" spans="1:7" ht="15">
      <c r="A100" s="132"/>
      <c r="B100" s="304"/>
      <c r="C100" s="304"/>
      <c r="D100" s="368"/>
      <c r="E100" s="304"/>
      <c r="F100" s="15"/>
      <c r="G100" s="15"/>
    </row>
    <row r="101" spans="1:7" ht="15.75">
      <c r="A101" s="54" t="s">
        <v>3</v>
      </c>
      <c r="B101" s="366"/>
      <c r="C101" s="367"/>
      <c r="D101" s="368"/>
      <c r="E101" s="304"/>
      <c r="F101" s="15"/>
      <c r="G101" s="15"/>
    </row>
    <row r="102" spans="1:7" ht="15">
      <c r="A102" s="132"/>
      <c r="B102" s="304"/>
      <c r="C102" s="304"/>
      <c r="D102" s="368"/>
      <c r="E102" s="304"/>
      <c r="F102" s="15"/>
      <c r="G102" s="15"/>
    </row>
    <row r="103" spans="1:8" ht="15">
      <c r="A103" s="132"/>
      <c r="B103" s="369"/>
      <c r="C103" s="368" t="s">
        <v>21</v>
      </c>
      <c r="E103" s="370" t="s">
        <v>23</v>
      </c>
      <c r="F103" s="25">
        <f>+'9. 2005 Rate Sch. Reg. Assets'!D92</f>
        <v>32.23453397499679</v>
      </c>
      <c r="G103" s="300"/>
      <c r="H103" s="299"/>
    </row>
    <row r="104" spans="1:7" ht="15">
      <c r="A104" s="132"/>
      <c r="B104" s="304"/>
      <c r="C104" s="368" t="s">
        <v>22</v>
      </c>
      <c r="E104" s="370" t="s">
        <v>24</v>
      </c>
      <c r="F104" s="16">
        <f>+'9. 2005 Rate Sch. Reg. Assets'!D90</f>
        <v>0.009926053143928023</v>
      </c>
      <c r="G104" s="300"/>
    </row>
    <row r="105" spans="1:8" ht="15">
      <c r="A105" s="132"/>
      <c r="B105" s="369"/>
      <c r="C105" s="368"/>
      <c r="E105" s="370"/>
      <c r="F105" s="15"/>
      <c r="G105" s="300"/>
      <c r="H105" s="299"/>
    </row>
    <row r="106" spans="1:7" ht="15">
      <c r="A106" s="132"/>
      <c r="B106" s="304"/>
      <c r="C106" s="304"/>
      <c r="D106" s="368"/>
      <c r="E106" s="304"/>
      <c r="F106" s="15"/>
      <c r="G106" s="15"/>
    </row>
    <row r="107" spans="1:7" ht="15.75">
      <c r="A107" s="54" t="s">
        <v>26</v>
      </c>
      <c r="B107" s="366"/>
      <c r="C107" s="367"/>
      <c r="D107" s="368"/>
      <c r="E107" s="304"/>
      <c r="F107" s="15"/>
      <c r="G107" s="15"/>
    </row>
    <row r="108" spans="1:7" ht="15">
      <c r="A108" s="132"/>
      <c r="B108" s="304"/>
      <c r="C108" s="304"/>
      <c r="D108" s="368"/>
      <c r="E108" s="304"/>
      <c r="F108" s="15"/>
      <c r="G108" s="15"/>
    </row>
    <row r="109" spans="1:7" ht="15">
      <c r="A109" s="132"/>
      <c r="B109" s="369"/>
      <c r="C109" s="368" t="s">
        <v>21</v>
      </c>
      <c r="E109" s="370" t="s">
        <v>23</v>
      </c>
      <c r="F109" s="25">
        <f>+'9. 2005 Rate Sch. Reg. Assets'!D99</f>
        <v>133.85747626351818</v>
      </c>
      <c r="G109" s="15"/>
    </row>
    <row r="110" spans="1:7" ht="15">
      <c r="A110" s="132"/>
      <c r="B110" s="304"/>
      <c r="C110" s="368" t="s">
        <v>22</v>
      </c>
      <c r="E110" s="370" t="s">
        <v>27</v>
      </c>
      <c r="F110" s="16">
        <f>+'9. 2005 Rate Sch. Reg. Assets'!D97</f>
        <v>1.3814619766671221</v>
      </c>
      <c r="G110" s="15"/>
    </row>
    <row r="111" spans="1:7" ht="15">
      <c r="A111" s="132"/>
      <c r="B111" s="369"/>
      <c r="C111" s="368"/>
      <c r="E111" s="370"/>
      <c r="F111" s="15"/>
      <c r="G111" s="15"/>
    </row>
    <row r="112" spans="1:7" ht="15">
      <c r="A112" s="132"/>
      <c r="B112" s="304"/>
      <c r="C112" s="304"/>
      <c r="D112" s="368"/>
      <c r="E112" s="304"/>
      <c r="F112" s="15"/>
      <c r="G112" s="15"/>
    </row>
    <row r="113" spans="1:7" ht="15.75">
      <c r="A113" s="54" t="s">
        <v>28</v>
      </c>
      <c r="B113" s="304"/>
      <c r="C113" s="304"/>
      <c r="D113" s="368"/>
      <c r="E113" s="304"/>
      <c r="F113" s="15"/>
      <c r="G113" s="15"/>
    </row>
    <row r="114" spans="2:7" ht="15">
      <c r="B114" s="366"/>
      <c r="C114" s="367"/>
      <c r="D114" s="368"/>
      <c r="E114" s="304"/>
      <c r="F114" s="15"/>
      <c r="G114" s="15"/>
    </row>
    <row r="115" spans="1:7" ht="15.75">
      <c r="A115" s="131"/>
      <c r="B115" s="304"/>
      <c r="C115" s="368" t="s">
        <v>21</v>
      </c>
      <c r="E115" s="370" t="s">
        <v>23</v>
      </c>
      <c r="F115" s="25" t="s">
        <v>153</v>
      </c>
      <c r="G115" s="15"/>
    </row>
    <row r="116" spans="1:7" ht="15">
      <c r="A116" s="132"/>
      <c r="B116" s="369"/>
      <c r="C116" s="368" t="s">
        <v>22</v>
      </c>
      <c r="E116" s="370" t="s">
        <v>27</v>
      </c>
      <c r="F116" s="16" t="s">
        <v>153</v>
      </c>
      <c r="G116" s="15"/>
    </row>
    <row r="117" spans="1:7" ht="15">
      <c r="A117" s="132"/>
      <c r="B117" s="369"/>
      <c r="C117" s="368"/>
      <c r="E117" s="370"/>
      <c r="F117" s="15"/>
      <c r="G117" s="15"/>
    </row>
    <row r="118" spans="1:7" ht="15.75">
      <c r="A118" s="131"/>
      <c r="B118" s="370"/>
      <c r="C118" s="370"/>
      <c r="D118" s="370"/>
      <c r="E118" s="370"/>
      <c r="F118" s="16"/>
      <c r="G118" s="16"/>
    </row>
    <row r="119" spans="1:7" ht="15.75">
      <c r="A119" s="54" t="s">
        <v>199</v>
      </c>
      <c r="B119" s="370"/>
      <c r="C119" s="370"/>
      <c r="D119" s="370"/>
      <c r="E119" s="370"/>
      <c r="F119" s="16"/>
      <c r="G119" s="16"/>
    </row>
    <row r="120" spans="1:7" ht="15.75">
      <c r="A120" s="131"/>
      <c r="B120" s="370"/>
      <c r="C120" s="370"/>
      <c r="D120" s="370"/>
      <c r="E120" s="370"/>
      <c r="F120" s="25"/>
      <c r="G120" s="16"/>
    </row>
    <row r="121" spans="1:7" ht="15.75">
      <c r="A121" s="131"/>
      <c r="B121" s="304"/>
      <c r="C121" s="368" t="s">
        <v>21</v>
      </c>
      <c r="E121" s="370" t="s">
        <v>23</v>
      </c>
      <c r="F121" s="25" t="s">
        <v>153</v>
      </c>
      <c r="G121" s="15"/>
    </row>
    <row r="122" spans="2:7" ht="15">
      <c r="B122" s="304"/>
      <c r="C122" s="368" t="s">
        <v>22</v>
      </c>
      <c r="E122" s="370" t="s">
        <v>27</v>
      </c>
      <c r="F122" s="16" t="s">
        <v>153</v>
      </c>
      <c r="G122" s="15"/>
    </row>
    <row r="123" spans="1:7" ht="15">
      <c r="A123" s="132"/>
      <c r="B123" s="304"/>
      <c r="C123" s="368"/>
      <c r="E123" s="370"/>
      <c r="F123" s="15"/>
      <c r="G123" s="15"/>
    </row>
    <row r="124" spans="1:7" ht="15">
      <c r="A124" s="132"/>
      <c r="B124" s="304"/>
      <c r="C124" s="304"/>
      <c r="D124" s="368"/>
      <c r="E124" s="304"/>
      <c r="F124" s="15"/>
      <c r="G124" s="15"/>
    </row>
    <row r="125" spans="1:7" ht="15.75">
      <c r="A125" s="54" t="s">
        <v>1</v>
      </c>
      <c r="B125" s="304"/>
      <c r="C125" s="304"/>
      <c r="D125" s="368"/>
      <c r="E125" s="304"/>
      <c r="F125" s="15"/>
      <c r="G125" s="15"/>
    </row>
    <row r="126" spans="1:7" ht="15">
      <c r="A126" s="132"/>
      <c r="B126" s="304"/>
      <c r="C126" s="304"/>
      <c r="D126" s="368"/>
      <c r="E126" s="304"/>
      <c r="F126" s="15"/>
      <c r="G126" s="15"/>
    </row>
    <row r="127" spans="2:7" ht="15">
      <c r="B127" s="304"/>
      <c r="C127" s="368" t="s">
        <v>21</v>
      </c>
      <c r="E127" s="370" t="s">
        <v>23</v>
      </c>
      <c r="F127" s="25" t="s">
        <v>153</v>
      </c>
      <c r="G127" s="15"/>
    </row>
    <row r="128" spans="1:7" ht="15">
      <c r="A128" s="132"/>
      <c r="B128" s="304"/>
      <c r="C128" s="368" t="s">
        <v>22</v>
      </c>
      <c r="E128" s="370" t="s">
        <v>27</v>
      </c>
      <c r="F128" s="16" t="s">
        <v>153</v>
      </c>
      <c r="G128" s="15"/>
    </row>
    <row r="129" spans="1:7" ht="15">
      <c r="A129" s="132"/>
      <c r="B129" s="369"/>
      <c r="C129" s="368"/>
      <c r="E129" s="370"/>
      <c r="F129" s="15"/>
      <c r="G129" s="15"/>
    </row>
    <row r="130" spans="1:7" ht="15">
      <c r="A130" s="132"/>
      <c r="B130" s="304"/>
      <c r="C130" s="304"/>
      <c r="D130" s="371"/>
      <c r="E130" s="304"/>
      <c r="F130" s="15"/>
      <c r="G130" s="15"/>
    </row>
    <row r="131" spans="1:7" ht="15">
      <c r="A131" s="132"/>
      <c r="B131" s="304"/>
      <c r="C131" s="304"/>
      <c r="D131" s="368"/>
      <c r="E131" s="304"/>
      <c r="F131" s="15"/>
      <c r="G131" s="15"/>
    </row>
    <row r="132" spans="1:7" ht="15.75">
      <c r="A132" s="54" t="s">
        <v>29</v>
      </c>
      <c r="B132" s="369"/>
      <c r="C132" s="304"/>
      <c r="D132" s="368"/>
      <c r="E132" s="304"/>
      <c r="F132" s="15"/>
      <c r="G132" s="15"/>
    </row>
    <row r="133" spans="1:7" ht="15">
      <c r="A133" s="132"/>
      <c r="B133" s="304"/>
      <c r="C133" s="304"/>
      <c r="D133" s="368"/>
      <c r="E133" s="304"/>
      <c r="F133" s="15"/>
      <c r="G133" s="15"/>
    </row>
    <row r="134" spans="1:7" ht="15">
      <c r="A134" s="132"/>
      <c r="B134" s="369"/>
      <c r="C134" s="368" t="s">
        <v>21</v>
      </c>
      <c r="E134" s="370" t="s">
        <v>253</v>
      </c>
      <c r="F134" s="25">
        <f>+'9. 2005 Rate Sch. Reg. Assets'!D143</f>
        <v>3.139050610774767</v>
      </c>
      <c r="G134" s="15"/>
    </row>
    <row r="135" spans="1:7" ht="15">
      <c r="A135" s="132"/>
      <c r="B135" s="304"/>
      <c r="C135" s="368" t="s">
        <v>22</v>
      </c>
      <c r="E135" s="370" t="s">
        <v>27</v>
      </c>
      <c r="F135" s="16">
        <f>+'9. 2005 Rate Sch. Reg. Assets'!D141</f>
        <v>3.485976625431693</v>
      </c>
      <c r="G135" s="15"/>
    </row>
    <row r="136" spans="1:7" ht="15">
      <c r="A136" s="132"/>
      <c r="B136" s="304"/>
      <c r="C136" s="368"/>
      <c r="E136" s="370"/>
      <c r="F136" s="15"/>
      <c r="G136" s="15"/>
    </row>
    <row r="137" spans="1:7" ht="15.75">
      <c r="A137" s="131"/>
      <c r="B137" s="304"/>
      <c r="C137" s="304"/>
      <c r="D137" s="368"/>
      <c r="E137" s="304"/>
      <c r="F137" s="15"/>
      <c r="G137" s="15"/>
    </row>
    <row r="138" spans="1:7" ht="15.75">
      <c r="A138" s="54" t="s">
        <v>30</v>
      </c>
      <c r="B138" s="304"/>
      <c r="C138" s="304"/>
      <c r="D138" s="368"/>
      <c r="E138" s="304"/>
      <c r="F138" s="15"/>
      <c r="G138" s="15"/>
    </row>
    <row r="139" spans="2:7" ht="15">
      <c r="B139" s="304"/>
      <c r="C139" s="304"/>
      <c r="D139" s="368"/>
      <c r="E139" s="304"/>
      <c r="F139" s="15"/>
      <c r="G139" s="15"/>
    </row>
    <row r="140" spans="1:7" ht="15">
      <c r="A140" s="132"/>
      <c r="B140" s="369"/>
      <c r="C140" s="368" t="s">
        <v>21</v>
      </c>
      <c r="E140" s="370" t="s">
        <v>23</v>
      </c>
      <c r="F140" s="25" t="s">
        <v>153</v>
      </c>
      <c r="G140" s="15"/>
    </row>
    <row r="141" spans="1:7" ht="15">
      <c r="A141" s="132"/>
      <c r="B141" s="304"/>
      <c r="C141" s="368" t="s">
        <v>22</v>
      </c>
      <c r="E141" s="370" t="s">
        <v>27</v>
      </c>
      <c r="F141" s="16" t="s">
        <v>153</v>
      </c>
      <c r="G141" s="15"/>
    </row>
    <row r="142" spans="1:7" ht="15">
      <c r="A142" s="132"/>
      <c r="B142" s="369"/>
      <c r="C142" s="304"/>
      <c r="E142" s="370"/>
      <c r="F142" s="15"/>
      <c r="G142" s="15"/>
    </row>
    <row r="143" spans="1:7" ht="15">
      <c r="A143" s="132"/>
      <c r="B143" s="370"/>
      <c r="C143" s="370"/>
      <c r="D143" s="368"/>
      <c r="E143" s="304"/>
      <c r="F143" s="15"/>
      <c r="G143" s="15"/>
    </row>
    <row r="144" spans="1:7" ht="15.75">
      <c r="A144" s="54" t="s">
        <v>31</v>
      </c>
      <c r="B144" s="369"/>
      <c r="C144" s="304"/>
      <c r="D144" s="368"/>
      <c r="E144" s="304"/>
      <c r="F144" s="15"/>
      <c r="G144" s="15"/>
    </row>
    <row r="145" spans="1:7" ht="15">
      <c r="A145" s="132"/>
      <c r="B145" s="304"/>
      <c r="C145" s="304"/>
      <c r="D145" s="368"/>
      <c r="E145" s="304"/>
      <c r="F145" s="15"/>
      <c r="G145" s="15"/>
    </row>
    <row r="146" spans="1:7" ht="15">
      <c r="A146" s="132"/>
      <c r="B146" s="369"/>
      <c r="C146" s="368" t="s">
        <v>21</v>
      </c>
      <c r="E146" s="370" t="s">
        <v>23</v>
      </c>
      <c r="F146" s="25" t="s">
        <v>153</v>
      </c>
      <c r="G146" s="15"/>
    </row>
    <row r="147" spans="1:7" ht="15">
      <c r="A147" s="132"/>
      <c r="B147" s="304"/>
      <c r="C147" s="368" t="s">
        <v>22</v>
      </c>
      <c r="E147" s="370" t="s">
        <v>27</v>
      </c>
      <c r="F147" s="16" t="s">
        <v>153</v>
      </c>
      <c r="G147" s="15"/>
    </row>
    <row r="148" spans="1:7" ht="15">
      <c r="A148" s="132"/>
      <c r="B148" s="304"/>
      <c r="C148" s="368"/>
      <c r="E148" s="370"/>
      <c r="F148" s="15"/>
      <c r="G148" s="15"/>
    </row>
    <row r="149" spans="1:7" ht="15.75">
      <c r="A149" s="131"/>
      <c r="B149" s="304"/>
      <c r="C149" s="304"/>
      <c r="D149" s="368"/>
      <c r="E149" s="304"/>
      <c r="F149" s="15"/>
      <c r="G149" s="15"/>
    </row>
    <row r="150" spans="1:7" ht="15.75">
      <c r="A150" s="54" t="s">
        <v>32</v>
      </c>
      <c r="B150" s="304"/>
      <c r="C150" s="304"/>
      <c r="D150" s="368"/>
      <c r="E150" s="304"/>
      <c r="F150" s="15"/>
      <c r="G150" s="15"/>
    </row>
    <row r="151" spans="2:7" ht="15">
      <c r="B151" s="304"/>
      <c r="C151" s="304"/>
      <c r="D151" s="368"/>
      <c r="E151" s="304"/>
      <c r="F151" s="15"/>
      <c r="G151" s="15"/>
    </row>
    <row r="152" spans="1:7" ht="15">
      <c r="A152" s="132"/>
      <c r="B152" s="369"/>
      <c r="C152" s="368" t="s">
        <v>21</v>
      </c>
      <c r="E152" s="370" t="s">
        <v>23</v>
      </c>
      <c r="F152" s="25" t="s">
        <v>153</v>
      </c>
      <c r="G152" s="15"/>
    </row>
    <row r="153" spans="1:7" ht="15">
      <c r="A153" s="132"/>
      <c r="B153" s="304"/>
      <c r="C153" s="368" t="s">
        <v>22</v>
      </c>
      <c r="E153" s="370" t="s">
        <v>27</v>
      </c>
      <c r="F153" s="16" t="s">
        <v>153</v>
      </c>
      <c r="G153" s="15"/>
    </row>
    <row r="154" spans="1:7" ht="15">
      <c r="A154" s="132"/>
      <c r="B154" s="369"/>
      <c r="C154" s="304"/>
      <c r="E154" s="370"/>
      <c r="F154" s="15"/>
      <c r="G154" s="15"/>
    </row>
    <row r="155" spans="1:7" ht="15.75">
      <c r="A155" s="131"/>
      <c r="B155" s="304"/>
      <c r="C155" s="304"/>
      <c r="D155" s="368"/>
      <c r="E155" s="304"/>
      <c r="F155" s="15"/>
      <c r="G155" s="15"/>
    </row>
    <row r="157" spans="1:8" ht="15.75">
      <c r="A157" s="561">
        <f>IF(ISBLANK('Info Sheet'!B160),"",'Info Sheet'!B160)</f>
      </c>
      <c r="B157" s="561"/>
      <c r="C157" s="561"/>
      <c r="D157" s="561"/>
      <c r="E157" s="561"/>
      <c r="F157" s="561"/>
      <c r="G157" s="561"/>
      <c r="H157" s="561"/>
    </row>
    <row r="158" spans="1:8" ht="15.75">
      <c r="A158" s="561">
        <f>IF(ISBLANK('Info Sheet'!B162),"",'Info Sheet'!B164&amp;"    "&amp;'Info Sheet'!B166)</f>
      </c>
      <c r="B158" s="561"/>
      <c r="C158" s="561"/>
      <c r="D158" s="561"/>
      <c r="E158" s="561"/>
      <c r="F158" s="561"/>
      <c r="G158" s="561"/>
      <c r="H158" s="561"/>
    </row>
    <row r="159" spans="1:8" ht="15.75">
      <c r="A159" s="561" t="s">
        <v>173</v>
      </c>
      <c r="B159" s="561"/>
      <c r="C159" s="561"/>
      <c r="D159" s="561"/>
      <c r="E159" s="561"/>
      <c r="F159" s="561"/>
      <c r="G159" s="561"/>
      <c r="H159" s="561"/>
    </row>
    <row r="160" spans="1:8" ht="14.25">
      <c r="A160" s="562" t="s">
        <v>174</v>
      </c>
      <c r="B160" s="562"/>
      <c r="C160" s="562"/>
      <c r="D160" s="562"/>
      <c r="E160" s="562"/>
      <c r="F160" s="562"/>
      <c r="G160" s="562"/>
      <c r="H160" s="562"/>
    </row>
    <row r="161" spans="1:8" ht="14.25">
      <c r="A161" s="372"/>
      <c r="B161" s="372"/>
      <c r="C161" s="372"/>
      <c r="D161" s="563" t="s">
        <v>244</v>
      </c>
      <c r="E161" s="563"/>
      <c r="F161" s="372"/>
      <c r="G161" s="372"/>
      <c r="H161" s="372"/>
    </row>
    <row r="162" spans="1:5" ht="15.75">
      <c r="A162" s="36"/>
      <c r="D162" s="132"/>
      <c r="E162" s="36"/>
    </row>
    <row r="163" spans="1:5" ht="15.75">
      <c r="A163" s="387" t="s">
        <v>144</v>
      </c>
      <c r="D163" s="132"/>
      <c r="E163" s="36"/>
    </row>
    <row r="164" spans="1:5" ht="15.75">
      <c r="A164" s="47"/>
      <c r="B164" s="132"/>
      <c r="C164" s="132"/>
      <c r="D164" s="132"/>
      <c r="E164" s="132"/>
    </row>
    <row r="165" spans="1:5" ht="15.75">
      <c r="A165" s="47"/>
      <c r="B165" s="132"/>
      <c r="C165" s="132"/>
      <c r="D165" s="132"/>
      <c r="E165" s="132"/>
    </row>
    <row r="166" spans="1:5" ht="15.75">
      <c r="A166" s="47"/>
      <c r="B166" s="132"/>
      <c r="C166" s="132"/>
      <c r="D166" s="132"/>
      <c r="E166" s="132"/>
    </row>
    <row r="167" spans="1:7" ht="15.75">
      <c r="A167" s="54" t="s">
        <v>0</v>
      </c>
      <c r="B167" s="366"/>
      <c r="C167" s="367"/>
      <c r="D167" s="131"/>
      <c r="E167" s="304"/>
      <c r="G167" s="15"/>
    </row>
    <row r="168" spans="1:7" ht="15">
      <c r="A168" s="132"/>
      <c r="B168" s="304"/>
      <c r="C168" s="304"/>
      <c r="D168" s="368"/>
      <c r="E168" s="304"/>
      <c r="F168" s="15"/>
      <c r="G168" s="15"/>
    </row>
    <row r="169" spans="1:8" ht="15">
      <c r="A169" s="132"/>
      <c r="B169" s="369"/>
      <c r="C169" s="368" t="s">
        <v>21</v>
      </c>
      <c r="E169" s="370" t="s">
        <v>23</v>
      </c>
      <c r="F169" s="25">
        <f>+'9. 2005 Rate Sch. Reg. Assets'!D30</f>
        <v>12.32927333576484</v>
      </c>
      <c r="G169" s="299"/>
      <c r="H169" s="299"/>
    </row>
    <row r="170" spans="1:7" ht="15">
      <c r="A170" s="132"/>
      <c r="B170" s="304"/>
      <c r="C170" s="368" t="s">
        <v>22</v>
      </c>
      <c r="E170" s="370" t="s">
        <v>24</v>
      </c>
      <c r="F170" s="16">
        <f>+'9. 2005 Rate Sch. Reg. Assets'!D28</f>
        <v>0.014856078887733954</v>
      </c>
      <c r="G170" s="15"/>
    </row>
    <row r="171" spans="1:8" ht="15">
      <c r="A171" s="132"/>
      <c r="B171" s="369"/>
      <c r="C171" s="368"/>
      <c r="E171" s="370"/>
      <c r="F171" s="15"/>
      <c r="G171" s="279"/>
      <c r="H171" s="299"/>
    </row>
    <row r="172" spans="1:7" ht="15">
      <c r="A172" s="132"/>
      <c r="B172" s="304"/>
      <c r="C172" s="304"/>
      <c r="D172" s="304"/>
      <c r="E172" s="304"/>
      <c r="F172" s="15"/>
      <c r="G172" s="15"/>
    </row>
    <row r="173" spans="1:7" ht="15.75">
      <c r="A173" s="54" t="s">
        <v>25</v>
      </c>
      <c r="B173" s="366"/>
      <c r="C173" s="367"/>
      <c r="D173" s="304"/>
      <c r="E173" s="304"/>
      <c r="F173" s="15"/>
      <c r="G173" s="15"/>
    </row>
    <row r="174" spans="1:7" ht="15">
      <c r="A174" s="132"/>
      <c r="B174" s="304"/>
      <c r="C174" s="304"/>
      <c r="D174" s="304"/>
      <c r="E174" s="304"/>
      <c r="F174" s="15"/>
      <c r="G174" s="15"/>
    </row>
    <row r="175" spans="1:7" ht="15">
      <c r="A175" s="132"/>
      <c r="B175" s="369"/>
      <c r="C175" s="368" t="s">
        <v>21</v>
      </c>
      <c r="E175" s="370" t="s">
        <v>23</v>
      </c>
      <c r="F175" s="25" t="s">
        <v>153</v>
      </c>
      <c r="G175" s="15"/>
    </row>
    <row r="176" spans="1:7" ht="15">
      <c r="A176" s="132"/>
      <c r="B176" s="304"/>
      <c r="C176" s="368" t="s">
        <v>22</v>
      </c>
      <c r="E176" s="370" t="s">
        <v>24</v>
      </c>
      <c r="F176" s="16" t="s">
        <v>153</v>
      </c>
      <c r="G176" s="15"/>
    </row>
    <row r="177" spans="1:7" ht="15">
      <c r="A177" s="132"/>
      <c r="B177" s="369"/>
      <c r="C177" s="304"/>
      <c r="D177" s="304"/>
      <c r="E177" s="304"/>
      <c r="F177" s="15"/>
      <c r="G177" s="15"/>
    </row>
    <row r="178" spans="1:7" ht="15">
      <c r="A178" s="132"/>
      <c r="B178" s="304"/>
      <c r="C178" s="304"/>
      <c r="D178" s="368"/>
      <c r="E178" s="304"/>
      <c r="F178" s="15"/>
      <c r="G178" s="15"/>
    </row>
    <row r="179" spans="1:7" ht="15.75">
      <c r="A179" s="54" t="s">
        <v>3</v>
      </c>
      <c r="B179" s="366"/>
      <c r="C179" s="367"/>
      <c r="D179" s="368"/>
      <c r="E179" s="304"/>
      <c r="F179" s="15"/>
      <c r="G179" s="15"/>
    </row>
    <row r="180" spans="1:7" ht="15">
      <c r="A180" s="132"/>
      <c r="B180" s="304"/>
      <c r="C180" s="304"/>
      <c r="D180" s="368"/>
      <c r="E180" s="304"/>
      <c r="F180" s="15"/>
      <c r="G180" s="15"/>
    </row>
    <row r="181" spans="1:8" ht="15">
      <c r="A181" s="132"/>
      <c r="B181" s="369"/>
      <c r="C181" s="368" t="s">
        <v>21</v>
      </c>
      <c r="E181" s="370" t="s">
        <v>23</v>
      </c>
      <c r="F181" s="25">
        <f>+'9. 2005 Rate Sch. Reg. Assets'!D92</f>
        <v>32.23453397499679</v>
      </c>
      <c r="G181" s="300"/>
      <c r="H181" s="299"/>
    </row>
    <row r="182" spans="1:7" ht="15">
      <c r="A182" s="132"/>
      <c r="B182" s="304"/>
      <c r="C182" s="368" t="s">
        <v>22</v>
      </c>
      <c r="E182" s="370" t="s">
        <v>24</v>
      </c>
      <c r="F182" s="16">
        <f>+'9. 2005 Rate Sch. Reg. Assets'!D90</f>
        <v>0.009926053143928023</v>
      </c>
      <c r="G182" s="300"/>
    </row>
    <row r="183" spans="1:8" ht="15">
      <c r="A183" s="132"/>
      <c r="B183" s="369"/>
      <c r="C183" s="368"/>
      <c r="E183" s="370"/>
      <c r="F183" s="15"/>
      <c r="G183" s="300"/>
      <c r="H183" s="299"/>
    </row>
    <row r="184" spans="1:7" ht="15">
      <c r="A184" s="132"/>
      <c r="B184" s="304"/>
      <c r="C184" s="304"/>
      <c r="D184" s="368"/>
      <c r="E184" s="304"/>
      <c r="F184" s="15"/>
      <c r="G184" s="15"/>
    </row>
    <row r="185" spans="1:7" ht="15.75">
      <c r="A185" s="54" t="s">
        <v>26</v>
      </c>
      <c r="B185" s="366"/>
      <c r="C185" s="367"/>
      <c r="D185" s="368"/>
      <c r="E185" s="304"/>
      <c r="F185" s="15"/>
      <c r="G185" s="15"/>
    </row>
    <row r="186" spans="1:7" ht="15">
      <c r="A186" s="132"/>
      <c r="B186" s="304"/>
      <c r="C186" s="304"/>
      <c r="D186" s="368"/>
      <c r="E186" s="304"/>
      <c r="F186" s="15"/>
      <c r="G186" s="15"/>
    </row>
    <row r="187" spans="1:7" ht="15">
      <c r="A187" s="132"/>
      <c r="B187" s="369"/>
      <c r="C187" s="368" t="s">
        <v>21</v>
      </c>
      <c r="E187" s="370" t="s">
        <v>23</v>
      </c>
      <c r="F187" s="25">
        <f>+'9. 2005 Rate Sch. Reg. Assets'!D99</f>
        <v>133.85747626351818</v>
      </c>
      <c r="G187" s="15"/>
    </row>
    <row r="188" spans="1:7" ht="15">
      <c r="A188" s="132"/>
      <c r="B188" s="304"/>
      <c r="C188" s="368" t="s">
        <v>22</v>
      </c>
      <c r="E188" s="370" t="s">
        <v>27</v>
      </c>
      <c r="F188" s="16">
        <f>+'9. 2005 Rate Sch. Reg. Assets'!D97</f>
        <v>1.3814619766671221</v>
      </c>
      <c r="G188" s="15"/>
    </row>
    <row r="189" spans="1:7" ht="15">
      <c r="A189" s="132"/>
      <c r="B189" s="369"/>
      <c r="C189" s="368"/>
      <c r="E189" s="370"/>
      <c r="F189" s="15"/>
      <c r="G189" s="15"/>
    </row>
    <row r="190" spans="1:7" ht="15">
      <c r="A190" s="132"/>
      <c r="B190" s="304"/>
      <c r="C190" s="304"/>
      <c r="D190" s="368"/>
      <c r="E190" s="304"/>
      <c r="F190" s="15"/>
      <c r="G190" s="15"/>
    </row>
    <row r="191" spans="1:7" ht="15.75">
      <c r="A191" s="54" t="s">
        <v>28</v>
      </c>
      <c r="B191" s="304"/>
      <c r="C191" s="304"/>
      <c r="D191" s="368"/>
      <c r="E191" s="304"/>
      <c r="F191" s="15"/>
      <c r="G191" s="15"/>
    </row>
    <row r="192" spans="2:7" ht="15">
      <c r="B192" s="366"/>
      <c r="C192" s="367"/>
      <c r="D192" s="368"/>
      <c r="E192" s="304"/>
      <c r="F192" s="15"/>
      <c r="G192" s="15"/>
    </row>
    <row r="193" spans="1:7" ht="15.75">
      <c r="A193" s="131"/>
      <c r="B193" s="304"/>
      <c r="C193" s="368" t="s">
        <v>21</v>
      </c>
      <c r="E193" s="370" t="s">
        <v>23</v>
      </c>
      <c r="F193" s="25">
        <f>+'9. 2005 Rate Sch. Reg. Assets'!D112</f>
        <v>3857.508826100473</v>
      </c>
      <c r="G193" s="15"/>
    </row>
    <row r="194" spans="1:7" ht="15">
      <c r="A194" s="132"/>
      <c r="B194" s="369"/>
      <c r="C194" s="368" t="s">
        <v>22</v>
      </c>
      <c r="E194" s="370" t="s">
        <v>27</v>
      </c>
      <c r="F194" s="16">
        <f>+'9. 2005 Rate Sch. Reg. Assets'!D110</f>
        <v>2.0767405324311348</v>
      </c>
      <c r="G194" s="15"/>
    </row>
    <row r="195" spans="1:7" ht="15">
      <c r="A195" s="132"/>
      <c r="B195" s="369"/>
      <c r="C195" s="368"/>
      <c r="E195" s="370"/>
      <c r="F195" s="15"/>
      <c r="G195" s="15"/>
    </row>
    <row r="196" spans="1:7" ht="15.75">
      <c r="A196" s="131"/>
      <c r="B196" s="370"/>
      <c r="C196" s="370"/>
      <c r="D196" s="370"/>
      <c r="E196" s="370"/>
      <c r="F196" s="16"/>
      <c r="G196" s="16"/>
    </row>
    <row r="197" spans="1:7" ht="15.75">
      <c r="A197" s="54" t="s">
        <v>199</v>
      </c>
      <c r="B197" s="370"/>
      <c r="C197" s="370"/>
      <c r="D197" s="370"/>
      <c r="E197" s="370"/>
      <c r="F197" s="16"/>
      <c r="G197" s="16"/>
    </row>
    <row r="198" spans="1:7" ht="15.75">
      <c r="A198" s="131"/>
      <c r="B198" s="370"/>
      <c r="C198" s="370"/>
      <c r="D198" s="370"/>
      <c r="E198" s="370"/>
      <c r="F198" s="25"/>
      <c r="G198" s="16"/>
    </row>
    <row r="199" spans="1:7" ht="15.75">
      <c r="A199" s="131"/>
      <c r="B199" s="304"/>
      <c r="C199" s="368" t="s">
        <v>21</v>
      </c>
      <c r="E199" s="370" t="s">
        <v>23</v>
      </c>
      <c r="F199" s="25" t="s">
        <v>153</v>
      </c>
      <c r="G199" s="15"/>
    </row>
    <row r="200" spans="2:7" ht="15">
      <c r="B200" s="304"/>
      <c r="C200" s="368" t="s">
        <v>22</v>
      </c>
      <c r="E200" s="370" t="s">
        <v>27</v>
      </c>
      <c r="F200" s="16" t="s">
        <v>153</v>
      </c>
      <c r="G200" s="15"/>
    </row>
    <row r="201" spans="1:7" ht="15">
      <c r="A201" s="132"/>
      <c r="B201" s="304"/>
      <c r="C201" s="368"/>
      <c r="E201" s="370"/>
      <c r="F201" s="15"/>
      <c r="G201" s="15"/>
    </row>
    <row r="202" spans="1:7" ht="15">
      <c r="A202" s="132"/>
      <c r="B202" s="304"/>
      <c r="C202" s="304"/>
      <c r="D202" s="368"/>
      <c r="E202" s="304"/>
      <c r="F202" s="15"/>
      <c r="G202" s="15"/>
    </row>
    <row r="203" spans="1:7" ht="15.75">
      <c r="A203" s="54" t="s">
        <v>1</v>
      </c>
      <c r="B203" s="304"/>
      <c r="C203" s="304"/>
      <c r="D203" s="368"/>
      <c r="E203" s="304"/>
      <c r="F203" s="15"/>
      <c r="G203" s="15"/>
    </row>
    <row r="204" spans="1:7" ht="15">
      <c r="A204" s="132"/>
      <c r="B204" s="304"/>
      <c r="C204" s="304"/>
      <c r="D204" s="368"/>
      <c r="E204" s="304"/>
      <c r="F204" s="15"/>
      <c r="G204" s="15"/>
    </row>
    <row r="205" spans="2:7" ht="15">
      <c r="B205" s="304"/>
      <c r="C205" s="368" t="s">
        <v>21</v>
      </c>
      <c r="E205" s="370" t="s">
        <v>23</v>
      </c>
      <c r="F205" s="25">
        <f>+'9. 2005 Rate Sch. Reg. Assets'!D125</f>
        <v>10069.069583156099</v>
      </c>
      <c r="G205" s="15"/>
    </row>
    <row r="206" spans="1:7" ht="15">
      <c r="A206" s="132"/>
      <c r="B206" s="304"/>
      <c r="C206" s="368" t="s">
        <v>22</v>
      </c>
      <c r="E206" s="370" t="s">
        <v>27</v>
      </c>
      <c r="F206" s="16">
        <f>+'9. 2005 Rate Sch. Reg. Assets'!D123</f>
        <v>2.6159248864575155</v>
      </c>
      <c r="G206" s="15"/>
    </row>
    <row r="207" spans="1:7" ht="15">
      <c r="A207" s="132"/>
      <c r="B207" s="369"/>
      <c r="C207" s="368"/>
      <c r="E207" s="370"/>
      <c r="F207" s="15"/>
      <c r="G207" s="15"/>
    </row>
    <row r="208" spans="1:7" ht="15">
      <c r="A208" s="132"/>
      <c r="B208" s="304"/>
      <c r="C208" s="304"/>
      <c r="D208" s="371"/>
      <c r="E208" s="304"/>
      <c r="F208" s="15"/>
      <c r="G208" s="15"/>
    </row>
    <row r="209" spans="1:7" ht="15">
      <c r="A209" s="132"/>
      <c r="B209" s="304"/>
      <c r="C209" s="304"/>
      <c r="D209" s="368"/>
      <c r="E209" s="304"/>
      <c r="F209" s="15"/>
      <c r="G209" s="15"/>
    </row>
    <row r="210" spans="1:7" ht="15.75">
      <c r="A210" s="54" t="s">
        <v>29</v>
      </c>
      <c r="B210" s="369"/>
      <c r="C210" s="304"/>
      <c r="D210" s="368"/>
      <c r="E210" s="304"/>
      <c r="F210" s="15"/>
      <c r="G210" s="15"/>
    </row>
    <row r="211" spans="1:7" ht="15">
      <c r="A211" s="132"/>
      <c r="B211" s="304"/>
      <c r="C211" s="304"/>
      <c r="D211" s="368"/>
      <c r="E211" s="304"/>
      <c r="F211" s="15"/>
      <c r="G211" s="15"/>
    </row>
    <row r="212" spans="1:7" ht="15">
      <c r="A212" s="132"/>
      <c r="B212" s="369"/>
      <c r="C212" s="368" t="s">
        <v>21</v>
      </c>
      <c r="E212" s="370" t="s">
        <v>253</v>
      </c>
      <c r="F212" s="25">
        <f>+'9. 2005 Rate Sch. Reg. Assets'!D149</f>
        <v>4.851132973099862</v>
      </c>
      <c r="G212" s="15"/>
    </row>
    <row r="213" spans="1:7" ht="15">
      <c r="A213" s="132"/>
      <c r="B213" s="304"/>
      <c r="C213" s="368" t="s">
        <v>22</v>
      </c>
      <c r="E213" s="370" t="s">
        <v>27</v>
      </c>
      <c r="F213" s="16">
        <f>+'9. 2005 Rate Sch. Reg. Assets'!D147</f>
        <v>3.141334406415556</v>
      </c>
      <c r="G213" s="15"/>
    </row>
    <row r="214" spans="1:7" ht="15">
      <c r="A214" s="132"/>
      <c r="B214" s="304"/>
      <c r="C214" s="368"/>
      <c r="E214" s="370"/>
      <c r="F214" s="15"/>
      <c r="G214" s="15"/>
    </row>
    <row r="215" spans="1:7" ht="15.75">
      <c r="A215" s="131"/>
      <c r="B215" s="304"/>
      <c r="C215" s="304"/>
      <c r="D215" s="368"/>
      <c r="E215" s="304"/>
      <c r="F215" s="15"/>
      <c r="G215" s="15"/>
    </row>
    <row r="216" spans="1:7" ht="15.75">
      <c r="A216" s="54" t="s">
        <v>30</v>
      </c>
      <c r="B216" s="304"/>
      <c r="C216" s="304"/>
      <c r="D216" s="368"/>
      <c r="E216" s="304"/>
      <c r="F216" s="15"/>
      <c r="G216" s="15"/>
    </row>
    <row r="217" spans="2:7" ht="15">
      <c r="B217" s="304"/>
      <c r="C217" s="304"/>
      <c r="D217" s="368"/>
      <c r="E217" s="304"/>
      <c r="F217" s="15"/>
      <c r="G217" s="15"/>
    </row>
    <row r="218" spans="1:7" ht="15">
      <c r="A218" s="132"/>
      <c r="B218" s="369"/>
      <c r="C218" s="368" t="s">
        <v>21</v>
      </c>
      <c r="E218" s="370" t="s">
        <v>23</v>
      </c>
      <c r="F218" s="25" t="s">
        <v>153</v>
      </c>
      <c r="G218" s="15"/>
    </row>
    <row r="219" spans="1:7" ht="15">
      <c r="A219" s="132"/>
      <c r="B219" s="304"/>
      <c r="C219" s="368" t="s">
        <v>22</v>
      </c>
      <c r="E219" s="370" t="s">
        <v>27</v>
      </c>
      <c r="F219" s="16" t="s">
        <v>153</v>
      </c>
      <c r="G219" s="15"/>
    </row>
    <row r="220" spans="1:7" ht="15">
      <c r="A220" s="132"/>
      <c r="B220" s="369"/>
      <c r="C220" s="304"/>
      <c r="E220" s="370"/>
      <c r="F220" s="15"/>
      <c r="G220" s="15"/>
    </row>
    <row r="221" spans="1:7" ht="15">
      <c r="A221" s="132"/>
      <c r="B221" s="370"/>
      <c r="C221" s="370"/>
      <c r="D221" s="368"/>
      <c r="E221" s="304"/>
      <c r="F221" s="15"/>
      <c r="G221" s="15"/>
    </row>
    <row r="222" spans="1:7" ht="15.75">
      <c r="A222" s="54" t="s">
        <v>31</v>
      </c>
      <c r="B222" s="369"/>
      <c r="C222" s="304"/>
      <c r="D222" s="368"/>
      <c r="E222" s="304"/>
      <c r="F222" s="15"/>
      <c r="G222" s="15"/>
    </row>
    <row r="223" spans="1:7" ht="15">
      <c r="A223" s="132"/>
      <c r="B223" s="304"/>
      <c r="C223" s="304"/>
      <c r="D223" s="368"/>
      <c r="E223" s="304"/>
      <c r="F223" s="15"/>
      <c r="G223" s="15"/>
    </row>
    <row r="224" spans="1:7" ht="15">
      <c r="A224" s="132"/>
      <c r="B224" s="369"/>
      <c r="C224" s="368" t="s">
        <v>21</v>
      </c>
      <c r="E224" s="370" t="s">
        <v>253</v>
      </c>
      <c r="F224" s="25">
        <f>+'9. 2005 Rate Sch. Reg. Assets'!D213</f>
        <v>5164.943274510951</v>
      </c>
      <c r="G224" s="15"/>
    </row>
    <row r="225" spans="1:7" ht="15">
      <c r="A225" s="132"/>
      <c r="B225" s="304"/>
      <c r="C225" s="368" t="s">
        <v>22</v>
      </c>
      <c r="E225" s="370" t="s">
        <v>27</v>
      </c>
      <c r="F225" s="16">
        <f>+'9. 2005 Rate Sch. Reg. Assets'!D211</f>
        <v>3.2972791370398045</v>
      </c>
      <c r="G225" s="15"/>
    </row>
    <row r="226" spans="1:7" ht="15">
      <c r="A226" s="132"/>
      <c r="B226" s="304"/>
      <c r="C226" s="368"/>
      <c r="E226" s="370"/>
      <c r="F226" s="15"/>
      <c r="G226" s="15"/>
    </row>
    <row r="227" spans="1:7" ht="15.75">
      <c r="A227" s="131"/>
      <c r="B227" s="304"/>
      <c r="C227" s="304"/>
      <c r="D227" s="368"/>
      <c r="E227" s="304"/>
      <c r="F227" s="15"/>
      <c r="G227" s="15"/>
    </row>
    <row r="228" spans="1:7" ht="15.75">
      <c r="A228" s="54" t="s">
        <v>32</v>
      </c>
      <c r="B228" s="304"/>
      <c r="C228" s="304"/>
      <c r="D228" s="368"/>
      <c r="E228" s="304"/>
      <c r="F228" s="15"/>
      <c r="G228" s="15"/>
    </row>
    <row r="229" spans="2:7" ht="15">
      <c r="B229" s="304"/>
      <c r="C229" s="304"/>
      <c r="D229" s="368"/>
      <c r="E229" s="304"/>
      <c r="F229" s="15"/>
      <c r="G229" s="15"/>
    </row>
    <row r="230" spans="1:7" ht="15">
      <c r="A230" s="132"/>
      <c r="B230" s="369"/>
      <c r="C230" s="368" t="s">
        <v>21</v>
      </c>
      <c r="E230" s="370" t="s">
        <v>23</v>
      </c>
      <c r="F230" s="25" t="s">
        <v>153</v>
      </c>
      <c r="G230" s="15"/>
    </row>
    <row r="231" spans="1:7" ht="15">
      <c r="A231" s="132"/>
      <c r="B231" s="304"/>
      <c r="C231" s="368" t="s">
        <v>22</v>
      </c>
      <c r="E231" s="370" t="s">
        <v>27</v>
      </c>
      <c r="F231" s="16" t="s">
        <v>153</v>
      </c>
      <c r="G231" s="15"/>
    </row>
    <row r="232" spans="1:7" ht="15">
      <c r="A232" s="132"/>
      <c r="B232" s="369"/>
      <c r="C232" s="304"/>
      <c r="E232" s="370"/>
      <c r="F232" s="15"/>
      <c r="G232" s="15"/>
    </row>
    <row r="233" spans="1:7" ht="15.75">
      <c r="A233" s="131"/>
      <c r="B233" s="304"/>
      <c r="C233" s="304"/>
      <c r="D233" s="368"/>
      <c r="E233" s="304"/>
      <c r="F233" s="15"/>
      <c r="G233" s="15"/>
    </row>
    <row r="234" spans="1:7" ht="15">
      <c r="A234" s="132"/>
      <c r="B234" s="304"/>
      <c r="C234" s="304"/>
      <c r="D234" s="368"/>
      <c r="E234" s="304"/>
      <c r="F234" s="15"/>
      <c r="G234" s="15"/>
    </row>
    <row r="235" spans="1:8" ht="15.75">
      <c r="A235" s="561">
        <f>IF(ISBLANK('Info Sheet'!B238),"",'Info Sheet'!B238)</f>
      </c>
      <c r="B235" s="561"/>
      <c r="C235" s="561"/>
      <c r="D235" s="561"/>
      <c r="E235" s="561"/>
      <c r="F235" s="561"/>
      <c r="G235" s="561"/>
      <c r="H235" s="561"/>
    </row>
    <row r="236" spans="1:8" ht="15.75">
      <c r="A236" s="561">
        <f>IF(ISBLANK('Info Sheet'!B240),"",'Info Sheet'!B242&amp;"    "&amp;'Info Sheet'!B244)</f>
      </c>
      <c r="B236" s="561"/>
      <c r="C236" s="561"/>
      <c r="D236" s="561"/>
      <c r="E236" s="561"/>
      <c r="F236" s="561"/>
      <c r="G236" s="561"/>
      <c r="H236" s="561"/>
    </row>
    <row r="237" spans="1:8" ht="15.75">
      <c r="A237" s="561" t="s">
        <v>173</v>
      </c>
      <c r="B237" s="561"/>
      <c r="C237" s="561"/>
      <c r="D237" s="561"/>
      <c r="E237" s="561"/>
      <c r="F237" s="561"/>
      <c r="G237" s="561"/>
      <c r="H237" s="561"/>
    </row>
    <row r="238" spans="1:8" ht="14.25">
      <c r="A238" s="562" t="s">
        <v>174</v>
      </c>
      <c r="B238" s="562"/>
      <c r="C238" s="562"/>
      <c r="D238" s="562"/>
      <c r="E238" s="562"/>
      <c r="F238" s="562"/>
      <c r="G238" s="562"/>
      <c r="H238" s="562"/>
    </row>
    <row r="239" spans="1:8" ht="14.25">
      <c r="A239" s="372"/>
      <c r="B239" s="372"/>
      <c r="C239" s="372"/>
      <c r="D239" s="563" t="s">
        <v>245</v>
      </c>
      <c r="E239" s="563"/>
      <c r="F239" s="372"/>
      <c r="G239" s="372"/>
      <c r="H239" s="372"/>
    </row>
    <row r="240" spans="1:5" ht="15.75">
      <c r="A240" s="36"/>
      <c r="D240" s="132"/>
      <c r="E240" s="36"/>
    </row>
    <row r="241" spans="1:5" ht="15.75">
      <c r="A241" s="387" t="s">
        <v>144</v>
      </c>
      <c r="D241" s="132"/>
      <c r="E241" s="36"/>
    </row>
    <row r="242" spans="1:5" ht="15.75">
      <c r="A242" s="47"/>
      <c r="B242" s="132"/>
      <c r="C242" s="132"/>
      <c r="D242" s="132"/>
      <c r="E242" s="132"/>
    </row>
    <row r="243" spans="1:5" ht="15.75">
      <c r="A243" s="47"/>
      <c r="B243" s="132"/>
      <c r="C243" s="132"/>
      <c r="D243" s="132"/>
      <c r="E243" s="132"/>
    </row>
    <row r="244" spans="1:5" ht="15.75">
      <c r="A244" s="47"/>
      <c r="B244" s="132"/>
      <c r="C244" s="132"/>
      <c r="D244" s="132"/>
      <c r="E244" s="132"/>
    </row>
    <row r="245" spans="1:7" ht="15.75">
      <c r="A245" s="54" t="s">
        <v>0</v>
      </c>
      <c r="B245" s="366"/>
      <c r="C245" s="367"/>
      <c r="D245" s="131"/>
      <c r="E245" s="304"/>
      <c r="G245" s="15"/>
    </row>
    <row r="246" spans="1:7" ht="15">
      <c r="A246" s="132"/>
      <c r="B246" s="304"/>
      <c r="C246" s="304"/>
      <c r="D246" s="368"/>
      <c r="E246" s="304"/>
      <c r="F246" s="15"/>
      <c r="G246" s="15"/>
    </row>
    <row r="247" spans="1:8" ht="15">
      <c r="A247" s="132"/>
      <c r="B247" s="369"/>
      <c r="C247" s="368" t="s">
        <v>21</v>
      </c>
      <c r="E247" s="370" t="s">
        <v>23</v>
      </c>
      <c r="F247" s="25">
        <f>+'9. 2005 Rate Sch. Reg. Assets'!D36</f>
        <v>12.329782012300532</v>
      </c>
      <c r="G247" s="299"/>
      <c r="H247" s="299"/>
    </row>
    <row r="248" spans="1:7" ht="15">
      <c r="A248" s="132"/>
      <c r="B248" s="304"/>
      <c r="C248" s="368" t="s">
        <v>22</v>
      </c>
      <c r="E248" s="370" t="s">
        <v>24</v>
      </c>
      <c r="F248" s="16">
        <f>+'9. 2005 Rate Sch. Reg. Assets'!D34</f>
        <v>0.01412564658497362</v>
      </c>
      <c r="G248" s="15"/>
    </row>
    <row r="249" spans="1:8" ht="15">
      <c r="A249" s="132"/>
      <c r="B249" s="369"/>
      <c r="C249" s="368"/>
      <c r="E249" s="370"/>
      <c r="F249" s="15"/>
      <c r="G249" s="279"/>
      <c r="H249" s="299"/>
    </row>
    <row r="250" spans="1:7" ht="15">
      <c r="A250" s="132"/>
      <c r="B250" s="304"/>
      <c r="C250" s="304"/>
      <c r="D250" s="304"/>
      <c r="E250" s="304"/>
      <c r="F250" s="15"/>
      <c r="G250" s="15"/>
    </row>
    <row r="251" spans="1:7" ht="15.75">
      <c r="A251" s="54" t="s">
        <v>25</v>
      </c>
      <c r="B251" s="366"/>
      <c r="C251" s="367"/>
      <c r="D251" s="304"/>
      <c r="E251" s="304"/>
      <c r="F251" s="15"/>
      <c r="G251" s="15"/>
    </row>
    <row r="252" spans="1:7" ht="15">
      <c r="A252" s="132"/>
      <c r="B252" s="304"/>
      <c r="C252" s="304"/>
      <c r="D252" s="304"/>
      <c r="E252" s="304"/>
      <c r="F252" s="15"/>
      <c r="G252" s="15"/>
    </row>
    <row r="253" spans="1:7" ht="15">
      <c r="A253" s="132"/>
      <c r="B253" s="369"/>
      <c r="C253" s="368" t="s">
        <v>21</v>
      </c>
      <c r="E253" s="370" t="s">
        <v>23</v>
      </c>
      <c r="F253" s="25" t="s">
        <v>153</v>
      </c>
      <c r="G253" s="15"/>
    </row>
    <row r="254" spans="1:7" ht="15">
      <c r="A254" s="132"/>
      <c r="B254" s="304"/>
      <c r="C254" s="368" t="s">
        <v>22</v>
      </c>
      <c r="E254" s="370" t="s">
        <v>24</v>
      </c>
      <c r="F254" s="16" t="s">
        <v>153</v>
      </c>
      <c r="G254" s="15"/>
    </row>
    <row r="255" spans="1:7" ht="15">
      <c r="A255" s="132"/>
      <c r="B255" s="369"/>
      <c r="C255" s="304"/>
      <c r="D255" s="304"/>
      <c r="E255" s="304"/>
      <c r="F255" s="15"/>
      <c r="G255" s="15"/>
    </row>
    <row r="256" spans="1:7" ht="15">
      <c r="A256" s="132"/>
      <c r="B256" s="304"/>
      <c r="C256" s="304"/>
      <c r="D256" s="368"/>
      <c r="E256" s="304"/>
      <c r="F256" s="15"/>
      <c r="G256" s="15"/>
    </row>
    <row r="257" spans="1:7" ht="15.75">
      <c r="A257" s="54" t="s">
        <v>3</v>
      </c>
      <c r="B257" s="366"/>
      <c r="C257" s="367"/>
      <c r="D257" s="368"/>
      <c r="E257" s="304"/>
      <c r="F257" s="15"/>
      <c r="G257" s="15"/>
    </row>
    <row r="258" spans="1:7" ht="15">
      <c r="A258" s="132"/>
      <c r="B258" s="304"/>
      <c r="C258" s="304"/>
      <c r="D258" s="368"/>
      <c r="E258" s="304"/>
      <c r="F258" s="15"/>
      <c r="G258" s="15"/>
    </row>
    <row r="259" spans="1:8" ht="15">
      <c r="A259" s="132"/>
      <c r="B259" s="369"/>
      <c r="C259" s="368" t="s">
        <v>21</v>
      </c>
      <c r="E259" s="370" t="s">
        <v>23</v>
      </c>
      <c r="F259" s="25">
        <f>+'9. 2005 Rate Sch. Reg. Assets'!D92</f>
        <v>32.23453397499679</v>
      </c>
      <c r="G259" s="300"/>
      <c r="H259" s="299"/>
    </row>
    <row r="260" spans="1:7" ht="15">
      <c r="A260" s="132"/>
      <c r="B260" s="304"/>
      <c r="C260" s="368" t="s">
        <v>22</v>
      </c>
      <c r="E260" s="370" t="s">
        <v>24</v>
      </c>
      <c r="F260" s="16">
        <f>+'9. 2005 Rate Sch. Reg. Assets'!D90</f>
        <v>0.009926053143928023</v>
      </c>
      <c r="G260" s="300"/>
    </row>
    <row r="261" spans="1:8" ht="15">
      <c r="A261" s="132"/>
      <c r="B261" s="369"/>
      <c r="C261" s="368"/>
      <c r="E261" s="370"/>
      <c r="F261" s="15"/>
      <c r="G261" s="300"/>
      <c r="H261" s="299"/>
    </row>
    <row r="262" spans="1:7" ht="15">
      <c r="A262" s="132"/>
      <c r="B262" s="304"/>
      <c r="C262" s="304"/>
      <c r="D262" s="368"/>
      <c r="E262" s="304"/>
      <c r="F262" s="15"/>
      <c r="G262" s="15"/>
    </row>
    <row r="263" spans="1:7" ht="15.75">
      <c r="A263" s="54" t="s">
        <v>26</v>
      </c>
      <c r="B263" s="366"/>
      <c r="C263" s="367"/>
      <c r="D263" s="368"/>
      <c r="E263" s="304"/>
      <c r="F263" s="15"/>
      <c r="G263" s="15"/>
    </row>
    <row r="264" spans="1:7" ht="15">
      <c r="A264" s="132"/>
      <c r="B264" s="304"/>
      <c r="C264" s="304"/>
      <c r="D264" s="368"/>
      <c r="E264" s="304"/>
      <c r="F264" s="15"/>
      <c r="G264" s="15"/>
    </row>
    <row r="265" spans="1:7" ht="15">
      <c r="A265" s="132"/>
      <c r="B265" s="369"/>
      <c r="C265" s="368" t="s">
        <v>21</v>
      </c>
      <c r="E265" s="370" t="s">
        <v>23</v>
      </c>
      <c r="F265" s="25">
        <f>+'9. 2005 Rate Sch. Reg. Assets'!D99</f>
        <v>133.85747626351818</v>
      </c>
      <c r="G265" s="15"/>
    </row>
    <row r="266" spans="1:7" ht="15">
      <c r="A266" s="132"/>
      <c r="B266" s="304"/>
      <c r="C266" s="368" t="s">
        <v>22</v>
      </c>
      <c r="E266" s="370" t="s">
        <v>27</v>
      </c>
      <c r="F266" s="16">
        <f>+'9. 2005 Rate Sch. Reg. Assets'!D97</f>
        <v>1.3814619766671221</v>
      </c>
      <c r="G266" s="15"/>
    </row>
    <row r="267" spans="1:7" ht="15">
      <c r="A267" s="132"/>
      <c r="B267" s="369"/>
      <c r="C267" s="368"/>
      <c r="E267" s="370"/>
      <c r="F267" s="15"/>
      <c r="G267" s="15"/>
    </row>
    <row r="268" spans="1:7" ht="15">
      <c r="A268" s="132"/>
      <c r="B268" s="304"/>
      <c r="C268" s="304"/>
      <c r="D268" s="368"/>
      <c r="E268" s="304"/>
      <c r="F268" s="15"/>
      <c r="G268" s="15"/>
    </row>
    <row r="269" spans="1:7" ht="15.75">
      <c r="A269" s="54" t="s">
        <v>28</v>
      </c>
      <c r="B269" s="304"/>
      <c r="C269" s="304"/>
      <c r="D269" s="368"/>
      <c r="E269" s="304"/>
      <c r="F269" s="15"/>
      <c r="G269" s="15"/>
    </row>
    <row r="270" spans="2:7" ht="15">
      <c r="B270" s="366"/>
      <c r="C270" s="367"/>
      <c r="D270" s="368"/>
      <c r="E270" s="304"/>
      <c r="F270" s="15"/>
      <c r="G270" s="15"/>
    </row>
    <row r="271" spans="1:7" ht="15.75">
      <c r="A271" s="131"/>
      <c r="B271" s="304"/>
      <c r="C271" s="368" t="s">
        <v>21</v>
      </c>
      <c r="E271" s="370" t="s">
        <v>23</v>
      </c>
      <c r="F271" s="25" t="s">
        <v>153</v>
      </c>
      <c r="G271" s="15"/>
    </row>
    <row r="272" spans="1:7" ht="15">
      <c r="A272" s="132"/>
      <c r="B272" s="369"/>
      <c r="C272" s="368" t="s">
        <v>22</v>
      </c>
      <c r="E272" s="370" t="s">
        <v>27</v>
      </c>
      <c r="F272" s="16" t="s">
        <v>153</v>
      </c>
      <c r="G272" s="15"/>
    </row>
    <row r="273" spans="1:7" ht="15">
      <c r="A273" s="132"/>
      <c r="B273" s="369"/>
      <c r="C273" s="368"/>
      <c r="E273" s="370"/>
      <c r="F273" s="15"/>
      <c r="G273" s="15"/>
    </row>
    <row r="274" spans="1:7" ht="15.75">
      <c r="A274" s="131"/>
      <c r="B274" s="370"/>
      <c r="C274" s="370"/>
      <c r="D274" s="370"/>
      <c r="E274" s="370"/>
      <c r="F274" s="16"/>
      <c r="G274" s="16"/>
    </row>
    <row r="275" spans="1:7" ht="15.75">
      <c r="A275" s="54" t="s">
        <v>199</v>
      </c>
      <c r="B275" s="370"/>
      <c r="C275" s="370"/>
      <c r="D275" s="370"/>
      <c r="E275" s="370"/>
      <c r="F275" s="16"/>
      <c r="G275" s="16"/>
    </row>
    <row r="276" spans="1:7" ht="15.75">
      <c r="A276" s="131"/>
      <c r="B276" s="370"/>
      <c r="C276" s="370"/>
      <c r="D276" s="370"/>
      <c r="E276" s="370"/>
      <c r="F276" s="25"/>
      <c r="G276" s="16"/>
    </row>
    <row r="277" spans="1:7" ht="15.75">
      <c r="A277" s="131"/>
      <c r="B277" s="304"/>
      <c r="C277" s="368" t="s">
        <v>21</v>
      </c>
      <c r="E277" s="370" t="s">
        <v>23</v>
      </c>
      <c r="F277" s="25" t="s">
        <v>153</v>
      </c>
      <c r="G277" s="15"/>
    </row>
    <row r="278" spans="2:7" ht="15">
      <c r="B278" s="304"/>
      <c r="C278" s="368" t="s">
        <v>22</v>
      </c>
      <c r="E278" s="370" t="s">
        <v>27</v>
      </c>
      <c r="F278" s="16" t="s">
        <v>153</v>
      </c>
      <c r="G278" s="15"/>
    </row>
    <row r="279" spans="1:7" ht="15">
      <c r="A279" s="132"/>
      <c r="B279" s="304"/>
      <c r="C279" s="368"/>
      <c r="E279" s="370"/>
      <c r="F279" s="15"/>
      <c r="G279" s="15"/>
    </row>
    <row r="280" spans="1:7" ht="15">
      <c r="A280" s="132"/>
      <c r="B280" s="304"/>
      <c r="C280" s="304"/>
      <c r="D280" s="368"/>
      <c r="E280" s="304"/>
      <c r="F280" s="15"/>
      <c r="G280" s="15"/>
    </row>
    <row r="281" spans="1:7" ht="15.75">
      <c r="A281" s="54" t="s">
        <v>1</v>
      </c>
      <c r="B281" s="304"/>
      <c r="C281" s="304"/>
      <c r="D281" s="368"/>
      <c r="E281" s="304"/>
      <c r="F281" s="15"/>
      <c r="G281" s="15"/>
    </row>
    <row r="282" spans="1:7" ht="15">
      <c r="A282" s="132"/>
      <c r="B282" s="304"/>
      <c r="C282" s="304"/>
      <c r="D282" s="368"/>
      <c r="E282" s="304"/>
      <c r="F282" s="15"/>
      <c r="G282" s="15"/>
    </row>
    <row r="283" spans="2:7" ht="15">
      <c r="B283" s="304"/>
      <c r="C283" s="368" t="s">
        <v>21</v>
      </c>
      <c r="E283" s="370" t="s">
        <v>23</v>
      </c>
      <c r="F283" s="25" t="s">
        <v>153</v>
      </c>
      <c r="G283" s="15"/>
    </row>
    <row r="284" spans="1:7" ht="15">
      <c r="A284" s="132"/>
      <c r="B284" s="304"/>
      <c r="C284" s="368" t="s">
        <v>22</v>
      </c>
      <c r="E284" s="370" t="s">
        <v>27</v>
      </c>
      <c r="F284" s="16" t="s">
        <v>153</v>
      </c>
      <c r="G284" s="15"/>
    </row>
    <row r="285" spans="1:7" ht="15">
      <c r="A285" s="132"/>
      <c r="B285" s="369"/>
      <c r="C285" s="368"/>
      <c r="E285" s="370"/>
      <c r="F285" s="15"/>
      <c r="G285" s="15"/>
    </row>
    <row r="286" spans="1:7" ht="15">
      <c r="A286" s="132"/>
      <c r="B286" s="304"/>
      <c r="C286" s="304"/>
      <c r="D286" s="371"/>
      <c r="E286" s="304"/>
      <c r="F286" s="15"/>
      <c r="G286" s="15"/>
    </row>
    <row r="287" spans="1:7" ht="15">
      <c r="A287" s="132"/>
      <c r="B287" s="304"/>
      <c r="C287" s="304"/>
      <c r="D287" s="368"/>
      <c r="E287" s="304"/>
      <c r="F287" s="15"/>
      <c r="G287" s="15"/>
    </row>
    <row r="288" spans="1:7" ht="15.75">
      <c r="A288" s="54" t="s">
        <v>29</v>
      </c>
      <c r="B288" s="369"/>
      <c r="C288" s="304"/>
      <c r="D288" s="368"/>
      <c r="E288" s="304"/>
      <c r="F288" s="15"/>
      <c r="G288" s="15"/>
    </row>
    <row r="289" spans="1:7" ht="15">
      <c r="A289" s="132"/>
      <c r="B289" s="304"/>
      <c r="C289" s="304"/>
      <c r="D289" s="368"/>
      <c r="E289" s="304"/>
      <c r="F289" s="15"/>
      <c r="G289" s="15"/>
    </row>
    <row r="290" spans="1:7" ht="15">
      <c r="A290" s="132"/>
      <c r="B290" s="369"/>
      <c r="C290" s="368" t="s">
        <v>21</v>
      </c>
      <c r="E290" s="370" t="s">
        <v>253</v>
      </c>
      <c r="F290" s="25">
        <f>+'9. 2005 Rate Sch. Reg. Assets'!D155</f>
        <v>4.519230142673625</v>
      </c>
      <c r="G290" s="15"/>
    </row>
    <row r="291" spans="1:7" ht="15">
      <c r="A291" s="132"/>
      <c r="B291" s="304"/>
      <c r="C291" s="368" t="s">
        <v>22</v>
      </c>
      <c r="E291" s="370" t="s">
        <v>27</v>
      </c>
      <c r="F291" s="16">
        <f>+'9. 2005 Rate Sch. Reg. Assets'!D153</f>
        <v>3.1588677775103564</v>
      </c>
      <c r="G291" s="15"/>
    </row>
    <row r="292" spans="1:7" ht="15">
      <c r="A292" s="132"/>
      <c r="B292" s="304"/>
      <c r="C292" s="368"/>
      <c r="E292" s="370"/>
      <c r="F292" s="15"/>
      <c r="G292" s="15"/>
    </row>
    <row r="293" spans="1:7" ht="15.75">
      <c r="A293" s="131"/>
      <c r="B293" s="304"/>
      <c r="C293" s="304"/>
      <c r="D293" s="368"/>
      <c r="E293" s="304"/>
      <c r="F293" s="15"/>
      <c r="G293" s="15"/>
    </row>
    <row r="294" spans="1:7" ht="15.75">
      <c r="A294" s="54" t="s">
        <v>30</v>
      </c>
      <c r="B294" s="304"/>
      <c r="C294" s="304"/>
      <c r="D294" s="368"/>
      <c r="E294" s="304"/>
      <c r="F294" s="15"/>
      <c r="G294" s="15"/>
    </row>
    <row r="295" spans="2:7" ht="15">
      <c r="B295" s="304"/>
      <c r="C295" s="304"/>
      <c r="D295" s="368"/>
      <c r="E295" s="304"/>
      <c r="F295" s="15"/>
      <c r="G295" s="15"/>
    </row>
    <row r="296" spans="1:7" ht="15">
      <c r="A296" s="132"/>
      <c r="B296" s="369"/>
      <c r="C296" s="368" t="s">
        <v>21</v>
      </c>
      <c r="E296" s="370" t="s">
        <v>23</v>
      </c>
      <c r="F296" s="25" t="s">
        <v>153</v>
      </c>
      <c r="G296" s="15"/>
    </row>
    <row r="297" spans="1:7" ht="15">
      <c r="A297" s="132"/>
      <c r="B297" s="304"/>
      <c r="C297" s="368" t="s">
        <v>22</v>
      </c>
      <c r="E297" s="370" t="s">
        <v>27</v>
      </c>
      <c r="F297" s="16" t="s">
        <v>153</v>
      </c>
      <c r="G297" s="15"/>
    </row>
    <row r="298" spans="1:7" ht="15">
      <c r="A298" s="132"/>
      <c r="B298" s="369"/>
      <c r="C298" s="304"/>
      <c r="E298" s="370"/>
      <c r="F298" s="15"/>
      <c r="G298" s="15"/>
    </row>
    <row r="299" spans="1:7" ht="15">
      <c r="A299" s="132"/>
      <c r="B299" s="370"/>
      <c r="C299" s="370"/>
      <c r="D299" s="368"/>
      <c r="E299" s="304"/>
      <c r="F299" s="15"/>
      <c r="G299" s="15"/>
    </row>
    <row r="300" spans="1:7" ht="15.75">
      <c r="A300" s="54" t="s">
        <v>31</v>
      </c>
      <c r="B300" s="369"/>
      <c r="C300" s="304"/>
      <c r="D300" s="368"/>
      <c r="E300" s="304"/>
      <c r="F300" s="15"/>
      <c r="G300" s="15"/>
    </row>
    <row r="301" spans="1:7" ht="15">
      <c r="A301" s="132"/>
      <c r="B301" s="304"/>
      <c r="C301" s="304"/>
      <c r="D301" s="368"/>
      <c r="E301" s="304"/>
      <c r="F301" s="15"/>
      <c r="G301" s="15"/>
    </row>
    <row r="302" spans="1:7" ht="15">
      <c r="A302" s="132"/>
      <c r="B302" s="369"/>
      <c r="C302" s="368" t="s">
        <v>21</v>
      </c>
      <c r="E302" s="370" t="s">
        <v>253</v>
      </c>
      <c r="F302" s="25" t="s">
        <v>153</v>
      </c>
      <c r="G302" s="15"/>
    </row>
    <row r="303" spans="1:7" ht="15">
      <c r="A303" s="132"/>
      <c r="B303" s="304"/>
      <c r="C303" s="368" t="s">
        <v>22</v>
      </c>
      <c r="E303" s="370" t="s">
        <v>27</v>
      </c>
      <c r="F303" s="16" t="s">
        <v>153</v>
      </c>
      <c r="G303" s="15"/>
    </row>
    <row r="304" spans="1:7" ht="15">
      <c r="A304" s="132"/>
      <c r="B304" s="304"/>
      <c r="C304" s="368"/>
      <c r="E304" s="370"/>
      <c r="F304" s="15"/>
      <c r="G304" s="15"/>
    </row>
    <row r="305" spans="1:7" ht="15.75">
      <c r="A305" s="131"/>
      <c r="B305" s="304"/>
      <c r="C305" s="304"/>
      <c r="D305" s="368"/>
      <c r="E305" s="304"/>
      <c r="F305" s="15"/>
      <c r="G305" s="15"/>
    </row>
    <row r="306" spans="1:7" ht="15.75">
      <c r="A306" s="54" t="s">
        <v>32</v>
      </c>
      <c r="B306" s="304"/>
      <c r="C306" s="304"/>
      <c r="D306" s="368"/>
      <c r="E306" s="304"/>
      <c r="F306" s="15"/>
      <c r="G306" s="15"/>
    </row>
    <row r="307" spans="2:7" ht="15">
      <c r="B307" s="304"/>
      <c r="C307" s="304"/>
      <c r="D307" s="368"/>
      <c r="E307" s="304"/>
      <c r="F307" s="15"/>
      <c r="G307" s="15"/>
    </row>
    <row r="308" spans="1:7" ht="15">
      <c r="A308" s="132"/>
      <c r="B308" s="369"/>
      <c r="C308" s="368" t="s">
        <v>21</v>
      </c>
      <c r="E308" s="370" t="s">
        <v>23</v>
      </c>
      <c r="F308" s="25" t="s">
        <v>153</v>
      </c>
      <c r="G308" s="15"/>
    </row>
    <row r="309" spans="1:7" ht="15">
      <c r="A309" s="132"/>
      <c r="B309" s="304"/>
      <c r="C309" s="368" t="s">
        <v>22</v>
      </c>
      <c r="E309" s="370" t="s">
        <v>27</v>
      </c>
      <c r="F309" s="16" t="s">
        <v>153</v>
      </c>
      <c r="G309" s="15"/>
    </row>
    <row r="310" spans="1:7" ht="15">
      <c r="A310" s="132"/>
      <c r="B310" s="369"/>
      <c r="C310" s="304"/>
      <c r="E310" s="370"/>
      <c r="F310" s="15"/>
      <c r="G310" s="15"/>
    </row>
    <row r="311" spans="1:7" ht="15.75">
      <c r="A311" s="131"/>
      <c r="B311" s="304"/>
      <c r="C311" s="304"/>
      <c r="D311" s="368"/>
      <c r="E311" s="304"/>
      <c r="F311" s="15"/>
      <c r="G311" s="15"/>
    </row>
    <row r="312" spans="1:8" ht="15.75">
      <c r="A312" s="561">
        <f>IF(ISBLANK('Info Sheet'!B315),"",'Info Sheet'!B315)</f>
      </c>
      <c r="B312" s="561"/>
      <c r="C312" s="561"/>
      <c r="D312" s="561"/>
      <c r="E312" s="561"/>
      <c r="F312" s="561"/>
      <c r="G312" s="561"/>
      <c r="H312" s="561"/>
    </row>
    <row r="313" spans="1:8" ht="15.75">
      <c r="A313" s="561">
        <f>IF(ISBLANK('Info Sheet'!B317),"",'Info Sheet'!B319&amp;"    "&amp;'Info Sheet'!B321)</f>
      </c>
      <c r="B313" s="561"/>
      <c r="C313" s="561"/>
      <c r="D313" s="561"/>
      <c r="E313" s="561"/>
      <c r="F313" s="561"/>
      <c r="G313" s="561"/>
      <c r="H313" s="561"/>
    </row>
    <row r="314" spans="1:8" ht="15.75">
      <c r="A314" s="561" t="s">
        <v>173</v>
      </c>
      <c r="B314" s="561"/>
      <c r="C314" s="561"/>
      <c r="D314" s="561"/>
      <c r="E314" s="561"/>
      <c r="F314" s="561"/>
      <c r="G314" s="561"/>
      <c r="H314" s="561"/>
    </row>
    <row r="315" spans="1:8" ht="14.25">
      <c r="A315" s="562" t="s">
        <v>174</v>
      </c>
      <c r="B315" s="562"/>
      <c r="C315" s="562"/>
      <c r="D315" s="562"/>
      <c r="E315" s="562"/>
      <c r="F315" s="562"/>
      <c r="G315" s="562"/>
      <c r="H315" s="562"/>
    </row>
    <row r="316" spans="1:8" ht="14.25">
      <c r="A316" s="372"/>
      <c r="B316" s="372"/>
      <c r="C316" s="372"/>
      <c r="D316" s="563" t="s">
        <v>246</v>
      </c>
      <c r="E316" s="563"/>
      <c r="F316" s="372"/>
      <c r="G316" s="372"/>
      <c r="H316" s="372"/>
    </row>
    <row r="317" spans="1:5" ht="15.75">
      <c r="A317" s="36"/>
      <c r="D317" s="132"/>
      <c r="E317" s="36"/>
    </row>
    <row r="318" spans="1:5" ht="15.75">
      <c r="A318" s="387" t="s">
        <v>144</v>
      </c>
      <c r="D318" s="132"/>
      <c r="E318" s="36"/>
    </row>
    <row r="319" spans="1:5" ht="15.75">
      <c r="A319" s="47"/>
      <c r="B319" s="132"/>
      <c r="C319" s="132"/>
      <c r="D319" s="132"/>
      <c r="E319" s="132"/>
    </row>
    <row r="320" spans="1:5" ht="15.75">
      <c r="A320" s="47"/>
      <c r="B320" s="132"/>
      <c r="C320" s="132"/>
      <c r="D320" s="132"/>
      <c r="E320" s="132"/>
    </row>
    <row r="321" spans="1:5" ht="15.75">
      <c r="A321" s="47"/>
      <c r="B321" s="132"/>
      <c r="C321" s="132"/>
      <c r="D321" s="132"/>
      <c r="E321" s="132"/>
    </row>
    <row r="322" spans="1:7" ht="15.75">
      <c r="A322" s="54" t="s">
        <v>0</v>
      </c>
      <c r="B322" s="366"/>
      <c r="C322" s="367"/>
      <c r="D322" s="131"/>
      <c r="E322" s="304"/>
      <c r="G322" s="15"/>
    </row>
    <row r="323" spans="1:7" ht="15">
      <c r="A323" s="132"/>
      <c r="B323" s="304"/>
      <c r="C323" s="304"/>
      <c r="D323" s="368"/>
      <c r="E323" s="304"/>
      <c r="F323" s="15"/>
      <c r="G323" s="15"/>
    </row>
    <row r="324" spans="1:8" ht="15">
      <c r="A324" s="132"/>
      <c r="B324" s="369"/>
      <c r="C324" s="368" t="s">
        <v>21</v>
      </c>
      <c r="E324" s="370" t="s">
        <v>23</v>
      </c>
      <c r="F324" s="25">
        <f>+'9. 2005 Rate Sch. Reg. Assets'!D42</f>
        <v>9.742855983694888</v>
      </c>
      <c r="G324" s="299"/>
      <c r="H324" s="299"/>
    </row>
    <row r="325" spans="1:7" ht="15">
      <c r="A325" s="132"/>
      <c r="B325" s="304"/>
      <c r="C325" s="368" t="s">
        <v>22</v>
      </c>
      <c r="E325" s="370" t="s">
        <v>24</v>
      </c>
      <c r="F325" s="16">
        <f>+'9. 2005 Rate Sch. Reg. Assets'!D40</f>
        <v>0.012202412737308639</v>
      </c>
      <c r="G325" s="15"/>
    </row>
    <row r="326" spans="1:8" ht="15">
      <c r="A326" s="132"/>
      <c r="B326" s="369"/>
      <c r="C326" s="368"/>
      <c r="E326" s="370"/>
      <c r="F326" s="15"/>
      <c r="G326" s="279"/>
      <c r="H326" s="299"/>
    </row>
    <row r="327" spans="1:7" ht="15">
      <c r="A327" s="132"/>
      <c r="B327" s="304"/>
      <c r="C327" s="304"/>
      <c r="D327" s="304"/>
      <c r="E327" s="304"/>
      <c r="F327" s="15"/>
      <c r="G327" s="15"/>
    </row>
    <row r="328" spans="1:7" ht="15.75">
      <c r="A328" s="54" t="s">
        <v>25</v>
      </c>
      <c r="B328" s="366"/>
      <c r="C328" s="367"/>
      <c r="D328" s="304"/>
      <c r="E328" s="304"/>
      <c r="F328" s="15"/>
      <c r="G328" s="15"/>
    </row>
    <row r="329" spans="1:7" ht="15">
      <c r="A329" s="132"/>
      <c r="B329" s="304"/>
      <c r="C329" s="304"/>
      <c r="D329" s="304"/>
      <c r="E329" s="304"/>
      <c r="F329" s="15"/>
      <c r="G329" s="15"/>
    </row>
    <row r="330" spans="1:7" ht="15">
      <c r="A330" s="132"/>
      <c r="B330" s="369"/>
      <c r="C330" s="368" t="s">
        <v>21</v>
      </c>
      <c r="E330" s="370" t="s">
        <v>23</v>
      </c>
      <c r="F330" s="25" t="s">
        <v>153</v>
      </c>
      <c r="G330" s="15"/>
    </row>
    <row r="331" spans="1:7" ht="15">
      <c r="A331" s="132"/>
      <c r="B331" s="304"/>
      <c r="C331" s="368" t="s">
        <v>22</v>
      </c>
      <c r="E331" s="370" t="s">
        <v>24</v>
      </c>
      <c r="F331" s="16" t="s">
        <v>153</v>
      </c>
      <c r="G331" s="15"/>
    </row>
    <row r="332" spans="1:7" ht="15">
      <c r="A332" s="132"/>
      <c r="B332" s="369"/>
      <c r="C332" s="304"/>
      <c r="D332" s="304"/>
      <c r="E332" s="304"/>
      <c r="F332" s="15"/>
      <c r="G332" s="15"/>
    </row>
    <row r="333" spans="1:7" ht="15">
      <c r="A333" s="132"/>
      <c r="B333" s="304"/>
      <c r="C333" s="304"/>
      <c r="D333" s="368"/>
      <c r="E333" s="304"/>
      <c r="F333" s="15"/>
      <c r="G333" s="15"/>
    </row>
    <row r="334" spans="1:7" ht="15.75">
      <c r="A334" s="54" t="s">
        <v>3</v>
      </c>
      <c r="B334" s="366"/>
      <c r="C334" s="367"/>
      <c r="D334" s="368"/>
      <c r="E334" s="304"/>
      <c r="F334" s="15"/>
      <c r="G334" s="15"/>
    </row>
    <row r="335" spans="1:7" ht="15">
      <c r="A335" s="132"/>
      <c r="B335" s="304"/>
      <c r="C335" s="304"/>
      <c r="D335" s="368"/>
      <c r="E335" s="304"/>
      <c r="F335" s="15"/>
      <c r="G335" s="15"/>
    </row>
    <row r="336" spans="1:8" ht="15">
      <c r="A336" s="132"/>
      <c r="B336" s="369"/>
      <c r="C336" s="368" t="s">
        <v>21</v>
      </c>
      <c r="E336" s="370" t="s">
        <v>23</v>
      </c>
      <c r="F336" s="25">
        <f>+'9. 2005 Rate Sch. Reg. Assets'!D92</f>
        <v>32.23453397499679</v>
      </c>
      <c r="G336" s="300"/>
      <c r="H336" s="299"/>
    </row>
    <row r="337" spans="1:7" ht="15">
      <c r="A337" s="132"/>
      <c r="B337" s="304"/>
      <c r="C337" s="368" t="s">
        <v>22</v>
      </c>
      <c r="E337" s="370" t="s">
        <v>24</v>
      </c>
      <c r="F337" s="16">
        <f>+'9. 2005 Rate Sch. Reg. Assets'!D90</f>
        <v>0.009926053143928023</v>
      </c>
      <c r="G337" s="300"/>
    </row>
    <row r="338" spans="1:8" ht="15">
      <c r="A338" s="132"/>
      <c r="B338" s="369"/>
      <c r="C338" s="368"/>
      <c r="E338" s="370"/>
      <c r="F338" s="15"/>
      <c r="G338" s="300"/>
      <c r="H338" s="299"/>
    </row>
    <row r="339" spans="1:7" ht="15">
      <c r="A339" s="132"/>
      <c r="B339" s="304"/>
      <c r="C339" s="304"/>
      <c r="D339" s="368"/>
      <c r="E339" s="304"/>
      <c r="F339" s="15"/>
      <c r="G339" s="15"/>
    </row>
    <row r="340" spans="1:7" ht="15.75">
      <c r="A340" s="54" t="s">
        <v>26</v>
      </c>
      <c r="B340" s="366"/>
      <c r="C340" s="367"/>
      <c r="D340" s="368"/>
      <c r="E340" s="304"/>
      <c r="F340" s="15"/>
      <c r="G340" s="15"/>
    </row>
    <row r="341" spans="1:7" ht="15">
      <c r="A341" s="132"/>
      <c r="B341" s="304"/>
      <c r="C341" s="304"/>
      <c r="D341" s="368"/>
      <c r="E341" s="304"/>
      <c r="F341" s="15"/>
      <c r="G341" s="15"/>
    </row>
    <row r="342" spans="1:7" ht="15">
      <c r="A342" s="132"/>
      <c r="B342" s="369"/>
      <c r="C342" s="368" t="s">
        <v>21</v>
      </c>
      <c r="E342" s="370" t="s">
        <v>23</v>
      </c>
      <c r="F342" s="25">
        <f>+'9. 2005 Rate Sch. Reg. Assets'!D99</f>
        <v>133.85747626351818</v>
      </c>
      <c r="G342" s="15"/>
    </row>
    <row r="343" spans="1:7" ht="15">
      <c r="A343" s="132"/>
      <c r="B343" s="304"/>
      <c r="C343" s="368" t="s">
        <v>22</v>
      </c>
      <c r="E343" s="370" t="s">
        <v>27</v>
      </c>
      <c r="F343" s="16">
        <f>+'9. 2005 Rate Sch. Reg. Assets'!D97</f>
        <v>1.3814619766671221</v>
      </c>
      <c r="G343" s="15"/>
    </row>
    <row r="344" spans="1:7" ht="15">
      <c r="A344" s="132"/>
      <c r="B344" s="369"/>
      <c r="C344" s="368"/>
      <c r="E344" s="370"/>
      <c r="F344" s="15"/>
      <c r="G344" s="15"/>
    </row>
    <row r="345" spans="1:7" ht="15">
      <c r="A345" s="132"/>
      <c r="B345" s="304"/>
      <c r="C345" s="304"/>
      <c r="D345" s="368"/>
      <c r="E345" s="304"/>
      <c r="F345" s="15"/>
      <c r="G345" s="15"/>
    </row>
    <row r="346" spans="1:7" ht="15.75">
      <c r="A346" s="54" t="s">
        <v>28</v>
      </c>
      <c r="B346" s="304"/>
      <c r="C346" s="304"/>
      <c r="D346" s="368"/>
      <c r="E346" s="304"/>
      <c r="F346" s="15"/>
      <c r="G346" s="15"/>
    </row>
    <row r="347" spans="2:7" ht="15">
      <c r="B347" s="366"/>
      <c r="C347" s="367"/>
      <c r="D347" s="368"/>
      <c r="E347" s="304"/>
      <c r="F347" s="15"/>
      <c r="G347" s="15"/>
    </row>
    <row r="348" spans="1:7" ht="15.75">
      <c r="A348" s="131"/>
      <c r="B348" s="304"/>
      <c r="C348" s="368" t="s">
        <v>21</v>
      </c>
      <c r="E348" s="370" t="s">
        <v>23</v>
      </c>
      <c r="F348" s="25" t="s">
        <v>153</v>
      </c>
      <c r="G348" s="15"/>
    </row>
    <row r="349" spans="1:7" ht="15">
      <c r="A349" s="132"/>
      <c r="B349" s="369"/>
      <c r="C349" s="368" t="s">
        <v>22</v>
      </c>
      <c r="E349" s="370" t="s">
        <v>27</v>
      </c>
      <c r="F349" s="16" t="s">
        <v>153</v>
      </c>
      <c r="G349" s="15"/>
    </row>
    <row r="350" spans="1:7" ht="15">
      <c r="A350" s="132"/>
      <c r="B350" s="369"/>
      <c r="C350" s="368"/>
      <c r="E350" s="370"/>
      <c r="F350" s="15"/>
      <c r="G350" s="15"/>
    </row>
    <row r="351" spans="1:7" ht="15.75">
      <c r="A351" s="131"/>
      <c r="B351" s="370"/>
      <c r="C351" s="370"/>
      <c r="D351" s="370"/>
      <c r="E351" s="370"/>
      <c r="F351" s="16"/>
      <c r="G351" s="16"/>
    </row>
    <row r="352" spans="1:7" ht="15.75">
      <c r="A352" s="54" t="s">
        <v>199</v>
      </c>
      <c r="B352" s="370"/>
      <c r="C352" s="370"/>
      <c r="D352" s="370"/>
      <c r="E352" s="370"/>
      <c r="F352" s="16"/>
      <c r="G352" s="16"/>
    </row>
    <row r="353" spans="1:7" ht="15.75">
      <c r="A353" s="131"/>
      <c r="B353" s="370"/>
      <c r="C353" s="370"/>
      <c r="D353" s="370"/>
      <c r="E353" s="370"/>
      <c r="F353" s="25"/>
      <c r="G353" s="16"/>
    </row>
    <row r="354" spans="1:7" ht="15.75">
      <c r="A354" s="131"/>
      <c r="B354" s="304"/>
      <c r="C354" s="368" t="s">
        <v>21</v>
      </c>
      <c r="E354" s="370" t="s">
        <v>23</v>
      </c>
      <c r="F354" s="25" t="s">
        <v>153</v>
      </c>
      <c r="G354" s="15"/>
    </row>
    <row r="355" spans="2:7" ht="15">
      <c r="B355" s="304"/>
      <c r="C355" s="368" t="s">
        <v>22</v>
      </c>
      <c r="E355" s="370" t="s">
        <v>27</v>
      </c>
      <c r="F355" s="16" t="s">
        <v>153</v>
      </c>
      <c r="G355" s="15"/>
    </row>
    <row r="356" spans="1:7" ht="15">
      <c r="A356" s="132"/>
      <c r="B356" s="304"/>
      <c r="C356" s="368"/>
      <c r="E356" s="370"/>
      <c r="F356" s="15"/>
      <c r="G356" s="15"/>
    </row>
    <row r="357" spans="1:7" ht="15">
      <c r="A357" s="132"/>
      <c r="B357" s="304"/>
      <c r="C357" s="304"/>
      <c r="D357" s="368"/>
      <c r="E357" s="304"/>
      <c r="F357" s="15"/>
      <c r="G357" s="15"/>
    </row>
    <row r="358" spans="1:7" ht="15.75">
      <c r="A358" s="54" t="s">
        <v>1</v>
      </c>
      <c r="B358" s="304"/>
      <c r="C358" s="304"/>
      <c r="D358" s="368"/>
      <c r="E358" s="304"/>
      <c r="F358" s="15"/>
      <c r="G358" s="15"/>
    </row>
    <row r="359" spans="1:7" ht="15">
      <c r="A359" s="132"/>
      <c r="B359" s="304"/>
      <c r="C359" s="304"/>
      <c r="D359" s="368"/>
      <c r="E359" s="304"/>
      <c r="F359" s="15"/>
      <c r="G359" s="15"/>
    </row>
    <row r="360" spans="2:7" ht="15">
      <c r="B360" s="304"/>
      <c r="C360" s="368" t="s">
        <v>21</v>
      </c>
      <c r="E360" s="370" t="s">
        <v>23</v>
      </c>
      <c r="F360" s="25" t="s">
        <v>153</v>
      </c>
      <c r="G360" s="15"/>
    </row>
    <row r="361" spans="1:7" ht="15">
      <c r="A361" s="132"/>
      <c r="B361" s="304"/>
      <c r="C361" s="368" t="s">
        <v>22</v>
      </c>
      <c r="E361" s="370" t="s">
        <v>27</v>
      </c>
      <c r="F361" s="16" t="s">
        <v>153</v>
      </c>
      <c r="G361" s="15"/>
    </row>
    <row r="362" spans="1:7" ht="15">
      <c r="A362" s="132"/>
      <c r="B362" s="369"/>
      <c r="C362" s="368"/>
      <c r="E362" s="370"/>
      <c r="F362" s="15"/>
      <c r="G362" s="15"/>
    </row>
    <row r="363" spans="1:7" ht="15">
      <c r="A363" s="132"/>
      <c r="B363" s="304"/>
      <c r="C363" s="304"/>
      <c r="D363" s="371"/>
      <c r="E363" s="304"/>
      <c r="F363" s="15"/>
      <c r="G363" s="15"/>
    </row>
    <row r="364" spans="1:7" ht="15">
      <c r="A364" s="132"/>
      <c r="B364" s="304"/>
      <c r="C364" s="304"/>
      <c r="D364" s="368"/>
      <c r="E364" s="304"/>
      <c r="F364" s="15"/>
      <c r="G364" s="15"/>
    </row>
    <row r="365" spans="1:7" ht="15.75">
      <c r="A365" s="54" t="s">
        <v>29</v>
      </c>
      <c r="B365" s="369"/>
      <c r="C365" s="304"/>
      <c r="D365" s="368"/>
      <c r="E365" s="304"/>
      <c r="F365" s="15"/>
      <c r="G365" s="15"/>
    </row>
    <row r="366" spans="1:7" ht="15">
      <c r="A366" s="132"/>
      <c r="B366" s="304"/>
      <c r="C366" s="304"/>
      <c r="D366" s="368"/>
      <c r="E366" s="304"/>
      <c r="F366" s="15"/>
      <c r="G366" s="15"/>
    </row>
    <row r="367" spans="1:7" ht="15">
      <c r="A367" s="132"/>
      <c r="B367" s="369"/>
      <c r="C367" s="368" t="s">
        <v>21</v>
      </c>
      <c r="E367" s="370" t="s">
        <v>253</v>
      </c>
      <c r="F367" s="25">
        <f>+'9. 2005 Rate Sch. Reg. Assets'!D161</f>
        <v>2.87</v>
      </c>
      <c r="G367" s="15"/>
    </row>
    <row r="368" spans="1:7" ht="15">
      <c r="A368" s="132"/>
      <c r="B368" s="304"/>
      <c r="C368" s="368" t="s">
        <v>22</v>
      </c>
      <c r="E368" s="370" t="s">
        <v>27</v>
      </c>
      <c r="F368" s="16">
        <f>+'9. 2005 Rate Sch. Reg. Assets'!D159</f>
        <v>0.17</v>
      </c>
      <c r="G368" s="15"/>
    </row>
    <row r="369" spans="1:7" ht="15">
      <c r="A369" s="132"/>
      <c r="B369" s="304"/>
      <c r="C369" s="368"/>
      <c r="E369" s="370"/>
      <c r="F369" s="15"/>
      <c r="G369" s="15"/>
    </row>
    <row r="370" spans="1:7" ht="15.75">
      <c r="A370" s="131"/>
      <c r="B370" s="304"/>
      <c r="C370" s="304"/>
      <c r="D370" s="368"/>
      <c r="E370" s="304"/>
      <c r="F370" s="15"/>
      <c r="G370" s="15"/>
    </row>
    <row r="371" spans="1:7" ht="15.75">
      <c r="A371" s="54" t="s">
        <v>30</v>
      </c>
      <c r="B371" s="304"/>
      <c r="C371" s="304"/>
      <c r="D371" s="368"/>
      <c r="E371" s="304"/>
      <c r="F371" s="15"/>
      <c r="G371" s="15"/>
    </row>
    <row r="372" spans="2:7" ht="15">
      <c r="B372" s="304"/>
      <c r="C372" s="304"/>
      <c r="D372" s="368"/>
      <c r="E372" s="304"/>
      <c r="F372" s="15"/>
      <c r="G372" s="15"/>
    </row>
    <row r="373" spans="1:7" ht="15">
      <c r="A373" s="132"/>
      <c r="B373" s="369"/>
      <c r="C373" s="368" t="s">
        <v>21</v>
      </c>
      <c r="E373" s="370" t="s">
        <v>23</v>
      </c>
      <c r="F373" s="25" t="s">
        <v>153</v>
      </c>
      <c r="G373" s="15"/>
    </row>
    <row r="374" spans="1:7" ht="15">
      <c r="A374" s="132"/>
      <c r="B374" s="304"/>
      <c r="C374" s="368" t="s">
        <v>22</v>
      </c>
      <c r="E374" s="370" t="s">
        <v>27</v>
      </c>
      <c r="F374" s="16" t="s">
        <v>153</v>
      </c>
      <c r="G374" s="15"/>
    </row>
    <row r="375" spans="1:7" ht="15">
      <c r="A375" s="132"/>
      <c r="B375" s="369"/>
      <c r="C375" s="304"/>
      <c r="E375" s="370"/>
      <c r="F375" s="15"/>
      <c r="G375" s="15"/>
    </row>
    <row r="376" spans="1:7" ht="15">
      <c r="A376" s="132"/>
      <c r="B376" s="370"/>
      <c r="C376" s="370"/>
      <c r="D376" s="368"/>
      <c r="E376" s="304"/>
      <c r="F376" s="15"/>
      <c r="G376" s="15"/>
    </row>
    <row r="377" spans="1:7" ht="15.75">
      <c r="A377" s="54" t="s">
        <v>31</v>
      </c>
      <c r="B377" s="369"/>
      <c r="C377" s="304"/>
      <c r="D377" s="368"/>
      <c r="E377" s="304"/>
      <c r="F377" s="15"/>
      <c r="G377" s="15"/>
    </row>
    <row r="378" spans="1:7" ht="15">
      <c r="A378" s="132"/>
      <c r="B378" s="304"/>
      <c r="C378" s="304"/>
      <c r="D378" s="368"/>
      <c r="E378" s="304"/>
      <c r="F378" s="15"/>
      <c r="G378" s="15"/>
    </row>
    <row r="379" spans="1:7" ht="15">
      <c r="A379" s="132"/>
      <c r="B379" s="369"/>
      <c r="C379" s="368" t="s">
        <v>21</v>
      </c>
      <c r="E379" s="370" t="s">
        <v>23</v>
      </c>
      <c r="F379" s="25" t="s">
        <v>153</v>
      </c>
      <c r="G379" s="15"/>
    </row>
    <row r="380" spans="1:7" ht="15">
      <c r="A380" s="132"/>
      <c r="B380" s="304"/>
      <c r="C380" s="368" t="s">
        <v>22</v>
      </c>
      <c r="E380" s="370" t="s">
        <v>27</v>
      </c>
      <c r="F380" s="16" t="s">
        <v>153</v>
      </c>
      <c r="G380" s="15"/>
    </row>
    <row r="381" spans="1:7" ht="15">
      <c r="A381" s="132"/>
      <c r="B381" s="304"/>
      <c r="C381" s="368"/>
      <c r="E381" s="370"/>
      <c r="F381" s="15"/>
      <c r="G381" s="15"/>
    </row>
    <row r="382" spans="1:7" ht="15.75">
      <c r="A382" s="131"/>
      <c r="B382" s="304"/>
      <c r="C382" s="304"/>
      <c r="D382" s="368"/>
      <c r="E382" s="304"/>
      <c r="F382" s="15"/>
      <c r="G382" s="15"/>
    </row>
    <row r="383" spans="1:7" ht="15.75">
      <c r="A383" s="54" t="s">
        <v>32</v>
      </c>
      <c r="B383" s="304"/>
      <c r="C383" s="304"/>
      <c r="D383" s="368"/>
      <c r="E383" s="304"/>
      <c r="F383" s="15"/>
      <c r="G383" s="15"/>
    </row>
    <row r="384" spans="2:7" ht="15">
      <c r="B384" s="304"/>
      <c r="C384" s="304"/>
      <c r="D384" s="368"/>
      <c r="E384" s="304"/>
      <c r="F384" s="15"/>
      <c r="G384" s="15"/>
    </row>
    <row r="385" spans="1:7" ht="15">
      <c r="A385" s="132"/>
      <c r="B385" s="369"/>
      <c r="C385" s="368" t="s">
        <v>21</v>
      </c>
      <c r="E385" s="370" t="s">
        <v>23</v>
      </c>
      <c r="F385" s="25" t="s">
        <v>153</v>
      </c>
      <c r="G385" s="15"/>
    </row>
    <row r="386" spans="1:7" ht="15">
      <c r="A386" s="132"/>
      <c r="B386" s="304"/>
      <c r="C386" s="368" t="s">
        <v>22</v>
      </c>
      <c r="E386" s="370" t="s">
        <v>27</v>
      </c>
      <c r="F386" s="16" t="s">
        <v>153</v>
      </c>
      <c r="G386" s="15"/>
    </row>
    <row r="387" spans="1:7" ht="15">
      <c r="A387" s="132"/>
      <c r="B387" s="369"/>
      <c r="C387" s="304"/>
      <c r="E387" s="370"/>
      <c r="F387" s="15"/>
      <c r="G387" s="15"/>
    </row>
    <row r="388" spans="1:7" ht="15.75">
      <c r="A388" s="131"/>
      <c r="B388" s="304"/>
      <c r="C388" s="304"/>
      <c r="D388" s="368"/>
      <c r="E388" s="304"/>
      <c r="F388" s="15"/>
      <c r="G388" s="15"/>
    </row>
    <row r="389" spans="1:7" ht="15">
      <c r="A389" s="132"/>
      <c r="B389" s="304"/>
      <c r="C389" s="304"/>
      <c r="D389" s="368"/>
      <c r="E389" s="304"/>
      <c r="F389" s="15"/>
      <c r="G389" s="15"/>
    </row>
    <row r="390" spans="1:8" ht="15.75">
      <c r="A390" s="561">
        <f>IF(ISBLANK('Info Sheet'!B393),"",'Info Sheet'!B393)</f>
      </c>
      <c r="B390" s="561"/>
      <c r="C390" s="561"/>
      <c r="D390" s="561"/>
      <c r="E390" s="561"/>
      <c r="F390" s="561"/>
      <c r="G390" s="561"/>
      <c r="H390" s="561"/>
    </row>
    <row r="391" spans="1:8" ht="15.75">
      <c r="A391" s="561">
        <f>IF(ISBLANK('Info Sheet'!B395),"",'Info Sheet'!B397&amp;"    "&amp;'Info Sheet'!B399)</f>
      </c>
      <c r="B391" s="561"/>
      <c r="C391" s="561"/>
      <c r="D391" s="561"/>
      <c r="E391" s="561"/>
      <c r="F391" s="561"/>
      <c r="G391" s="561"/>
      <c r="H391" s="561"/>
    </row>
    <row r="392" spans="1:8" ht="15.75">
      <c r="A392" s="561" t="s">
        <v>173</v>
      </c>
      <c r="B392" s="561"/>
      <c r="C392" s="561"/>
      <c r="D392" s="561"/>
      <c r="E392" s="561"/>
      <c r="F392" s="561"/>
      <c r="G392" s="561"/>
      <c r="H392" s="561"/>
    </row>
    <row r="393" spans="1:8" ht="14.25">
      <c r="A393" s="562" t="s">
        <v>174</v>
      </c>
      <c r="B393" s="562"/>
      <c r="C393" s="562"/>
      <c r="D393" s="562"/>
      <c r="E393" s="562"/>
      <c r="F393" s="562"/>
      <c r="G393" s="562"/>
      <c r="H393" s="562"/>
    </row>
    <row r="394" spans="1:8" ht="14.25">
      <c r="A394" s="372"/>
      <c r="B394" s="372"/>
      <c r="C394" s="372"/>
      <c r="D394" s="563" t="s">
        <v>247</v>
      </c>
      <c r="E394" s="563"/>
      <c r="F394" s="372"/>
      <c r="G394" s="372"/>
      <c r="H394" s="372"/>
    </row>
    <row r="395" spans="1:5" ht="15.75">
      <c r="A395" s="36"/>
      <c r="D395" s="132"/>
      <c r="E395" s="36"/>
    </row>
    <row r="396" spans="1:5" ht="15.75">
      <c r="A396" s="387" t="s">
        <v>144</v>
      </c>
      <c r="D396" s="132"/>
      <c r="E396" s="36"/>
    </row>
    <row r="397" spans="1:5" ht="15.75">
      <c r="A397" s="47"/>
      <c r="B397" s="132"/>
      <c r="C397" s="132"/>
      <c r="D397" s="132"/>
      <c r="E397" s="132"/>
    </row>
    <row r="398" spans="1:5" ht="15.75">
      <c r="A398" s="47"/>
      <c r="B398" s="132"/>
      <c r="C398" s="132"/>
      <c r="D398" s="132"/>
      <c r="E398" s="132"/>
    </row>
    <row r="399" spans="1:5" ht="15.75">
      <c r="A399" s="47"/>
      <c r="B399" s="132"/>
      <c r="C399" s="132"/>
      <c r="D399" s="132"/>
      <c r="E399" s="132"/>
    </row>
    <row r="400" spans="1:7" ht="15.75">
      <c r="A400" s="54" t="s">
        <v>0</v>
      </c>
      <c r="B400" s="366"/>
      <c r="C400" s="367"/>
      <c r="D400" s="131"/>
      <c r="E400" s="304"/>
      <c r="G400" s="15"/>
    </row>
    <row r="401" spans="1:7" ht="15">
      <c r="A401" s="132"/>
      <c r="B401" s="304"/>
      <c r="C401" s="304"/>
      <c r="D401" s="368"/>
      <c r="E401" s="304"/>
      <c r="F401" s="15"/>
      <c r="G401" s="15"/>
    </row>
    <row r="402" spans="1:8" ht="15">
      <c r="A402" s="132"/>
      <c r="B402" s="369"/>
      <c r="C402" s="368" t="s">
        <v>21</v>
      </c>
      <c r="E402" s="370" t="s">
        <v>23</v>
      </c>
      <c r="F402" s="25">
        <f>+'9. 2005 Rate Sch. Reg. Assets'!D48</f>
        <v>13.580287018663661</v>
      </c>
      <c r="G402" s="299"/>
      <c r="H402" s="299"/>
    </row>
    <row r="403" spans="1:7" ht="15">
      <c r="A403" s="132"/>
      <c r="B403" s="304"/>
      <c r="C403" s="368" t="s">
        <v>22</v>
      </c>
      <c r="E403" s="370" t="s">
        <v>24</v>
      </c>
      <c r="F403" s="16">
        <f>+'9. 2005 Rate Sch. Reg. Assets'!D46</f>
        <v>0.01431968993944357</v>
      </c>
      <c r="G403" s="15"/>
    </row>
    <row r="404" spans="1:8" ht="15">
      <c r="A404" s="132"/>
      <c r="B404" s="369"/>
      <c r="C404" s="368"/>
      <c r="E404" s="370"/>
      <c r="F404" s="15"/>
      <c r="G404" s="279"/>
      <c r="H404" s="299"/>
    </row>
    <row r="405" spans="1:7" ht="15">
      <c r="A405" s="132"/>
      <c r="B405" s="304"/>
      <c r="C405" s="304"/>
      <c r="D405" s="304"/>
      <c r="E405" s="304"/>
      <c r="F405" s="15"/>
      <c r="G405" s="15"/>
    </row>
    <row r="406" spans="1:7" ht="15.75">
      <c r="A406" s="54" t="s">
        <v>25</v>
      </c>
      <c r="B406" s="366"/>
      <c r="C406" s="367"/>
      <c r="D406" s="304"/>
      <c r="E406" s="304"/>
      <c r="F406" s="15"/>
      <c r="G406" s="15"/>
    </row>
    <row r="407" spans="1:7" ht="15">
      <c r="A407" s="132"/>
      <c r="B407" s="304"/>
      <c r="C407" s="304"/>
      <c r="D407" s="304"/>
      <c r="E407" s="304"/>
      <c r="F407" s="15"/>
      <c r="G407" s="15"/>
    </row>
    <row r="408" spans="1:7" ht="15">
      <c r="A408" s="132"/>
      <c r="B408" s="369"/>
      <c r="C408" s="368" t="s">
        <v>21</v>
      </c>
      <c r="E408" s="370" t="s">
        <v>23</v>
      </c>
      <c r="F408" s="25" t="s">
        <v>153</v>
      </c>
      <c r="G408" s="15"/>
    </row>
    <row r="409" spans="1:7" ht="15">
      <c r="A409" s="132"/>
      <c r="B409" s="304"/>
      <c r="C409" s="368" t="s">
        <v>22</v>
      </c>
      <c r="E409" s="370" t="s">
        <v>24</v>
      </c>
      <c r="F409" s="16" t="s">
        <v>153</v>
      </c>
      <c r="G409" s="15"/>
    </row>
    <row r="410" spans="1:7" ht="15">
      <c r="A410" s="132"/>
      <c r="B410" s="369"/>
      <c r="C410" s="304"/>
      <c r="D410" s="304"/>
      <c r="E410" s="304"/>
      <c r="F410" s="15"/>
      <c r="G410" s="15"/>
    </row>
    <row r="411" spans="1:7" ht="15">
      <c r="A411" s="132"/>
      <c r="B411" s="304"/>
      <c r="C411" s="304"/>
      <c r="D411" s="368"/>
      <c r="E411" s="304"/>
      <c r="F411" s="15"/>
      <c r="G411" s="15"/>
    </row>
    <row r="412" spans="1:7" ht="15.75">
      <c r="A412" s="54" t="s">
        <v>3</v>
      </c>
      <c r="B412" s="366"/>
      <c r="C412" s="367"/>
      <c r="D412" s="368"/>
      <c r="E412" s="304"/>
      <c r="F412" s="15"/>
      <c r="G412" s="15"/>
    </row>
    <row r="413" spans="1:7" ht="15">
      <c r="A413" s="132"/>
      <c r="B413" s="304"/>
      <c r="C413" s="304"/>
      <c r="D413" s="368"/>
      <c r="E413" s="304"/>
      <c r="F413" s="15"/>
      <c r="G413" s="15"/>
    </row>
    <row r="414" spans="1:8" ht="15">
      <c r="A414" s="132"/>
      <c r="B414" s="369"/>
      <c r="C414" s="368" t="s">
        <v>21</v>
      </c>
      <c r="E414" s="370" t="s">
        <v>23</v>
      </c>
      <c r="F414" s="25">
        <f>+'9. 2005 Rate Sch. Reg. Assets'!D92</f>
        <v>32.23453397499679</v>
      </c>
      <c r="G414" s="300"/>
      <c r="H414" s="299"/>
    </row>
    <row r="415" spans="1:7" ht="15">
      <c r="A415" s="132"/>
      <c r="B415" s="304"/>
      <c r="C415" s="368" t="s">
        <v>22</v>
      </c>
      <c r="E415" s="370" t="s">
        <v>24</v>
      </c>
      <c r="F415" s="16">
        <f>+'9. 2005 Rate Sch. Reg. Assets'!D90</f>
        <v>0.009926053143928023</v>
      </c>
      <c r="G415" s="300"/>
    </row>
    <row r="416" spans="1:8" ht="15">
      <c r="A416" s="132"/>
      <c r="B416" s="369"/>
      <c r="C416" s="368"/>
      <c r="E416" s="370"/>
      <c r="F416" s="15"/>
      <c r="G416" s="300"/>
      <c r="H416" s="299"/>
    </row>
    <row r="417" spans="1:7" ht="15">
      <c r="A417" s="132"/>
      <c r="B417" s="304"/>
      <c r="C417" s="304"/>
      <c r="D417" s="368"/>
      <c r="E417" s="304"/>
      <c r="F417" s="15"/>
      <c r="G417" s="15"/>
    </row>
    <row r="418" spans="1:7" ht="15.75">
      <c r="A418" s="54" t="s">
        <v>26</v>
      </c>
      <c r="B418" s="366"/>
      <c r="C418" s="367"/>
      <c r="D418" s="368"/>
      <c r="E418" s="304"/>
      <c r="F418" s="15"/>
      <c r="G418" s="15"/>
    </row>
    <row r="419" spans="1:7" ht="15">
      <c r="A419" s="132"/>
      <c r="B419" s="304"/>
      <c r="C419" s="304"/>
      <c r="D419" s="368"/>
      <c r="E419" s="304"/>
      <c r="F419" s="15"/>
      <c r="G419" s="15"/>
    </row>
    <row r="420" spans="1:7" ht="15">
      <c r="A420" s="132"/>
      <c r="B420" s="369"/>
      <c r="C420" s="368" t="s">
        <v>21</v>
      </c>
      <c r="E420" s="370" t="s">
        <v>23</v>
      </c>
      <c r="F420" s="25">
        <f>+'9. 2005 Rate Sch. Reg. Assets'!D99</f>
        <v>133.85747626351818</v>
      </c>
      <c r="G420" s="15"/>
    </row>
    <row r="421" spans="1:7" ht="15">
      <c r="A421" s="132"/>
      <c r="B421" s="304"/>
      <c r="C421" s="368" t="s">
        <v>22</v>
      </c>
      <c r="E421" s="370" t="s">
        <v>27</v>
      </c>
      <c r="F421" s="16">
        <f>+'9. 2005 Rate Sch. Reg. Assets'!D97</f>
        <v>1.3814619766671221</v>
      </c>
      <c r="G421" s="15"/>
    </row>
    <row r="422" spans="1:7" ht="15">
      <c r="A422" s="132"/>
      <c r="B422" s="369"/>
      <c r="C422" s="368"/>
      <c r="E422" s="370"/>
      <c r="F422" s="15"/>
      <c r="G422" s="15"/>
    </row>
    <row r="423" spans="1:7" ht="15">
      <c r="A423" s="132"/>
      <c r="B423" s="304"/>
      <c r="C423" s="304"/>
      <c r="D423" s="368"/>
      <c r="E423" s="304"/>
      <c r="F423" s="15"/>
      <c r="G423" s="15"/>
    </row>
    <row r="424" spans="1:7" ht="15.75">
      <c r="A424" s="54" t="s">
        <v>28</v>
      </c>
      <c r="B424" s="304"/>
      <c r="C424" s="304"/>
      <c r="D424" s="368"/>
      <c r="E424" s="304"/>
      <c r="F424" s="15"/>
      <c r="G424" s="15"/>
    </row>
    <row r="425" spans="2:7" ht="15">
      <c r="B425" s="366"/>
      <c r="C425" s="367"/>
      <c r="D425" s="368"/>
      <c r="E425" s="304"/>
      <c r="F425" s="15"/>
      <c r="G425" s="15"/>
    </row>
    <row r="426" spans="1:7" ht="15.75">
      <c r="A426" s="131"/>
      <c r="B426" s="304"/>
      <c r="C426" s="368" t="s">
        <v>21</v>
      </c>
      <c r="E426" s="370" t="s">
        <v>23</v>
      </c>
      <c r="F426" s="25" t="s">
        <v>153</v>
      </c>
      <c r="G426" s="15"/>
    </row>
    <row r="427" spans="1:7" ht="15">
      <c r="A427" s="132"/>
      <c r="B427" s="369"/>
      <c r="C427" s="368" t="s">
        <v>22</v>
      </c>
      <c r="E427" s="370" t="s">
        <v>27</v>
      </c>
      <c r="F427" s="16" t="s">
        <v>153</v>
      </c>
      <c r="G427" s="15"/>
    </row>
    <row r="428" spans="1:7" ht="15">
      <c r="A428" s="132"/>
      <c r="B428" s="369"/>
      <c r="C428" s="368"/>
      <c r="E428" s="370"/>
      <c r="F428" s="15"/>
      <c r="G428" s="15"/>
    </row>
    <row r="429" spans="1:7" ht="15.75">
      <c r="A429" s="131"/>
      <c r="B429" s="370"/>
      <c r="C429" s="370"/>
      <c r="D429" s="370"/>
      <c r="E429" s="370"/>
      <c r="F429" s="16"/>
      <c r="G429" s="16"/>
    </row>
    <row r="430" spans="1:7" ht="15.75">
      <c r="A430" s="54" t="s">
        <v>199</v>
      </c>
      <c r="B430" s="370"/>
      <c r="C430" s="370"/>
      <c r="D430" s="370"/>
      <c r="E430" s="370"/>
      <c r="F430" s="16"/>
      <c r="G430" s="16"/>
    </row>
    <row r="431" spans="1:7" ht="15.75">
      <c r="A431" s="131"/>
      <c r="B431" s="370"/>
      <c r="C431" s="370"/>
      <c r="D431" s="370"/>
      <c r="E431" s="370"/>
      <c r="F431" s="25"/>
      <c r="G431" s="16"/>
    </row>
    <row r="432" spans="1:7" ht="15.75">
      <c r="A432" s="131"/>
      <c r="B432" s="304"/>
      <c r="C432" s="368" t="s">
        <v>21</v>
      </c>
      <c r="E432" s="370" t="s">
        <v>23</v>
      </c>
      <c r="F432" s="25" t="s">
        <v>153</v>
      </c>
      <c r="G432" s="15"/>
    </row>
    <row r="433" spans="2:7" ht="15">
      <c r="B433" s="304"/>
      <c r="C433" s="368" t="s">
        <v>22</v>
      </c>
      <c r="E433" s="370" t="s">
        <v>27</v>
      </c>
      <c r="F433" s="16" t="s">
        <v>153</v>
      </c>
      <c r="G433" s="15"/>
    </row>
    <row r="434" spans="1:7" ht="15">
      <c r="A434" s="132"/>
      <c r="B434" s="304"/>
      <c r="C434" s="368"/>
      <c r="E434" s="370"/>
      <c r="F434" s="15"/>
      <c r="G434" s="15"/>
    </row>
    <row r="435" spans="1:7" ht="15">
      <c r="A435" s="132"/>
      <c r="B435" s="304"/>
      <c r="C435" s="304"/>
      <c r="D435" s="368"/>
      <c r="E435" s="304"/>
      <c r="F435" s="15"/>
      <c r="G435" s="15"/>
    </row>
    <row r="436" spans="1:7" ht="15.75">
      <c r="A436" s="54" t="s">
        <v>1</v>
      </c>
      <c r="B436" s="304"/>
      <c r="C436" s="304"/>
      <c r="D436" s="368"/>
      <c r="E436" s="304"/>
      <c r="F436" s="15"/>
      <c r="G436" s="15"/>
    </row>
    <row r="437" spans="1:7" ht="15">
      <c r="A437" s="132"/>
      <c r="B437" s="304"/>
      <c r="C437" s="304"/>
      <c r="D437" s="368"/>
      <c r="E437" s="304"/>
      <c r="F437" s="15"/>
      <c r="G437" s="15"/>
    </row>
    <row r="438" spans="2:7" ht="15">
      <c r="B438" s="304"/>
      <c r="C438" s="368" t="s">
        <v>21</v>
      </c>
      <c r="E438" s="370" t="s">
        <v>23</v>
      </c>
      <c r="F438" s="25" t="s">
        <v>153</v>
      </c>
      <c r="G438" s="15"/>
    </row>
    <row r="439" spans="1:7" ht="15">
      <c r="A439" s="132"/>
      <c r="B439" s="304"/>
      <c r="C439" s="368" t="s">
        <v>22</v>
      </c>
      <c r="E439" s="370" t="s">
        <v>27</v>
      </c>
      <c r="F439" s="16" t="s">
        <v>153</v>
      </c>
      <c r="G439" s="15"/>
    </row>
    <row r="440" spans="1:7" ht="15">
      <c r="A440" s="132"/>
      <c r="B440" s="369"/>
      <c r="C440" s="368"/>
      <c r="E440" s="370"/>
      <c r="F440" s="15"/>
      <c r="G440" s="15"/>
    </row>
    <row r="441" spans="1:7" ht="15">
      <c r="A441" s="132"/>
      <c r="B441" s="304"/>
      <c r="C441" s="304"/>
      <c r="D441" s="371"/>
      <c r="E441" s="304"/>
      <c r="F441" s="15"/>
      <c r="G441" s="15"/>
    </row>
    <row r="442" spans="1:7" ht="15">
      <c r="A442" s="132"/>
      <c r="B442" s="304"/>
      <c r="C442" s="304"/>
      <c r="D442" s="368"/>
      <c r="E442" s="304"/>
      <c r="F442" s="15"/>
      <c r="G442" s="15"/>
    </row>
    <row r="443" spans="1:7" ht="15.75">
      <c r="A443" s="54" t="s">
        <v>29</v>
      </c>
      <c r="B443" s="369"/>
      <c r="C443" s="304"/>
      <c r="D443" s="368"/>
      <c r="E443" s="304"/>
      <c r="F443" s="15"/>
      <c r="G443" s="15"/>
    </row>
    <row r="444" spans="1:7" ht="15">
      <c r="A444" s="132"/>
      <c r="B444" s="304"/>
      <c r="C444" s="304"/>
      <c r="D444" s="368"/>
      <c r="E444" s="304"/>
      <c r="F444" s="15"/>
      <c r="G444" s="15"/>
    </row>
    <row r="445" spans="1:7" ht="15">
      <c r="A445" s="132"/>
      <c r="B445" s="369"/>
      <c r="C445" s="368" t="s">
        <v>21</v>
      </c>
      <c r="E445" s="370" t="s">
        <v>23</v>
      </c>
      <c r="F445" s="25">
        <f>+'9. 2005 Rate Sch. Reg. Assets'!D167</f>
        <v>0.5224524096962097</v>
      </c>
      <c r="G445" s="15"/>
    </row>
    <row r="446" spans="1:7" ht="15">
      <c r="A446" s="132"/>
      <c r="B446" s="304"/>
      <c r="C446" s="368" t="s">
        <v>22</v>
      </c>
      <c r="E446" s="370" t="s">
        <v>27</v>
      </c>
      <c r="F446" s="16">
        <f>+'9. 2005 Rate Sch. Reg. Assets'!D165</f>
        <v>0.5152718283864239</v>
      </c>
      <c r="G446" s="15"/>
    </row>
    <row r="447" spans="1:7" ht="15">
      <c r="A447" s="132"/>
      <c r="B447" s="304"/>
      <c r="C447" s="368"/>
      <c r="E447" s="370"/>
      <c r="F447" s="15"/>
      <c r="G447" s="15"/>
    </row>
    <row r="448" spans="1:7" ht="15.75">
      <c r="A448" s="131"/>
      <c r="B448" s="304"/>
      <c r="C448" s="304"/>
      <c r="D448" s="368"/>
      <c r="E448" s="304"/>
      <c r="F448" s="15"/>
      <c r="G448" s="15"/>
    </row>
    <row r="449" spans="1:7" ht="15.75">
      <c r="A449" s="54" t="s">
        <v>30</v>
      </c>
      <c r="B449" s="304"/>
      <c r="C449" s="304"/>
      <c r="D449" s="368"/>
      <c r="E449" s="304"/>
      <c r="F449" s="15"/>
      <c r="G449" s="15"/>
    </row>
    <row r="450" spans="2:7" ht="15">
      <c r="B450" s="304"/>
      <c r="C450" s="304"/>
      <c r="D450" s="368"/>
      <c r="E450" s="304"/>
      <c r="F450" s="15"/>
      <c r="G450" s="15"/>
    </row>
    <row r="451" spans="1:7" ht="15">
      <c r="A451" s="132"/>
      <c r="B451" s="369"/>
      <c r="C451" s="368" t="s">
        <v>21</v>
      </c>
      <c r="E451" s="370" t="s">
        <v>23</v>
      </c>
      <c r="F451" s="25" t="s">
        <v>153</v>
      </c>
      <c r="G451" s="15"/>
    </row>
    <row r="452" spans="1:7" ht="15">
      <c r="A452" s="132"/>
      <c r="B452" s="304"/>
      <c r="C452" s="368" t="s">
        <v>22</v>
      </c>
      <c r="E452" s="370" t="s">
        <v>27</v>
      </c>
      <c r="F452" s="16" t="s">
        <v>153</v>
      </c>
      <c r="G452" s="15"/>
    </row>
    <row r="453" spans="1:7" ht="15">
      <c r="A453" s="132"/>
      <c r="B453" s="369"/>
      <c r="C453" s="304"/>
      <c r="E453" s="370"/>
      <c r="F453" s="15"/>
      <c r="G453" s="15"/>
    </row>
    <row r="454" spans="1:7" ht="15">
      <c r="A454" s="132"/>
      <c r="B454" s="370"/>
      <c r="C454" s="370"/>
      <c r="D454" s="368"/>
      <c r="E454" s="304"/>
      <c r="F454" s="15"/>
      <c r="G454" s="15"/>
    </row>
    <row r="455" spans="1:7" ht="15.75">
      <c r="A455" s="54" t="s">
        <v>31</v>
      </c>
      <c r="B455" s="369"/>
      <c r="C455" s="304"/>
      <c r="D455" s="368"/>
      <c r="E455" s="304"/>
      <c r="F455" s="15"/>
      <c r="G455" s="15"/>
    </row>
    <row r="456" spans="1:7" ht="15">
      <c r="A456" s="132"/>
      <c r="B456" s="304"/>
      <c r="C456" s="304"/>
      <c r="D456" s="368"/>
      <c r="E456" s="304"/>
      <c r="F456" s="15"/>
      <c r="G456" s="15"/>
    </row>
    <row r="457" spans="1:7" ht="15">
      <c r="A457" s="132"/>
      <c r="B457" s="369"/>
      <c r="C457" s="368" t="s">
        <v>21</v>
      </c>
      <c r="E457" s="370" t="s">
        <v>23</v>
      </c>
      <c r="F457" s="25" t="s">
        <v>153</v>
      </c>
      <c r="G457" s="15"/>
    </row>
    <row r="458" spans="1:7" ht="15">
      <c r="A458" s="132"/>
      <c r="B458" s="304"/>
      <c r="C458" s="368" t="s">
        <v>22</v>
      </c>
      <c r="E458" s="370" t="s">
        <v>27</v>
      </c>
      <c r="F458" s="16" t="s">
        <v>153</v>
      </c>
      <c r="G458" s="15"/>
    </row>
    <row r="459" spans="1:7" ht="15">
      <c r="A459" s="132"/>
      <c r="B459" s="304"/>
      <c r="C459" s="368"/>
      <c r="E459" s="370"/>
      <c r="F459" s="15"/>
      <c r="G459" s="15"/>
    </row>
    <row r="460" spans="1:7" ht="15.75">
      <c r="A460" s="131"/>
      <c r="B460" s="304"/>
      <c r="C460" s="304"/>
      <c r="D460" s="368"/>
      <c r="E460" s="304"/>
      <c r="F460" s="15"/>
      <c r="G460" s="15"/>
    </row>
    <row r="461" spans="1:7" ht="15.75">
      <c r="A461" s="54" t="s">
        <v>32</v>
      </c>
      <c r="B461" s="304"/>
      <c r="C461" s="304"/>
      <c r="D461" s="368"/>
      <c r="E461" s="304"/>
      <c r="F461" s="15"/>
      <c r="G461" s="15"/>
    </row>
    <row r="462" spans="2:7" ht="15">
      <c r="B462" s="304"/>
      <c r="C462" s="304"/>
      <c r="D462" s="368"/>
      <c r="E462" s="304"/>
      <c r="F462" s="15"/>
      <c r="G462" s="15"/>
    </row>
    <row r="463" spans="1:7" ht="15">
      <c r="A463" s="132"/>
      <c r="B463" s="369"/>
      <c r="C463" s="368" t="s">
        <v>21</v>
      </c>
      <c r="E463" s="370" t="s">
        <v>23</v>
      </c>
      <c r="F463" s="25" t="s">
        <v>153</v>
      </c>
      <c r="G463" s="15"/>
    </row>
    <row r="464" spans="1:7" ht="15">
      <c r="A464" s="132"/>
      <c r="B464" s="304"/>
      <c r="C464" s="368" t="s">
        <v>22</v>
      </c>
      <c r="E464" s="370" t="s">
        <v>27</v>
      </c>
      <c r="F464" s="16" t="s">
        <v>153</v>
      </c>
      <c r="G464" s="15"/>
    </row>
    <row r="465" spans="1:7" ht="15">
      <c r="A465" s="132"/>
      <c r="B465" s="369"/>
      <c r="C465" s="304"/>
      <c r="E465" s="370"/>
      <c r="F465" s="15" t="s">
        <v>153</v>
      </c>
      <c r="G465" s="15"/>
    </row>
    <row r="466" spans="1:7" ht="15.75">
      <c r="A466" s="131"/>
      <c r="B466" s="304"/>
      <c r="C466" s="304"/>
      <c r="D466" s="368"/>
      <c r="E466" s="304"/>
      <c r="F466" s="15"/>
      <c r="G466" s="15"/>
    </row>
    <row r="468" spans="1:8" ht="15.75">
      <c r="A468" s="561">
        <f>IF(ISBLANK('Info Sheet'!B471),"",'Info Sheet'!B471)</f>
      </c>
      <c r="B468" s="561"/>
      <c r="C468" s="561"/>
      <c r="D468" s="561"/>
      <c r="E468" s="561"/>
      <c r="F468" s="561"/>
      <c r="G468" s="561"/>
      <c r="H468" s="561"/>
    </row>
    <row r="469" spans="1:8" ht="15.75">
      <c r="A469" s="561">
        <f>IF(ISBLANK('Info Sheet'!B473),"",'Info Sheet'!B475&amp;"    "&amp;'Info Sheet'!B477)</f>
      </c>
      <c r="B469" s="561"/>
      <c r="C469" s="561"/>
      <c r="D469" s="561"/>
      <c r="E469" s="561"/>
      <c r="F469" s="561"/>
      <c r="G469" s="561"/>
      <c r="H469" s="561"/>
    </row>
    <row r="470" spans="1:8" ht="15.75">
      <c r="A470" s="561" t="s">
        <v>173</v>
      </c>
      <c r="B470" s="561"/>
      <c r="C470" s="561"/>
      <c r="D470" s="561"/>
      <c r="E470" s="561"/>
      <c r="F470" s="561"/>
      <c r="G470" s="561"/>
      <c r="H470" s="561"/>
    </row>
    <row r="471" spans="1:8" ht="14.25">
      <c r="A471" s="562" t="s">
        <v>174</v>
      </c>
      <c r="B471" s="562"/>
      <c r="C471" s="562"/>
      <c r="D471" s="562"/>
      <c r="E471" s="562"/>
      <c r="F471" s="562"/>
      <c r="G471" s="562"/>
      <c r="H471" s="562"/>
    </row>
    <row r="472" spans="1:8" ht="14.25">
      <c r="A472" s="372"/>
      <c r="B472" s="372"/>
      <c r="C472" s="372"/>
      <c r="D472" s="563" t="s">
        <v>248</v>
      </c>
      <c r="E472" s="563"/>
      <c r="F472" s="372"/>
      <c r="G472" s="372"/>
      <c r="H472" s="372"/>
    </row>
    <row r="473" spans="1:5" ht="15.75">
      <c r="A473" s="36"/>
      <c r="D473" s="132"/>
      <c r="E473" s="36"/>
    </row>
    <row r="474" spans="1:5" ht="15.75">
      <c r="A474" s="387" t="s">
        <v>144</v>
      </c>
      <c r="D474" s="132"/>
      <c r="E474" s="36"/>
    </row>
    <row r="475" spans="1:5" ht="15.75">
      <c r="A475" s="47"/>
      <c r="B475" s="132"/>
      <c r="C475" s="132"/>
      <c r="D475" s="132"/>
      <c r="E475" s="132"/>
    </row>
    <row r="476" spans="1:5" ht="15.75">
      <c r="A476" s="47"/>
      <c r="B476" s="132"/>
      <c r="C476" s="132"/>
      <c r="D476" s="132"/>
      <c r="E476" s="132"/>
    </row>
    <row r="477" spans="1:5" ht="15.75">
      <c r="A477" s="47"/>
      <c r="B477" s="132"/>
      <c r="C477" s="132"/>
      <c r="D477" s="132"/>
      <c r="E477" s="132"/>
    </row>
    <row r="478" spans="1:7" ht="15.75">
      <c r="A478" s="54" t="s">
        <v>0</v>
      </c>
      <c r="B478" s="366"/>
      <c r="C478" s="367"/>
      <c r="D478" s="131"/>
      <c r="E478" s="304"/>
      <c r="G478" s="15"/>
    </row>
    <row r="479" spans="1:7" ht="15">
      <c r="A479" s="132"/>
      <c r="B479" s="304"/>
      <c r="C479" s="304"/>
      <c r="D479" s="368"/>
      <c r="E479" s="304"/>
      <c r="F479" s="15"/>
      <c r="G479" s="15"/>
    </row>
    <row r="480" spans="1:8" ht="15">
      <c r="A480" s="132"/>
      <c r="B480" s="369"/>
      <c r="C480" s="368" t="s">
        <v>21</v>
      </c>
      <c r="E480" s="370" t="s">
        <v>23</v>
      </c>
      <c r="F480" s="25">
        <f>+'9. 2005 Rate Sch. Reg. Assets'!D54</f>
        <v>13.491499640108744</v>
      </c>
      <c r="G480" s="299"/>
      <c r="H480" s="299"/>
    </row>
    <row r="481" spans="1:7" ht="15">
      <c r="A481" s="132"/>
      <c r="B481" s="304"/>
      <c r="C481" s="368" t="s">
        <v>22</v>
      </c>
      <c r="E481" s="370" t="s">
        <v>24</v>
      </c>
      <c r="F481" s="16">
        <f>+'9. 2005 Rate Sch. Reg. Assets'!D52</f>
        <v>0.016587893848177236</v>
      </c>
      <c r="G481" s="15"/>
    </row>
    <row r="482" spans="1:8" ht="15">
      <c r="A482" s="132"/>
      <c r="B482" s="369"/>
      <c r="C482" s="368"/>
      <c r="E482" s="370"/>
      <c r="F482" s="15"/>
      <c r="G482" s="279"/>
      <c r="H482" s="299"/>
    </row>
    <row r="483" spans="1:7" ht="15">
      <c r="A483" s="132"/>
      <c r="B483" s="304"/>
      <c r="C483" s="304"/>
      <c r="D483" s="304"/>
      <c r="E483" s="304"/>
      <c r="F483" s="15"/>
      <c r="G483" s="15"/>
    </row>
    <row r="484" spans="1:7" ht="15.75">
      <c r="A484" s="54" t="s">
        <v>25</v>
      </c>
      <c r="B484" s="366"/>
      <c r="C484" s="367"/>
      <c r="D484" s="304"/>
      <c r="E484" s="304"/>
      <c r="F484" s="15"/>
      <c r="G484" s="15"/>
    </row>
    <row r="485" spans="1:7" ht="15">
      <c r="A485" s="132"/>
      <c r="B485" s="304"/>
      <c r="C485" s="304"/>
      <c r="D485" s="304"/>
      <c r="E485" s="304"/>
      <c r="F485" s="15"/>
      <c r="G485" s="15"/>
    </row>
    <row r="486" spans="1:7" ht="15">
      <c r="A486" s="132"/>
      <c r="B486" s="369"/>
      <c r="C486" s="368" t="s">
        <v>21</v>
      </c>
      <c r="E486" s="370" t="s">
        <v>23</v>
      </c>
      <c r="F486" s="25" t="s">
        <v>153</v>
      </c>
      <c r="G486" s="15"/>
    </row>
    <row r="487" spans="1:7" ht="15">
      <c r="A487" s="132"/>
      <c r="B487" s="304"/>
      <c r="C487" s="368" t="s">
        <v>22</v>
      </c>
      <c r="E487" s="370" t="s">
        <v>24</v>
      </c>
      <c r="F487" s="16" t="s">
        <v>153</v>
      </c>
      <c r="G487" s="15"/>
    </row>
    <row r="488" spans="1:7" ht="15">
      <c r="A488" s="132"/>
      <c r="B488" s="369"/>
      <c r="C488" s="304"/>
      <c r="D488" s="304"/>
      <c r="E488" s="304"/>
      <c r="F488" s="15"/>
      <c r="G488" s="15"/>
    </row>
    <row r="489" spans="1:7" ht="15">
      <c r="A489" s="132"/>
      <c r="B489" s="304"/>
      <c r="C489" s="304"/>
      <c r="D489" s="368"/>
      <c r="E489" s="304"/>
      <c r="F489" s="15"/>
      <c r="G489" s="15"/>
    </row>
    <row r="490" spans="1:7" ht="15.75">
      <c r="A490" s="54" t="s">
        <v>3</v>
      </c>
      <c r="B490" s="366"/>
      <c r="C490" s="367"/>
      <c r="D490" s="368"/>
      <c r="E490" s="304"/>
      <c r="F490" s="15"/>
      <c r="G490" s="15"/>
    </row>
    <row r="491" spans="1:7" ht="15">
      <c r="A491" s="132"/>
      <c r="B491" s="304"/>
      <c r="C491" s="304"/>
      <c r="D491" s="368"/>
      <c r="E491" s="304"/>
      <c r="F491" s="15"/>
      <c r="G491" s="15"/>
    </row>
    <row r="492" spans="1:8" ht="15">
      <c r="A492" s="132"/>
      <c r="B492" s="369"/>
      <c r="C492" s="368" t="s">
        <v>21</v>
      </c>
      <c r="E492" s="370" t="s">
        <v>23</v>
      </c>
      <c r="F492" s="25">
        <f>+'9. 2005 Rate Sch. Reg. Assets'!D92</f>
        <v>32.23453397499679</v>
      </c>
      <c r="G492" s="300"/>
      <c r="H492" s="299"/>
    </row>
    <row r="493" spans="1:7" ht="15">
      <c r="A493" s="132"/>
      <c r="B493" s="304"/>
      <c r="C493" s="368" t="s">
        <v>22</v>
      </c>
      <c r="E493" s="370" t="s">
        <v>24</v>
      </c>
      <c r="F493" s="16">
        <f>+'9. 2005 Rate Sch. Reg. Assets'!D90</f>
        <v>0.009926053143928023</v>
      </c>
      <c r="G493" s="300"/>
    </row>
    <row r="494" spans="1:8" ht="15">
      <c r="A494" s="132"/>
      <c r="B494" s="369"/>
      <c r="C494" s="368"/>
      <c r="E494" s="370"/>
      <c r="F494" s="15"/>
      <c r="G494" s="300"/>
      <c r="H494" s="299"/>
    </row>
    <row r="495" spans="1:7" ht="15">
      <c r="A495" s="132"/>
      <c r="B495" s="304"/>
      <c r="C495" s="304"/>
      <c r="D495" s="368"/>
      <c r="E495" s="304"/>
      <c r="F495" s="15"/>
      <c r="G495" s="15"/>
    </row>
    <row r="496" spans="1:7" ht="15.75">
      <c r="A496" s="54" t="s">
        <v>26</v>
      </c>
      <c r="B496" s="366"/>
      <c r="C496" s="367"/>
      <c r="D496" s="368"/>
      <c r="E496" s="304"/>
      <c r="F496" s="15"/>
      <c r="G496" s="15"/>
    </row>
    <row r="497" spans="1:7" ht="15">
      <c r="A497" s="132"/>
      <c r="B497" s="304"/>
      <c r="C497" s="304"/>
      <c r="D497" s="368"/>
      <c r="E497" s="304"/>
      <c r="F497" s="15"/>
      <c r="G497" s="15"/>
    </row>
    <row r="498" spans="1:7" ht="15">
      <c r="A498" s="132"/>
      <c r="B498" s="369"/>
      <c r="C498" s="368" t="s">
        <v>21</v>
      </c>
      <c r="E498" s="370" t="s">
        <v>23</v>
      </c>
      <c r="F498" s="25">
        <f>+'9. 2005 Rate Sch. Reg. Assets'!D99</f>
        <v>133.85747626351818</v>
      </c>
      <c r="G498" s="15"/>
    </row>
    <row r="499" spans="1:7" ht="15">
      <c r="A499" s="132"/>
      <c r="B499" s="304"/>
      <c r="C499" s="368" t="s">
        <v>22</v>
      </c>
      <c r="E499" s="370" t="s">
        <v>27</v>
      </c>
      <c r="F499" s="16">
        <f>+'9. 2005 Rate Sch. Reg. Assets'!D97</f>
        <v>1.3814619766671221</v>
      </c>
      <c r="G499" s="15"/>
    </row>
    <row r="500" spans="1:7" ht="15">
      <c r="A500" s="132"/>
      <c r="B500" s="369"/>
      <c r="C500" s="368"/>
      <c r="E500" s="370"/>
      <c r="F500" s="15"/>
      <c r="G500" s="15"/>
    </row>
    <row r="501" spans="1:7" ht="15">
      <c r="A501" s="132"/>
      <c r="B501" s="304"/>
      <c r="C501" s="304"/>
      <c r="D501" s="368"/>
      <c r="E501" s="304"/>
      <c r="F501" s="15"/>
      <c r="G501" s="15"/>
    </row>
    <row r="502" spans="1:7" ht="15.75">
      <c r="A502" s="54" t="s">
        <v>28</v>
      </c>
      <c r="B502" s="304"/>
      <c r="C502" s="304"/>
      <c r="D502" s="368"/>
      <c r="E502" s="304"/>
      <c r="F502" s="15"/>
      <c r="G502" s="15"/>
    </row>
    <row r="503" spans="2:7" ht="15">
      <c r="B503" s="366"/>
      <c r="C503" s="367"/>
      <c r="D503" s="368"/>
      <c r="E503" s="304"/>
      <c r="F503" s="15"/>
      <c r="G503" s="15"/>
    </row>
    <row r="504" spans="1:7" ht="15.75">
      <c r="A504" s="131"/>
      <c r="B504" s="304"/>
      <c r="C504" s="368" t="s">
        <v>21</v>
      </c>
      <c r="E504" s="370" t="s">
        <v>23</v>
      </c>
      <c r="F504" s="25" t="s">
        <v>153</v>
      </c>
      <c r="G504" s="15"/>
    </row>
    <row r="505" spans="1:7" ht="15">
      <c r="A505" s="132"/>
      <c r="B505" s="369"/>
      <c r="C505" s="368" t="s">
        <v>22</v>
      </c>
      <c r="E505" s="370" t="s">
        <v>27</v>
      </c>
      <c r="F505" s="16" t="s">
        <v>153</v>
      </c>
      <c r="G505" s="15"/>
    </row>
    <row r="506" spans="1:7" ht="15">
      <c r="A506" s="132"/>
      <c r="B506" s="369"/>
      <c r="C506" s="368"/>
      <c r="E506" s="370"/>
      <c r="F506" s="15"/>
      <c r="G506" s="15"/>
    </row>
    <row r="507" spans="1:7" ht="15.75">
      <c r="A507" s="131"/>
      <c r="B507" s="370"/>
      <c r="C507" s="370"/>
      <c r="D507" s="370"/>
      <c r="E507" s="370"/>
      <c r="F507" s="16"/>
      <c r="G507" s="16"/>
    </row>
    <row r="508" spans="1:7" ht="15.75">
      <c r="A508" s="54" t="s">
        <v>199</v>
      </c>
      <c r="B508" s="370"/>
      <c r="C508" s="370"/>
      <c r="D508" s="370"/>
      <c r="E508" s="370"/>
      <c r="F508" s="16"/>
      <c r="G508" s="16"/>
    </row>
    <row r="509" spans="1:7" ht="15.75">
      <c r="A509" s="131"/>
      <c r="B509" s="370"/>
      <c r="C509" s="370"/>
      <c r="D509" s="370"/>
      <c r="E509" s="370"/>
      <c r="F509" s="25"/>
      <c r="G509" s="16"/>
    </row>
    <row r="510" spans="1:7" ht="15.75">
      <c r="A510" s="131"/>
      <c r="B510" s="304"/>
      <c r="C510" s="368" t="s">
        <v>21</v>
      </c>
      <c r="E510" s="370" t="s">
        <v>23</v>
      </c>
      <c r="F510" s="25" t="s">
        <v>153</v>
      </c>
      <c r="G510" s="15"/>
    </row>
    <row r="511" spans="2:7" ht="15">
      <c r="B511" s="304"/>
      <c r="C511" s="368" t="s">
        <v>22</v>
      </c>
      <c r="E511" s="370" t="s">
        <v>27</v>
      </c>
      <c r="F511" s="16" t="s">
        <v>153</v>
      </c>
      <c r="G511" s="15"/>
    </row>
    <row r="512" spans="1:7" ht="15">
      <c r="A512" s="132"/>
      <c r="B512" s="304"/>
      <c r="C512" s="368"/>
      <c r="E512" s="370"/>
      <c r="F512" s="15"/>
      <c r="G512" s="15"/>
    </row>
    <row r="513" spans="1:7" ht="15">
      <c r="A513" s="132"/>
      <c r="B513" s="304"/>
      <c r="C513" s="304"/>
      <c r="D513" s="368"/>
      <c r="E513" s="304"/>
      <c r="F513" s="15"/>
      <c r="G513" s="15"/>
    </row>
    <row r="514" spans="1:7" ht="15.75">
      <c r="A514" s="54" t="s">
        <v>1</v>
      </c>
      <c r="B514" s="304"/>
      <c r="C514" s="304"/>
      <c r="D514" s="368"/>
      <c r="E514" s="304"/>
      <c r="F514" s="15"/>
      <c r="G514" s="15"/>
    </row>
    <row r="515" spans="1:7" ht="15">
      <c r="A515" s="132"/>
      <c r="B515" s="304"/>
      <c r="C515" s="304"/>
      <c r="D515" s="368"/>
      <c r="E515" s="304"/>
      <c r="F515" s="15"/>
      <c r="G515" s="15"/>
    </row>
    <row r="516" spans="2:7" ht="15">
      <c r="B516" s="304"/>
      <c r="C516" s="368" t="s">
        <v>21</v>
      </c>
      <c r="E516" s="370" t="s">
        <v>23</v>
      </c>
      <c r="F516" s="25" t="s">
        <v>153</v>
      </c>
      <c r="G516" s="15"/>
    </row>
    <row r="517" spans="1:7" ht="15">
      <c r="A517" s="132"/>
      <c r="B517" s="304"/>
      <c r="C517" s="368" t="s">
        <v>22</v>
      </c>
      <c r="E517" s="370" t="s">
        <v>27</v>
      </c>
      <c r="F517" s="16" t="s">
        <v>153</v>
      </c>
      <c r="G517" s="15"/>
    </row>
    <row r="518" spans="1:7" ht="15">
      <c r="A518" s="132"/>
      <c r="B518" s="369"/>
      <c r="C518" s="368"/>
      <c r="E518" s="370"/>
      <c r="F518" s="15"/>
      <c r="G518" s="15"/>
    </row>
    <row r="519" spans="1:7" ht="15">
      <c r="A519" s="132"/>
      <c r="B519" s="304"/>
      <c r="C519" s="304"/>
      <c r="D519" s="371"/>
      <c r="E519" s="304"/>
      <c r="F519" s="15"/>
      <c r="G519" s="15"/>
    </row>
    <row r="520" spans="1:7" ht="15">
      <c r="A520" s="132"/>
      <c r="B520" s="304"/>
      <c r="C520" s="304"/>
      <c r="D520" s="368"/>
      <c r="E520" s="304"/>
      <c r="F520" s="15"/>
      <c r="G520" s="15"/>
    </row>
    <row r="521" spans="1:7" ht="15.75">
      <c r="A521" s="54" t="s">
        <v>29</v>
      </c>
      <c r="B521" s="369"/>
      <c r="C521" s="304"/>
      <c r="D521" s="368"/>
      <c r="E521" s="304"/>
      <c r="F521" s="15"/>
      <c r="G521" s="15"/>
    </row>
    <row r="522" spans="1:7" ht="15">
      <c r="A522" s="132"/>
      <c r="B522" s="304"/>
      <c r="C522" s="304"/>
      <c r="D522" s="368"/>
      <c r="E522" s="304"/>
      <c r="F522" s="15"/>
      <c r="G522" s="15"/>
    </row>
    <row r="523" spans="1:7" ht="15">
      <c r="A523" s="132"/>
      <c r="B523" s="369"/>
      <c r="C523" s="368" t="s">
        <v>21</v>
      </c>
      <c r="E523" s="370" t="s">
        <v>23</v>
      </c>
      <c r="F523" s="25">
        <f>+'9. 2005 Rate Sch. Reg. Assets'!D173</f>
        <v>2.54736083886073</v>
      </c>
      <c r="G523" s="15"/>
    </row>
    <row r="524" spans="1:7" ht="15">
      <c r="A524" s="132"/>
      <c r="B524" s="304"/>
      <c r="C524" s="368" t="s">
        <v>22</v>
      </c>
      <c r="E524" s="370" t="s">
        <v>27</v>
      </c>
      <c r="F524" s="16">
        <f>+'9. 2005 Rate Sch. Reg. Assets'!D171</f>
        <v>2.481181762228966</v>
      </c>
      <c r="G524" s="15"/>
    </row>
    <row r="525" spans="1:7" ht="15">
      <c r="A525" s="132"/>
      <c r="B525" s="304"/>
      <c r="C525" s="368"/>
      <c r="E525" s="370"/>
      <c r="F525" s="15"/>
      <c r="G525" s="15"/>
    </row>
    <row r="526" spans="1:7" ht="15.75">
      <c r="A526" s="131"/>
      <c r="B526" s="304"/>
      <c r="C526" s="304"/>
      <c r="D526" s="368"/>
      <c r="E526" s="304"/>
      <c r="F526" s="15"/>
      <c r="G526" s="15"/>
    </row>
    <row r="527" spans="1:7" ht="15.75">
      <c r="A527" s="54" t="s">
        <v>30</v>
      </c>
      <c r="B527" s="304"/>
      <c r="C527" s="304"/>
      <c r="D527" s="368"/>
      <c r="E527" s="304"/>
      <c r="F527" s="15"/>
      <c r="G527" s="15"/>
    </row>
    <row r="528" spans="2:7" ht="15">
      <c r="B528" s="304"/>
      <c r="C528" s="304"/>
      <c r="D528" s="368"/>
      <c r="E528" s="304"/>
      <c r="F528" s="15"/>
      <c r="G528" s="15"/>
    </row>
    <row r="529" spans="1:7" ht="15">
      <c r="A529" s="132"/>
      <c r="B529" s="369"/>
      <c r="C529" s="368" t="s">
        <v>21</v>
      </c>
      <c r="E529" s="370" t="s">
        <v>23</v>
      </c>
      <c r="F529" s="25" t="s">
        <v>153</v>
      </c>
      <c r="G529" s="15"/>
    </row>
    <row r="530" spans="1:7" ht="15">
      <c r="A530" s="132"/>
      <c r="B530" s="304"/>
      <c r="C530" s="368" t="s">
        <v>22</v>
      </c>
      <c r="E530" s="370" t="s">
        <v>27</v>
      </c>
      <c r="F530" s="16" t="s">
        <v>153</v>
      </c>
      <c r="G530" s="15"/>
    </row>
    <row r="531" spans="1:7" ht="15">
      <c r="A531" s="132"/>
      <c r="B531" s="369"/>
      <c r="C531" s="304"/>
      <c r="E531" s="370"/>
      <c r="F531" s="15"/>
      <c r="G531" s="15"/>
    </row>
    <row r="532" spans="1:7" ht="15">
      <c r="A532" s="132"/>
      <c r="B532" s="370"/>
      <c r="C532" s="370"/>
      <c r="D532" s="368"/>
      <c r="E532" s="304"/>
      <c r="F532" s="15"/>
      <c r="G532" s="15"/>
    </row>
    <row r="533" spans="1:7" ht="15.75">
      <c r="A533" s="54" t="s">
        <v>31</v>
      </c>
      <c r="B533" s="369"/>
      <c r="C533" s="304"/>
      <c r="D533" s="368"/>
      <c r="E533" s="304"/>
      <c r="F533" s="15"/>
      <c r="G533" s="15"/>
    </row>
    <row r="534" spans="1:7" ht="15">
      <c r="A534" s="132"/>
      <c r="B534" s="304"/>
      <c r="C534" s="304"/>
      <c r="D534" s="368"/>
      <c r="E534" s="304"/>
      <c r="F534" s="15"/>
      <c r="G534" s="15"/>
    </row>
    <row r="535" spans="1:7" ht="15">
      <c r="A535" s="132"/>
      <c r="B535" s="369"/>
      <c r="C535" s="368" t="s">
        <v>21</v>
      </c>
      <c r="E535" s="370" t="s">
        <v>23</v>
      </c>
      <c r="F535" s="25" t="s">
        <v>153</v>
      </c>
      <c r="G535" s="15"/>
    </row>
    <row r="536" spans="1:7" ht="15">
      <c r="A536" s="132"/>
      <c r="B536" s="304"/>
      <c r="C536" s="368" t="s">
        <v>22</v>
      </c>
      <c r="E536" s="370" t="s">
        <v>27</v>
      </c>
      <c r="F536" s="16" t="s">
        <v>153</v>
      </c>
      <c r="G536" s="15"/>
    </row>
    <row r="537" spans="1:7" ht="15">
      <c r="A537" s="132"/>
      <c r="B537" s="304"/>
      <c r="C537" s="368"/>
      <c r="E537" s="370"/>
      <c r="F537" s="15"/>
      <c r="G537" s="15"/>
    </row>
    <row r="538" spans="1:7" ht="15.75">
      <c r="A538" s="131"/>
      <c r="B538" s="304"/>
      <c r="C538" s="304"/>
      <c r="D538" s="368"/>
      <c r="E538" s="304"/>
      <c r="F538" s="15"/>
      <c r="G538" s="15"/>
    </row>
    <row r="539" spans="1:7" ht="15.75">
      <c r="A539" s="54" t="s">
        <v>32</v>
      </c>
      <c r="B539" s="304"/>
      <c r="C539" s="304"/>
      <c r="D539" s="368"/>
      <c r="E539" s="304"/>
      <c r="F539" s="15"/>
      <c r="G539" s="15"/>
    </row>
    <row r="540" spans="2:7" ht="15">
      <c r="B540" s="304"/>
      <c r="C540" s="304"/>
      <c r="D540" s="368"/>
      <c r="E540" s="304"/>
      <c r="F540" s="15"/>
      <c r="G540" s="15"/>
    </row>
    <row r="541" spans="1:7" ht="15">
      <c r="A541" s="132"/>
      <c r="B541" s="369"/>
      <c r="C541" s="368" t="s">
        <v>21</v>
      </c>
      <c r="E541" s="370" t="s">
        <v>23</v>
      </c>
      <c r="F541" s="25" t="s">
        <v>153</v>
      </c>
      <c r="G541" s="15"/>
    </row>
    <row r="542" spans="1:7" ht="15">
      <c r="A542" s="132"/>
      <c r="B542" s="304"/>
      <c r="C542" s="368" t="s">
        <v>22</v>
      </c>
      <c r="E542" s="370" t="s">
        <v>27</v>
      </c>
      <c r="F542" s="16" t="s">
        <v>153</v>
      </c>
      <c r="G542" s="15"/>
    </row>
    <row r="543" spans="1:7" ht="15">
      <c r="A543" s="132"/>
      <c r="B543" s="369"/>
      <c r="C543" s="304"/>
      <c r="E543" s="370"/>
      <c r="F543" s="15"/>
      <c r="G543" s="15"/>
    </row>
    <row r="544" spans="1:7" ht="15.75">
      <c r="A544" s="131"/>
      <c r="B544" s="304"/>
      <c r="C544" s="304"/>
      <c r="D544" s="368"/>
      <c r="E544" s="304"/>
      <c r="F544" s="15"/>
      <c r="G544" s="15"/>
    </row>
    <row r="545" spans="1:7" ht="15">
      <c r="A545" s="132"/>
      <c r="B545" s="304"/>
      <c r="C545" s="304"/>
      <c r="D545" s="368"/>
      <c r="E545" s="304"/>
      <c r="F545" s="15"/>
      <c r="G545" s="15"/>
    </row>
    <row r="546" spans="1:8" ht="15.75">
      <c r="A546" s="561">
        <f>IF(ISBLANK('Info Sheet'!B549),"",'Info Sheet'!B549)</f>
      </c>
      <c r="B546" s="561"/>
      <c r="C546" s="561"/>
      <c r="D546" s="561"/>
      <c r="E546" s="561"/>
      <c r="F546" s="561"/>
      <c r="G546" s="561"/>
      <c r="H546" s="561"/>
    </row>
    <row r="547" spans="1:8" ht="15.75">
      <c r="A547" s="561">
        <f>IF(ISBLANK('Info Sheet'!B551),"",'Info Sheet'!B553&amp;"    "&amp;'Info Sheet'!B555)</f>
      </c>
      <c r="B547" s="561"/>
      <c r="C547" s="561"/>
      <c r="D547" s="561"/>
      <c r="E547" s="561"/>
      <c r="F547" s="561"/>
      <c r="G547" s="561"/>
      <c r="H547" s="561"/>
    </row>
    <row r="548" spans="1:8" ht="15.75">
      <c r="A548" s="561" t="s">
        <v>173</v>
      </c>
      <c r="B548" s="561"/>
      <c r="C548" s="561"/>
      <c r="D548" s="561"/>
      <c r="E548" s="561"/>
      <c r="F548" s="561"/>
      <c r="G548" s="561"/>
      <c r="H548" s="561"/>
    </row>
    <row r="549" spans="1:8" ht="14.25">
      <c r="A549" s="562" t="s">
        <v>174</v>
      </c>
      <c r="B549" s="562"/>
      <c r="C549" s="562"/>
      <c r="D549" s="562"/>
      <c r="E549" s="562"/>
      <c r="F549" s="562"/>
      <c r="G549" s="562"/>
      <c r="H549" s="562"/>
    </row>
    <row r="550" spans="1:8" ht="14.25">
      <c r="A550" s="372"/>
      <c r="B550" s="372"/>
      <c r="C550" s="372"/>
      <c r="D550" s="563" t="s">
        <v>250</v>
      </c>
      <c r="E550" s="563"/>
      <c r="F550" s="372"/>
      <c r="G550" s="372"/>
      <c r="H550" s="372"/>
    </row>
    <row r="551" spans="1:5" ht="15.75">
      <c r="A551" s="36"/>
      <c r="D551" s="132"/>
      <c r="E551" s="36"/>
    </row>
    <row r="552" spans="1:5" ht="15.75">
      <c r="A552" s="387" t="s">
        <v>144</v>
      </c>
      <c r="D552" s="132"/>
      <c r="E552" s="36"/>
    </row>
    <row r="553" spans="1:5" ht="15.75">
      <c r="A553" s="47"/>
      <c r="B553" s="132"/>
      <c r="C553" s="132"/>
      <c r="D553" s="132"/>
      <c r="E553" s="132"/>
    </row>
    <row r="554" spans="1:5" ht="15.75">
      <c r="A554" s="47"/>
      <c r="B554" s="132"/>
      <c r="C554" s="132"/>
      <c r="D554" s="132"/>
      <c r="E554" s="132"/>
    </row>
    <row r="555" spans="1:5" ht="15.75">
      <c r="A555" s="47"/>
      <c r="B555" s="132"/>
      <c r="C555" s="132"/>
      <c r="D555" s="132"/>
      <c r="E555" s="132"/>
    </row>
    <row r="556" spans="1:7" ht="15.75">
      <c r="A556" s="54" t="s">
        <v>0</v>
      </c>
      <c r="B556" s="366"/>
      <c r="C556" s="367"/>
      <c r="D556" s="131"/>
      <c r="E556" s="304"/>
      <c r="G556" s="15"/>
    </row>
    <row r="557" spans="1:7" ht="15">
      <c r="A557" s="132"/>
      <c r="B557" s="304"/>
      <c r="C557" s="304"/>
      <c r="D557" s="368"/>
      <c r="E557" s="304"/>
      <c r="F557" s="15"/>
      <c r="G557" s="15"/>
    </row>
    <row r="558" spans="1:8" ht="15">
      <c r="A558" s="132"/>
      <c r="B558" s="369"/>
      <c r="C558" s="368" t="s">
        <v>21</v>
      </c>
      <c r="E558" s="370" t="s">
        <v>23</v>
      </c>
      <c r="F558" s="25">
        <f>+'9. 2005 Rate Sch. Reg. Assets'!D60</f>
        <v>7.057043226024896</v>
      </c>
      <c r="G558" s="299"/>
      <c r="H558" s="299"/>
    </row>
    <row r="559" spans="1:7" ht="15">
      <c r="A559" s="132"/>
      <c r="B559" s="304"/>
      <c r="C559" s="368" t="s">
        <v>22</v>
      </c>
      <c r="E559" s="370" t="s">
        <v>24</v>
      </c>
      <c r="F559" s="16">
        <f>+'9. 2005 Rate Sch. Reg. Assets'!D58</f>
        <v>0.008588133684912487</v>
      </c>
      <c r="G559" s="15"/>
    </row>
    <row r="560" spans="1:8" ht="15">
      <c r="A560" s="132"/>
      <c r="B560" s="369"/>
      <c r="C560" s="368"/>
      <c r="E560" s="370"/>
      <c r="F560" s="15"/>
      <c r="G560" s="279"/>
      <c r="H560" s="299"/>
    </row>
    <row r="561" spans="1:7" ht="15">
      <c r="A561" s="132"/>
      <c r="B561" s="304"/>
      <c r="C561" s="304"/>
      <c r="D561" s="304"/>
      <c r="E561" s="304"/>
      <c r="F561" s="15"/>
      <c r="G561" s="15"/>
    </row>
    <row r="562" spans="1:7" ht="15.75">
      <c r="A562" s="54" t="s">
        <v>25</v>
      </c>
      <c r="B562" s="366"/>
      <c r="C562" s="367"/>
      <c r="D562" s="304"/>
      <c r="E562" s="304"/>
      <c r="F562" s="15"/>
      <c r="G562" s="15"/>
    </row>
    <row r="563" spans="1:7" ht="15">
      <c r="A563" s="132"/>
      <c r="B563" s="304"/>
      <c r="C563" s="304"/>
      <c r="D563" s="304"/>
      <c r="E563" s="304"/>
      <c r="F563" s="15"/>
      <c r="G563" s="15"/>
    </row>
    <row r="564" spans="1:7" ht="15">
      <c r="A564" s="132"/>
      <c r="B564" s="369"/>
      <c r="C564" s="368" t="s">
        <v>21</v>
      </c>
      <c r="E564" s="370" t="s">
        <v>23</v>
      </c>
      <c r="F564" s="25" t="s">
        <v>153</v>
      </c>
      <c r="G564" s="15"/>
    </row>
    <row r="565" spans="1:7" ht="15">
      <c r="A565" s="132"/>
      <c r="B565" s="304"/>
      <c r="C565" s="368" t="s">
        <v>22</v>
      </c>
      <c r="E565" s="370" t="s">
        <v>24</v>
      </c>
      <c r="F565" s="16" t="s">
        <v>153</v>
      </c>
      <c r="G565" s="15"/>
    </row>
    <row r="566" spans="1:7" ht="15">
      <c r="A566" s="132"/>
      <c r="B566" s="369"/>
      <c r="C566" s="304"/>
      <c r="D566" s="304"/>
      <c r="E566" s="304"/>
      <c r="F566" s="15"/>
      <c r="G566" s="15"/>
    </row>
    <row r="567" spans="1:7" ht="15">
      <c r="A567" s="132"/>
      <c r="B567" s="304"/>
      <c r="C567" s="304"/>
      <c r="D567" s="368"/>
      <c r="E567" s="304"/>
      <c r="F567" s="15"/>
      <c r="G567" s="15"/>
    </row>
    <row r="568" spans="1:7" ht="15.75">
      <c r="A568" s="54" t="s">
        <v>3</v>
      </c>
      <c r="B568" s="366"/>
      <c r="C568" s="367"/>
      <c r="D568" s="368"/>
      <c r="E568" s="304"/>
      <c r="F568" s="15"/>
      <c r="G568" s="15"/>
    </row>
    <row r="569" spans="1:7" ht="15">
      <c r="A569" s="132"/>
      <c r="B569" s="304"/>
      <c r="C569" s="304"/>
      <c r="D569" s="368"/>
      <c r="E569" s="304"/>
      <c r="F569" s="15"/>
      <c r="G569" s="15"/>
    </row>
    <row r="570" spans="1:8" ht="15">
      <c r="A570" s="132"/>
      <c r="B570" s="369"/>
      <c r="C570" s="368" t="s">
        <v>21</v>
      </c>
      <c r="E570" s="370" t="s">
        <v>23</v>
      </c>
      <c r="F570" s="25">
        <f>+'9. 2005 Rate Sch. Reg. Assets'!D92</f>
        <v>32.23453397499679</v>
      </c>
      <c r="G570" s="300"/>
      <c r="H570" s="299"/>
    </row>
    <row r="571" spans="1:7" ht="15">
      <c r="A571" s="132"/>
      <c r="B571" s="304"/>
      <c r="C571" s="368" t="s">
        <v>22</v>
      </c>
      <c r="E571" s="370" t="s">
        <v>24</v>
      </c>
      <c r="F571" s="16">
        <f>+'9. 2005 Rate Sch. Reg. Assets'!D90</f>
        <v>0.009926053143928023</v>
      </c>
      <c r="G571" s="300"/>
    </row>
    <row r="572" spans="1:8" ht="15">
      <c r="A572" s="132"/>
      <c r="B572" s="369"/>
      <c r="C572" s="368"/>
      <c r="E572" s="370"/>
      <c r="F572" s="15"/>
      <c r="G572" s="300"/>
      <c r="H572" s="299"/>
    </row>
    <row r="573" spans="1:7" ht="15">
      <c r="A573" s="132"/>
      <c r="B573" s="304"/>
      <c r="C573" s="304"/>
      <c r="D573" s="368"/>
      <c r="E573" s="304"/>
      <c r="F573" s="15"/>
      <c r="G573" s="15"/>
    </row>
    <row r="574" spans="1:7" ht="15.75">
      <c r="A574" s="54" t="s">
        <v>26</v>
      </c>
      <c r="B574" s="366"/>
      <c r="C574" s="367"/>
      <c r="D574" s="368"/>
      <c r="E574" s="304"/>
      <c r="F574" s="15"/>
      <c r="G574" s="15"/>
    </row>
    <row r="575" spans="1:7" ht="15">
      <c r="A575" s="132"/>
      <c r="B575" s="304"/>
      <c r="C575" s="304"/>
      <c r="D575" s="368"/>
      <c r="E575" s="304"/>
      <c r="F575" s="15"/>
      <c r="G575" s="15"/>
    </row>
    <row r="576" spans="1:7" ht="15">
      <c r="A576" s="132"/>
      <c r="B576" s="369"/>
      <c r="C576" s="368" t="s">
        <v>21</v>
      </c>
      <c r="E576" s="370" t="s">
        <v>23</v>
      </c>
      <c r="F576" s="25">
        <f>+'9. 2005 Rate Sch. Reg. Assets'!D99</f>
        <v>133.85747626351818</v>
      </c>
      <c r="G576" s="15"/>
    </row>
    <row r="577" spans="1:7" ht="15">
      <c r="A577" s="132"/>
      <c r="B577" s="304"/>
      <c r="C577" s="368" t="s">
        <v>22</v>
      </c>
      <c r="E577" s="370" t="s">
        <v>27</v>
      </c>
      <c r="F577" s="16">
        <f>+'9. 2005 Rate Sch. Reg. Assets'!D97</f>
        <v>1.3814619766671221</v>
      </c>
      <c r="G577" s="15"/>
    </row>
    <row r="578" spans="1:7" ht="15">
      <c r="A578" s="132"/>
      <c r="B578" s="369"/>
      <c r="C578" s="368"/>
      <c r="E578" s="370"/>
      <c r="F578" s="15"/>
      <c r="G578" s="15"/>
    </row>
    <row r="579" spans="1:7" ht="15">
      <c r="A579" s="132"/>
      <c r="B579" s="304"/>
      <c r="C579" s="304"/>
      <c r="D579" s="368"/>
      <c r="E579" s="304"/>
      <c r="F579" s="15"/>
      <c r="G579" s="15"/>
    </row>
    <row r="580" spans="1:7" ht="15.75">
      <c r="A580" s="54" t="s">
        <v>28</v>
      </c>
      <c r="B580" s="304"/>
      <c r="C580" s="304"/>
      <c r="D580" s="368"/>
      <c r="E580" s="304"/>
      <c r="F580" s="15"/>
      <c r="G580" s="15"/>
    </row>
    <row r="581" spans="2:7" ht="15">
      <c r="B581" s="366"/>
      <c r="C581" s="367"/>
      <c r="D581" s="368"/>
      <c r="E581" s="304"/>
      <c r="F581" s="15"/>
      <c r="G581" s="15"/>
    </row>
    <row r="582" spans="1:7" ht="15.75">
      <c r="A582" s="131"/>
      <c r="B582" s="304"/>
      <c r="C582" s="368" t="s">
        <v>21</v>
      </c>
      <c r="E582" s="370" t="s">
        <v>23</v>
      </c>
      <c r="F582" s="25" t="s">
        <v>153</v>
      </c>
      <c r="G582" s="15"/>
    </row>
    <row r="583" spans="1:7" ht="15">
      <c r="A583" s="132"/>
      <c r="B583" s="369"/>
      <c r="C583" s="368" t="s">
        <v>22</v>
      </c>
      <c r="E583" s="370" t="s">
        <v>27</v>
      </c>
      <c r="F583" s="16" t="s">
        <v>153</v>
      </c>
      <c r="G583" s="15"/>
    </row>
    <row r="584" spans="1:7" ht="15">
      <c r="A584" s="132"/>
      <c r="B584" s="369"/>
      <c r="C584" s="368"/>
      <c r="E584" s="370"/>
      <c r="F584" s="15"/>
      <c r="G584" s="15"/>
    </row>
    <row r="585" spans="1:7" ht="15.75">
      <c r="A585" s="131"/>
      <c r="B585" s="370"/>
      <c r="C585" s="370"/>
      <c r="D585" s="370"/>
      <c r="E585" s="370"/>
      <c r="F585" s="16"/>
      <c r="G585" s="16"/>
    </row>
    <row r="586" spans="1:7" ht="15.75">
      <c r="A586" s="54" t="s">
        <v>199</v>
      </c>
      <c r="B586" s="370"/>
      <c r="C586" s="370"/>
      <c r="D586" s="370"/>
      <c r="E586" s="370"/>
      <c r="F586" s="16"/>
      <c r="G586" s="16"/>
    </row>
    <row r="587" spans="1:7" ht="15.75">
      <c r="A587" s="131"/>
      <c r="B587" s="370"/>
      <c r="C587" s="370"/>
      <c r="D587" s="370"/>
      <c r="E587" s="370"/>
      <c r="F587" s="25"/>
      <c r="G587" s="16"/>
    </row>
    <row r="588" spans="1:7" ht="15.75">
      <c r="A588" s="131"/>
      <c r="B588" s="304"/>
      <c r="C588" s="368" t="s">
        <v>21</v>
      </c>
      <c r="E588" s="370" t="s">
        <v>23</v>
      </c>
      <c r="F588" s="25" t="s">
        <v>153</v>
      </c>
      <c r="G588" s="15"/>
    </row>
    <row r="589" spans="2:7" ht="15">
      <c r="B589" s="304"/>
      <c r="C589" s="368" t="s">
        <v>22</v>
      </c>
      <c r="E589" s="370" t="s">
        <v>27</v>
      </c>
      <c r="F589" s="16" t="s">
        <v>153</v>
      </c>
      <c r="G589" s="15"/>
    </row>
    <row r="590" spans="1:7" ht="15">
      <c r="A590" s="132"/>
      <c r="B590" s="304"/>
      <c r="C590" s="368"/>
      <c r="E590" s="370"/>
      <c r="F590" s="15"/>
      <c r="G590" s="15"/>
    </row>
    <row r="591" spans="1:7" ht="15">
      <c r="A591" s="132"/>
      <c r="B591" s="304"/>
      <c r="C591" s="304"/>
      <c r="D591" s="368"/>
      <c r="E591" s="304"/>
      <c r="F591" s="15"/>
      <c r="G591" s="15"/>
    </row>
    <row r="592" spans="1:7" ht="15.75">
      <c r="A592" s="54" t="s">
        <v>1</v>
      </c>
      <c r="B592" s="304"/>
      <c r="C592" s="304"/>
      <c r="D592" s="368"/>
      <c r="E592" s="304"/>
      <c r="F592" s="15"/>
      <c r="G592" s="15"/>
    </row>
    <row r="593" spans="1:7" ht="15">
      <c r="A593" s="132"/>
      <c r="B593" s="304"/>
      <c r="C593" s="304"/>
      <c r="D593" s="368"/>
      <c r="E593" s="304"/>
      <c r="F593" s="15"/>
      <c r="G593" s="15"/>
    </row>
    <row r="594" spans="2:7" ht="15">
      <c r="B594" s="304"/>
      <c r="C594" s="368" t="s">
        <v>21</v>
      </c>
      <c r="E594" s="370" t="s">
        <v>23</v>
      </c>
      <c r="F594" s="25" t="s">
        <v>153</v>
      </c>
      <c r="G594" s="15"/>
    </row>
    <row r="595" spans="1:7" ht="15">
      <c r="A595" s="132"/>
      <c r="B595" s="304"/>
      <c r="C595" s="368" t="s">
        <v>22</v>
      </c>
      <c r="E595" s="370" t="s">
        <v>27</v>
      </c>
      <c r="F595" s="16" t="s">
        <v>153</v>
      </c>
      <c r="G595" s="15"/>
    </row>
    <row r="596" spans="1:7" ht="15">
      <c r="A596" s="132"/>
      <c r="B596" s="369"/>
      <c r="C596" s="368"/>
      <c r="E596" s="370"/>
      <c r="F596" s="15"/>
      <c r="G596" s="15"/>
    </row>
    <row r="597" spans="1:7" ht="15">
      <c r="A597" s="132"/>
      <c r="B597" s="304"/>
      <c r="C597" s="304"/>
      <c r="D597" s="371"/>
      <c r="E597" s="304"/>
      <c r="F597" s="15"/>
      <c r="G597" s="15"/>
    </row>
    <row r="598" spans="1:7" ht="15">
      <c r="A598" s="132"/>
      <c r="B598" s="304"/>
      <c r="C598" s="304"/>
      <c r="D598" s="368"/>
      <c r="E598" s="304"/>
      <c r="F598" s="15"/>
      <c r="G598" s="15"/>
    </row>
    <row r="599" spans="1:7" ht="15.75">
      <c r="A599" s="54" t="s">
        <v>29</v>
      </c>
      <c r="B599" s="369"/>
      <c r="C599" s="304"/>
      <c r="D599" s="368"/>
      <c r="E599" s="304"/>
      <c r="F599" s="15"/>
      <c r="G599" s="15"/>
    </row>
    <row r="600" spans="1:7" ht="15">
      <c r="A600" s="132"/>
      <c r="B600" s="304"/>
      <c r="C600" s="304"/>
      <c r="D600" s="368"/>
      <c r="E600" s="304"/>
      <c r="F600" s="15"/>
      <c r="G600" s="15"/>
    </row>
    <row r="601" spans="1:7" ht="15">
      <c r="A601" s="132"/>
      <c r="B601" s="369"/>
      <c r="C601" s="368" t="s">
        <v>21</v>
      </c>
      <c r="E601" s="370" t="s">
        <v>253</v>
      </c>
      <c r="F601" s="25">
        <f>+'9. 2005 Rate Sch. Reg. Assets'!D179</f>
        <v>3.120638991195132</v>
      </c>
      <c r="G601" s="15"/>
    </row>
    <row r="602" spans="1:7" ht="15">
      <c r="A602" s="132"/>
      <c r="B602" s="304"/>
      <c r="C602" s="368" t="s">
        <v>22</v>
      </c>
      <c r="E602" s="370" t="s">
        <v>27</v>
      </c>
      <c r="F602" s="16">
        <f>+'9. 2005 Rate Sch. Reg. Assets'!D177</f>
        <v>4.012423817305403</v>
      </c>
      <c r="G602" s="15"/>
    </row>
    <row r="603" spans="1:7" ht="15">
      <c r="A603" s="132"/>
      <c r="B603" s="304"/>
      <c r="C603" s="368"/>
      <c r="E603" s="370"/>
      <c r="F603" s="15"/>
      <c r="G603" s="15"/>
    </row>
    <row r="604" spans="1:7" ht="15.75">
      <c r="A604" s="131"/>
      <c r="B604" s="304"/>
      <c r="C604" s="304"/>
      <c r="D604" s="368"/>
      <c r="E604" s="304"/>
      <c r="F604" s="15"/>
      <c r="G604" s="15"/>
    </row>
    <row r="605" spans="1:7" ht="15.75">
      <c r="A605" s="54" t="s">
        <v>30</v>
      </c>
      <c r="B605" s="304"/>
      <c r="C605" s="304"/>
      <c r="D605" s="368"/>
      <c r="E605" s="304"/>
      <c r="F605" s="15"/>
      <c r="G605" s="15"/>
    </row>
    <row r="606" spans="2:7" ht="15">
      <c r="B606" s="304"/>
      <c r="C606" s="304"/>
      <c r="D606" s="368"/>
      <c r="E606" s="304"/>
      <c r="F606" s="15"/>
      <c r="G606" s="15"/>
    </row>
    <row r="607" spans="1:7" ht="15">
      <c r="A607" s="132"/>
      <c r="B607" s="369"/>
      <c r="C607" s="368" t="s">
        <v>21</v>
      </c>
      <c r="E607" s="370" t="s">
        <v>23</v>
      </c>
      <c r="F607" s="25" t="s">
        <v>153</v>
      </c>
      <c r="G607" s="15"/>
    </row>
    <row r="608" spans="1:7" ht="15">
      <c r="A608" s="132"/>
      <c r="B608" s="304"/>
      <c r="C608" s="368" t="s">
        <v>22</v>
      </c>
      <c r="E608" s="370" t="s">
        <v>27</v>
      </c>
      <c r="F608" s="16" t="s">
        <v>153</v>
      </c>
      <c r="G608" s="15"/>
    </row>
    <row r="609" spans="1:7" ht="15">
      <c r="A609" s="132"/>
      <c r="B609" s="369"/>
      <c r="C609" s="304"/>
      <c r="E609" s="370"/>
      <c r="F609" s="15"/>
      <c r="G609" s="15"/>
    </row>
    <row r="610" spans="1:7" ht="15">
      <c r="A610" s="132"/>
      <c r="B610" s="370"/>
      <c r="C610" s="370"/>
      <c r="D610" s="368"/>
      <c r="E610" s="304"/>
      <c r="F610" s="15"/>
      <c r="G610" s="15"/>
    </row>
    <row r="611" spans="1:7" ht="15.75">
      <c r="A611" s="54" t="s">
        <v>31</v>
      </c>
      <c r="B611" s="369"/>
      <c r="C611" s="304"/>
      <c r="D611" s="368"/>
      <c r="E611" s="304"/>
      <c r="F611" s="15"/>
      <c r="G611" s="15"/>
    </row>
    <row r="612" spans="1:7" ht="15">
      <c r="A612" s="132"/>
      <c r="B612" s="304"/>
      <c r="C612" s="304"/>
      <c r="D612" s="368"/>
      <c r="E612" s="304"/>
      <c r="F612" s="15"/>
      <c r="G612" s="15"/>
    </row>
    <row r="613" spans="1:7" ht="15">
      <c r="A613" s="132"/>
      <c r="B613" s="369"/>
      <c r="C613" s="368" t="s">
        <v>21</v>
      </c>
      <c r="E613" s="370" t="s">
        <v>23</v>
      </c>
      <c r="F613" s="25" t="s">
        <v>153</v>
      </c>
      <c r="G613" s="15"/>
    </row>
    <row r="614" spans="1:7" ht="15">
      <c r="A614" s="132"/>
      <c r="B614" s="304"/>
      <c r="C614" s="368" t="s">
        <v>22</v>
      </c>
      <c r="E614" s="370" t="s">
        <v>27</v>
      </c>
      <c r="F614" s="16" t="s">
        <v>153</v>
      </c>
      <c r="G614" s="15"/>
    </row>
    <row r="615" spans="1:7" ht="15">
      <c r="A615" s="132"/>
      <c r="B615" s="304"/>
      <c r="C615" s="368"/>
      <c r="E615" s="370"/>
      <c r="F615" s="15"/>
      <c r="G615" s="15"/>
    </row>
    <row r="616" spans="1:7" ht="15.75">
      <c r="A616" s="131"/>
      <c r="B616" s="304"/>
      <c r="C616" s="304"/>
      <c r="D616" s="368"/>
      <c r="E616" s="304"/>
      <c r="F616" s="15"/>
      <c r="G616" s="15"/>
    </row>
    <row r="617" spans="1:7" ht="15.75">
      <c r="A617" s="54" t="s">
        <v>32</v>
      </c>
      <c r="B617" s="304"/>
      <c r="C617" s="304"/>
      <c r="D617" s="368"/>
      <c r="E617" s="304"/>
      <c r="F617" s="15"/>
      <c r="G617" s="15"/>
    </row>
    <row r="618" spans="2:7" ht="15">
      <c r="B618" s="304"/>
      <c r="C618" s="304"/>
      <c r="D618" s="368"/>
      <c r="E618" s="304"/>
      <c r="F618" s="15"/>
      <c r="G618" s="15"/>
    </row>
    <row r="619" spans="1:7" ht="15">
      <c r="A619" s="132"/>
      <c r="B619" s="369"/>
      <c r="C619" s="368" t="s">
        <v>21</v>
      </c>
      <c r="E619" s="370" t="s">
        <v>23</v>
      </c>
      <c r="F619" s="25" t="s">
        <v>153</v>
      </c>
      <c r="G619" s="15"/>
    </row>
    <row r="620" spans="1:7" ht="15">
      <c r="A620" s="132"/>
      <c r="B620" s="304"/>
      <c r="C620" s="368" t="s">
        <v>22</v>
      </c>
      <c r="E620" s="370" t="s">
        <v>27</v>
      </c>
      <c r="F620" s="16" t="s">
        <v>153</v>
      </c>
      <c r="G620" s="15"/>
    </row>
    <row r="621" spans="1:7" ht="15">
      <c r="A621" s="132"/>
      <c r="B621" s="369"/>
      <c r="C621" s="304"/>
      <c r="E621" s="370"/>
      <c r="F621" s="15"/>
      <c r="G621" s="15"/>
    </row>
    <row r="622" spans="1:7" ht="15">
      <c r="A622" s="132"/>
      <c r="B622" s="369"/>
      <c r="C622" s="304"/>
      <c r="E622" s="370"/>
      <c r="F622" s="15"/>
      <c r="G622" s="15"/>
    </row>
    <row r="623" spans="1:7" ht="15">
      <c r="A623" s="132"/>
      <c r="B623" s="369"/>
      <c r="C623" s="304"/>
      <c r="E623" s="370"/>
      <c r="F623" s="15"/>
      <c r="G623" s="15"/>
    </row>
    <row r="624" spans="1:8" ht="15.75">
      <c r="A624" s="561" t="s">
        <v>173</v>
      </c>
      <c r="B624" s="561"/>
      <c r="C624" s="561"/>
      <c r="D624" s="561"/>
      <c r="E624" s="561"/>
      <c r="F624" s="561"/>
      <c r="G624" s="561"/>
      <c r="H624" s="561"/>
    </row>
    <row r="625" spans="1:8" ht="14.25">
      <c r="A625" s="562" t="s">
        <v>174</v>
      </c>
      <c r="B625" s="562"/>
      <c r="C625" s="562"/>
      <c r="D625" s="562"/>
      <c r="E625" s="562"/>
      <c r="F625" s="562"/>
      <c r="G625" s="562"/>
      <c r="H625" s="562"/>
    </row>
    <row r="626" spans="1:8" ht="14.25">
      <c r="A626" s="372"/>
      <c r="B626" s="372"/>
      <c r="C626" s="372"/>
      <c r="D626" s="563" t="s">
        <v>249</v>
      </c>
      <c r="E626" s="563"/>
      <c r="F626" s="372"/>
      <c r="G626" s="372"/>
      <c r="H626" s="372"/>
    </row>
    <row r="627" spans="1:5" ht="15.75">
      <c r="A627" s="36"/>
      <c r="D627" s="132"/>
      <c r="E627" s="36"/>
    </row>
    <row r="628" spans="1:5" ht="15.75">
      <c r="A628" s="387" t="s">
        <v>144</v>
      </c>
      <c r="D628" s="132"/>
      <c r="E628" s="36"/>
    </row>
    <row r="629" spans="1:5" ht="15.75">
      <c r="A629" s="47"/>
      <c r="B629" s="132"/>
      <c r="C629" s="132"/>
      <c r="D629" s="132"/>
      <c r="E629" s="132"/>
    </row>
    <row r="630" spans="1:5" ht="15.75">
      <c r="A630" s="47"/>
      <c r="B630" s="132"/>
      <c r="C630" s="132"/>
      <c r="D630" s="132"/>
      <c r="E630" s="132"/>
    </row>
    <row r="631" spans="1:5" ht="15.75">
      <c r="A631" s="47"/>
      <c r="B631" s="132"/>
      <c r="C631" s="132"/>
      <c r="D631" s="132"/>
      <c r="E631" s="132"/>
    </row>
    <row r="632" spans="1:7" ht="15.75">
      <c r="A632" s="54" t="s">
        <v>0</v>
      </c>
      <c r="B632" s="366"/>
      <c r="C632" s="367"/>
      <c r="D632" s="131"/>
      <c r="E632" s="304"/>
      <c r="G632" s="15"/>
    </row>
    <row r="633" spans="1:7" ht="15">
      <c r="A633" s="132"/>
      <c r="B633" s="304"/>
      <c r="C633" s="304"/>
      <c r="D633" s="368"/>
      <c r="E633" s="304"/>
      <c r="F633" s="15"/>
      <c r="G633" s="15"/>
    </row>
    <row r="634" spans="1:8" ht="15">
      <c r="A634" s="132"/>
      <c r="B634" s="369"/>
      <c r="C634" s="368" t="s">
        <v>21</v>
      </c>
      <c r="E634" s="370" t="s">
        <v>23</v>
      </c>
      <c r="F634" s="25">
        <f>+'9. 2005 Rate Sch. Reg. Assets'!D66</f>
        <v>10.723239435311964</v>
      </c>
      <c r="G634" s="299"/>
      <c r="H634" s="299"/>
    </row>
    <row r="635" spans="1:7" ht="15">
      <c r="A635" s="132"/>
      <c r="B635" s="304"/>
      <c r="C635" s="368" t="s">
        <v>22</v>
      </c>
      <c r="E635" s="370" t="s">
        <v>24</v>
      </c>
      <c r="F635" s="16">
        <f>+'9. 2005 Rate Sch. Reg. Assets'!D64</f>
        <v>0.012513444822933938</v>
      </c>
      <c r="G635" s="15"/>
    </row>
    <row r="636" spans="1:8" ht="15">
      <c r="A636" s="132"/>
      <c r="B636" s="369"/>
      <c r="C636" s="368"/>
      <c r="E636" s="370"/>
      <c r="F636" s="15"/>
      <c r="G636" s="279"/>
      <c r="H636" s="299"/>
    </row>
    <row r="637" spans="1:7" ht="15">
      <c r="A637" s="132"/>
      <c r="B637" s="304"/>
      <c r="C637" s="304"/>
      <c r="D637" s="304"/>
      <c r="E637" s="304"/>
      <c r="F637" s="15"/>
      <c r="G637" s="15"/>
    </row>
    <row r="638" spans="1:7" ht="15.75">
      <c r="A638" s="54" t="s">
        <v>25</v>
      </c>
      <c r="B638" s="366"/>
      <c r="C638" s="367"/>
      <c r="D638" s="304"/>
      <c r="E638" s="304"/>
      <c r="F638" s="15"/>
      <c r="G638" s="15"/>
    </row>
    <row r="639" spans="1:7" ht="15">
      <c r="A639" s="132"/>
      <c r="B639" s="304"/>
      <c r="C639" s="304"/>
      <c r="D639" s="304"/>
      <c r="E639" s="304"/>
      <c r="F639" s="15"/>
      <c r="G639" s="15"/>
    </row>
    <row r="640" spans="1:7" ht="15">
      <c r="A640" s="132"/>
      <c r="B640" s="369"/>
      <c r="C640" s="368" t="s">
        <v>21</v>
      </c>
      <c r="E640" s="370" t="s">
        <v>23</v>
      </c>
      <c r="F640" s="25" t="s">
        <v>153</v>
      </c>
      <c r="G640" s="15"/>
    </row>
    <row r="641" spans="1:7" ht="15">
      <c r="A641" s="132"/>
      <c r="B641" s="304"/>
      <c r="C641" s="368" t="s">
        <v>22</v>
      </c>
      <c r="E641" s="370" t="s">
        <v>24</v>
      </c>
      <c r="F641" s="16" t="s">
        <v>153</v>
      </c>
      <c r="G641" s="15"/>
    </row>
    <row r="642" spans="1:7" ht="15">
      <c r="A642" s="132"/>
      <c r="B642" s="369"/>
      <c r="C642" s="304"/>
      <c r="D642" s="304"/>
      <c r="E642" s="304"/>
      <c r="F642" s="15"/>
      <c r="G642" s="15"/>
    </row>
    <row r="643" spans="1:7" ht="15">
      <c r="A643" s="132"/>
      <c r="B643" s="304"/>
      <c r="C643" s="304"/>
      <c r="D643" s="368"/>
      <c r="E643" s="304"/>
      <c r="F643" s="15"/>
      <c r="G643" s="15"/>
    </row>
    <row r="644" spans="1:7" ht="15.75">
      <c r="A644" s="54" t="s">
        <v>3</v>
      </c>
      <c r="B644" s="366"/>
      <c r="C644" s="367"/>
      <c r="D644" s="368"/>
      <c r="E644" s="304"/>
      <c r="F644" s="15"/>
      <c r="G644" s="15"/>
    </row>
    <row r="645" spans="1:7" ht="15">
      <c r="A645" s="132"/>
      <c r="B645" s="304"/>
      <c r="C645" s="304"/>
      <c r="D645" s="368"/>
      <c r="E645" s="304"/>
      <c r="F645" s="15"/>
      <c r="G645" s="15"/>
    </row>
    <row r="646" spans="1:8" ht="15">
      <c r="A646" s="132"/>
      <c r="B646" s="369"/>
      <c r="C646" s="368" t="s">
        <v>21</v>
      </c>
      <c r="E646" s="370" t="s">
        <v>23</v>
      </c>
      <c r="F646" s="25">
        <f>+'9. 2005 Rate Sch. Reg. Assets'!D92</f>
        <v>32.23453397499679</v>
      </c>
      <c r="G646" s="300"/>
      <c r="H646" s="299"/>
    </row>
    <row r="647" spans="1:7" ht="15">
      <c r="A647" s="132"/>
      <c r="B647" s="304"/>
      <c r="C647" s="368" t="s">
        <v>22</v>
      </c>
      <c r="E647" s="370" t="s">
        <v>24</v>
      </c>
      <c r="F647" s="16">
        <f>+'9. 2005 Rate Sch. Reg. Assets'!D90</f>
        <v>0.009926053143928023</v>
      </c>
      <c r="G647" s="300"/>
    </row>
    <row r="648" spans="1:8" ht="15">
      <c r="A648" s="132"/>
      <c r="B648" s="369"/>
      <c r="C648" s="368"/>
      <c r="E648" s="370"/>
      <c r="F648" s="15"/>
      <c r="G648" s="300"/>
      <c r="H648" s="299"/>
    </row>
    <row r="649" spans="1:7" ht="15">
      <c r="A649" s="132"/>
      <c r="B649" s="304"/>
      <c r="C649" s="304"/>
      <c r="D649" s="368"/>
      <c r="E649" s="304"/>
      <c r="F649" s="15"/>
      <c r="G649" s="15"/>
    </row>
    <row r="650" spans="1:7" ht="15.75">
      <c r="A650" s="54" t="s">
        <v>26</v>
      </c>
      <c r="B650" s="366"/>
      <c r="C650" s="367"/>
      <c r="D650" s="368"/>
      <c r="E650" s="304"/>
      <c r="F650" s="15"/>
      <c r="G650" s="15"/>
    </row>
    <row r="651" spans="1:7" ht="15">
      <c r="A651" s="132"/>
      <c r="B651" s="304"/>
      <c r="C651" s="304"/>
      <c r="D651" s="368"/>
      <c r="E651" s="304"/>
      <c r="F651" s="15"/>
      <c r="G651" s="15"/>
    </row>
    <row r="652" spans="1:7" ht="15">
      <c r="A652" s="132"/>
      <c r="B652" s="369"/>
      <c r="C652" s="368" t="s">
        <v>21</v>
      </c>
      <c r="E652" s="370" t="s">
        <v>23</v>
      </c>
      <c r="F652" s="25">
        <f>+'9. 2005 Rate Sch. Reg. Assets'!D99</f>
        <v>133.85747626351818</v>
      </c>
      <c r="G652" s="15"/>
    </row>
    <row r="653" spans="1:7" ht="15">
      <c r="A653" s="132"/>
      <c r="B653" s="304"/>
      <c r="C653" s="368" t="s">
        <v>22</v>
      </c>
      <c r="E653" s="370" t="s">
        <v>27</v>
      </c>
      <c r="F653" s="16">
        <f>+'9. 2005 Rate Sch. Reg. Assets'!D97</f>
        <v>1.3814619766671221</v>
      </c>
      <c r="G653" s="15"/>
    </row>
    <row r="654" spans="1:7" ht="15">
      <c r="A654" s="132"/>
      <c r="B654" s="369"/>
      <c r="C654" s="368"/>
      <c r="E654" s="370"/>
      <c r="F654" s="15"/>
      <c r="G654" s="15"/>
    </row>
    <row r="655" spans="1:7" ht="15">
      <c r="A655" s="132"/>
      <c r="B655" s="304"/>
      <c r="C655" s="304"/>
      <c r="D655" s="368"/>
      <c r="E655" s="304"/>
      <c r="F655" s="15"/>
      <c r="G655" s="15"/>
    </row>
    <row r="656" spans="1:7" ht="15.75">
      <c r="A656" s="54" t="s">
        <v>28</v>
      </c>
      <c r="B656" s="304"/>
      <c r="C656" s="304"/>
      <c r="D656" s="368"/>
      <c r="E656" s="304"/>
      <c r="F656" s="15"/>
      <c r="G656" s="15"/>
    </row>
    <row r="657" spans="2:7" ht="15">
      <c r="B657" s="366"/>
      <c r="C657" s="367"/>
      <c r="D657" s="368"/>
      <c r="E657" s="304"/>
      <c r="F657" s="15"/>
      <c r="G657" s="15"/>
    </row>
    <row r="658" spans="1:7" ht="15.75">
      <c r="A658" s="131"/>
      <c r="B658" s="304"/>
      <c r="C658" s="368" t="s">
        <v>21</v>
      </c>
      <c r="E658" s="370" t="s">
        <v>23</v>
      </c>
      <c r="F658" s="25" t="s">
        <v>153</v>
      </c>
      <c r="G658" s="15"/>
    </row>
    <row r="659" spans="1:7" ht="15">
      <c r="A659" s="132"/>
      <c r="B659" s="369"/>
      <c r="C659" s="368" t="s">
        <v>22</v>
      </c>
      <c r="E659" s="370" t="s">
        <v>27</v>
      </c>
      <c r="F659" s="16" t="s">
        <v>153</v>
      </c>
      <c r="G659" s="15"/>
    </row>
    <row r="660" spans="1:7" ht="15">
      <c r="A660" s="132"/>
      <c r="B660" s="369"/>
      <c r="C660" s="368"/>
      <c r="E660" s="370"/>
      <c r="F660" s="15"/>
      <c r="G660" s="15"/>
    </row>
    <row r="661" spans="1:7" ht="15.75">
      <c r="A661" s="131"/>
      <c r="B661" s="370"/>
      <c r="C661" s="370"/>
      <c r="D661" s="370"/>
      <c r="E661" s="370"/>
      <c r="F661" s="16"/>
      <c r="G661" s="16"/>
    </row>
    <row r="662" spans="1:7" ht="15.75">
      <c r="A662" s="54" t="s">
        <v>199</v>
      </c>
      <c r="B662" s="370"/>
      <c r="C662" s="370"/>
      <c r="D662" s="370"/>
      <c r="E662" s="370"/>
      <c r="F662" s="16"/>
      <c r="G662" s="16"/>
    </row>
    <row r="663" spans="1:7" ht="15.75">
      <c r="A663" s="131"/>
      <c r="B663" s="370"/>
      <c r="C663" s="370"/>
      <c r="D663" s="370"/>
      <c r="E663" s="370"/>
      <c r="F663" s="25"/>
      <c r="G663" s="16"/>
    </row>
    <row r="664" spans="1:7" ht="15.75">
      <c r="A664" s="131"/>
      <c r="B664" s="304"/>
      <c r="C664" s="368" t="s">
        <v>21</v>
      </c>
      <c r="E664" s="370" t="s">
        <v>23</v>
      </c>
      <c r="F664" s="25" t="s">
        <v>153</v>
      </c>
      <c r="G664" s="15"/>
    </row>
    <row r="665" spans="2:7" ht="15">
      <c r="B665" s="304"/>
      <c r="C665" s="368" t="s">
        <v>22</v>
      </c>
      <c r="E665" s="370" t="s">
        <v>27</v>
      </c>
      <c r="F665" s="16" t="s">
        <v>153</v>
      </c>
      <c r="G665" s="15"/>
    </row>
    <row r="666" spans="1:7" ht="15">
      <c r="A666" s="132"/>
      <c r="B666" s="304"/>
      <c r="C666" s="368"/>
      <c r="E666" s="370"/>
      <c r="F666" s="15"/>
      <c r="G666" s="15"/>
    </row>
    <row r="667" spans="1:7" ht="15">
      <c r="A667" s="132"/>
      <c r="B667" s="304"/>
      <c r="C667" s="304"/>
      <c r="D667" s="368"/>
      <c r="E667" s="304"/>
      <c r="F667" s="15"/>
      <c r="G667" s="15"/>
    </row>
    <row r="668" spans="1:7" ht="15.75">
      <c r="A668" s="54" t="s">
        <v>1</v>
      </c>
      <c r="B668" s="304"/>
      <c r="C668" s="304"/>
      <c r="D668" s="368"/>
      <c r="E668" s="304"/>
      <c r="F668" s="15"/>
      <c r="G668" s="15"/>
    </row>
    <row r="669" spans="1:7" ht="15">
      <c r="A669" s="132"/>
      <c r="B669" s="304"/>
      <c r="C669" s="304"/>
      <c r="D669" s="368"/>
      <c r="E669" s="304"/>
      <c r="F669" s="15"/>
      <c r="G669" s="15"/>
    </row>
    <row r="670" spans="2:7" ht="15">
      <c r="B670" s="304"/>
      <c r="C670" s="368" t="s">
        <v>21</v>
      </c>
      <c r="E670" s="370" t="s">
        <v>23</v>
      </c>
      <c r="F670" s="25" t="s">
        <v>153</v>
      </c>
      <c r="G670" s="15"/>
    </row>
    <row r="671" spans="1:7" ht="15">
      <c r="A671" s="132"/>
      <c r="B671" s="304"/>
      <c r="C671" s="368" t="s">
        <v>22</v>
      </c>
      <c r="E671" s="370" t="s">
        <v>27</v>
      </c>
      <c r="F671" s="16" t="s">
        <v>153</v>
      </c>
      <c r="G671" s="15"/>
    </row>
    <row r="672" spans="1:7" ht="15">
      <c r="A672" s="132"/>
      <c r="B672" s="369"/>
      <c r="C672" s="368"/>
      <c r="E672" s="370"/>
      <c r="F672" s="15"/>
      <c r="G672" s="15"/>
    </row>
    <row r="673" spans="1:7" ht="15">
      <c r="A673" s="132"/>
      <c r="B673" s="304"/>
      <c r="C673" s="304"/>
      <c r="D673" s="371"/>
      <c r="E673" s="304"/>
      <c r="F673" s="15"/>
      <c r="G673" s="15"/>
    </row>
    <row r="674" spans="1:7" ht="15">
      <c r="A674" s="132"/>
      <c r="B674" s="304"/>
      <c r="C674" s="304"/>
      <c r="D674" s="368"/>
      <c r="E674" s="304"/>
      <c r="F674" s="15"/>
      <c r="G674" s="15"/>
    </row>
    <row r="675" spans="1:7" ht="15.75">
      <c r="A675" s="54" t="s">
        <v>29</v>
      </c>
      <c r="B675" s="369"/>
      <c r="C675" s="304"/>
      <c r="D675" s="368"/>
      <c r="E675" s="304"/>
      <c r="F675" s="15"/>
      <c r="G675" s="15"/>
    </row>
    <row r="676" spans="1:7" ht="15">
      <c r="A676" s="132"/>
      <c r="B676" s="304"/>
      <c r="C676" s="304"/>
      <c r="D676" s="368"/>
      <c r="E676" s="304"/>
      <c r="F676" s="15"/>
      <c r="G676" s="15"/>
    </row>
    <row r="677" spans="1:7" ht="15">
      <c r="A677" s="132"/>
      <c r="B677" s="369"/>
      <c r="C677" s="368" t="s">
        <v>21</v>
      </c>
      <c r="E677" s="370" t="s">
        <v>253</v>
      </c>
      <c r="F677" s="25">
        <f>+'9. 2005 Rate Sch. Reg. Assets'!D185</f>
        <v>3.6888194632301112</v>
      </c>
      <c r="G677" s="15"/>
    </row>
    <row r="678" spans="1:7" ht="15">
      <c r="A678" s="132"/>
      <c r="B678" s="304"/>
      <c r="C678" s="368" t="s">
        <v>22</v>
      </c>
      <c r="E678" s="370" t="s">
        <v>27</v>
      </c>
      <c r="F678" s="16">
        <f>+'9. 2005 Rate Sch. Reg. Assets'!D183</f>
        <v>2.7417572052146464</v>
      </c>
      <c r="G678" s="15"/>
    </row>
    <row r="679" spans="1:7" ht="15">
      <c r="A679" s="132"/>
      <c r="B679" s="304"/>
      <c r="C679" s="368"/>
      <c r="E679" s="370"/>
      <c r="F679" s="15"/>
      <c r="G679" s="15"/>
    </row>
    <row r="680" spans="1:7" ht="15.75">
      <c r="A680" s="131"/>
      <c r="B680" s="304"/>
      <c r="C680" s="304"/>
      <c r="D680" s="368"/>
      <c r="E680" s="304"/>
      <c r="F680" s="15"/>
      <c r="G680" s="15"/>
    </row>
    <row r="681" spans="1:7" ht="15.75">
      <c r="A681" s="54" t="s">
        <v>30</v>
      </c>
      <c r="B681" s="304"/>
      <c r="C681" s="304"/>
      <c r="D681" s="368"/>
      <c r="E681" s="304"/>
      <c r="F681" s="15"/>
      <c r="G681" s="15"/>
    </row>
    <row r="682" spans="2:7" ht="15">
      <c r="B682" s="304"/>
      <c r="C682" s="304"/>
      <c r="D682" s="368"/>
      <c r="E682" s="304"/>
      <c r="F682" s="15"/>
      <c r="G682" s="15"/>
    </row>
    <row r="683" spans="1:7" ht="15">
      <c r="A683" s="132"/>
      <c r="B683" s="369"/>
      <c r="C683" s="368" t="s">
        <v>21</v>
      </c>
      <c r="E683" s="370" t="s">
        <v>23</v>
      </c>
      <c r="F683" s="25" t="s">
        <v>153</v>
      </c>
      <c r="G683" s="15"/>
    </row>
    <row r="684" spans="1:7" ht="15">
      <c r="A684" s="132"/>
      <c r="B684" s="304"/>
      <c r="C684" s="368" t="s">
        <v>22</v>
      </c>
      <c r="E684" s="370" t="s">
        <v>27</v>
      </c>
      <c r="F684" s="16" t="s">
        <v>153</v>
      </c>
      <c r="G684" s="15"/>
    </row>
    <row r="685" spans="1:7" ht="15">
      <c r="A685" s="132"/>
      <c r="B685" s="369"/>
      <c r="C685" s="304"/>
      <c r="E685" s="370"/>
      <c r="F685" s="15"/>
      <c r="G685" s="15"/>
    </row>
    <row r="686" spans="1:7" ht="15">
      <c r="A686" s="132"/>
      <c r="B686" s="370"/>
      <c r="C686" s="370"/>
      <c r="D686" s="368"/>
      <c r="E686" s="304"/>
      <c r="F686" s="15"/>
      <c r="G686" s="15"/>
    </row>
    <row r="687" spans="1:7" ht="15.75">
      <c r="A687" s="54" t="s">
        <v>31</v>
      </c>
      <c r="B687" s="369"/>
      <c r="C687" s="304"/>
      <c r="D687" s="368"/>
      <c r="E687" s="304"/>
      <c r="F687" s="15"/>
      <c r="G687" s="15"/>
    </row>
    <row r="688" spans="1:7" ht="15">
      <c r="A688" s="132"/>
      <c r="B688" s="304"/>
      <c r="C688" s="304"/>
      <c r="D688" s="368"/>
      <c r="E688" s="304"/>
      <c r="F688" s="15"/>
      <c r="G688" s="15"/>
    </row>
    <row r="689" spans="1:7" ht="15">
      <c r="A689" s="132"/>
      <c r="B689" s="369"/>
      <c r="C689" s="368" t="s">
        <v>21</v>
      </c>
      <c r="E689" s="370" t="s">
        <v>23</v>
      </c>
      <c r="F689" s="25" t="s">
        <v>153</v>
      </c>
      <c r="G689" s="15"/>
    </row>
    <row r="690" spans="1:7" ht="15">
      <c r="A690" s="132"/>
      <c r="B690" s="304"/>
      <c r="C690" s="368" t="s">
        <v>22</v>
      </c>
      <c r="E690" s="370" t="s">
        <v>27</v>
      </c>
      <c r="F690" s="16" t="s">
        <v>153</v>
      </c>
      <c r="G690" s="15"/>
    </row>
    <row r="691" spans="1:7" ht="15">
      <c r="A691" s="132"/>
      <c r="B691" s="304"/>
      <c r="C691" s="368"/>
      <c r="E691" s="370"/>
      <c r="F691" s="15"/>
      <c r="G691" s="15"/>
    </row>
    <row r="692" spans="1:7" ht="15.75">
      <c r="A692" s="131"/>
      <c r="B692" s="304"/>
      <c r="C692" s="304"/>
      <c r="D692" s="368"/>
      <c r="E692" s="304"/>
      <c r="F692" s="15"/>
      <c r="G692" s="15"/>
    </row>
    <row r="693" spans="1:7" ht="15.75">
      <c r="A693" s="54" t="s">
        <v>32</v>
      </c>
      <c r="B693" s="304"/>
      <c r="C693" s="304"/>
      <c r="D693" s="368"/>
      <c r="E693" s="304"/>
      <c r="F693" s="15"/>
      <c r="G693" s="15"/>
    </row>
    <row r="694" spans="2:7" ht="15">
      <c r="B694" s="304"/>
      <c r="C694" s="304"/>
      <c r="D694" s="368"/>
      <c r="E694" s="304"/>
      <c r="F694" s="15"/>
      <c r="G694" s="15"/>
    </row>
    <row r="695" spans="1:7" ht="15">
      <c r="A695" s="132"/>
      <c r="B695" s="369"/>
      <c r="C695" s="368" t="s">
        <v>21</v>
      </c>
      <c r="E695" s="370" t="s">
        <v>23</v>
      </c>
      <c r="F695" s="25" t="s">
        <v>153</v>
      </c>
      <c r="G695" s="15"/>
    </row>
    <row r="696" spans="1:7" ht="15">
      <c r="A696" s="132"/>
      <c r="B696" s="304"/>
      <c r="C696" s="368" t="s">
        <v>22</v>
      </c>
      <c r="E696" s="370" t="s">
        <v>27</v>
      </c>
      <c r="F696" s="16" t="s">
        <v>153</v>
      </c>
      <c r="G696" s="15"/>
    </row>
    <row r="697" spans="1:7" ht="15">
      <c r="A697" s="132"/>
      <c r="B697" s="369"/>
      <c r="C697" s="304"/>
      <c r="E697" s="370"/>
      <c r="F697" s="15"/>
      <c r="G697" s="15"/>
    </row>
    <row r="698" spans="1:7" ht="15.75">
      <c r="A698" s="131"/>
      <c r="B698" s="304"/>
      <c r="C698" s="304"/>
      <c r="D698" s="368"/>
      <c r="E698" s="304"/>
      <c r="F698" s="15"/>
      <c r="G698" s="15"/>
    </row>
    <row r="700" spans="1:8" ht="15.75">
      <c r="A700" s="561">
        <f>IF(ISBLANK('Info Sheet'!B701),"",'Info Sheet'!B701)</f>
      </c>
      <c r="B700" s="561"/>
      <c r="C700" s="561"/>
      <c r="D700" s="561"/>
      <c r="E700" s="561"/>
      <c r="F700" s="561"/>
      <c r="G700" s="561"/>
      <c r="H700" s="561"/>
    </row>
    <row r="701" spans="1:8" ht="15.75">
      <c r="A701" s="561">
        <f>IF(ISBLANK('Info Sheet'!B703),"",'Info Sheet'!B705&amp;"    "&amp;'Info Sheet'!B707)</f>
      </c>
      <c r="B701" s="561"/>
      <c r="C701" s="561"/>
      <c r="D701" s="561"/>
      <c r="E701" s="561"/>
      <c r="F701" s="561"/>
      <c r="G701" s="561"/>
      <c r="H701" s="561"/>
    </row>
    <row r="702" spans="1:8" ht="15.75">
      <c r="A702" s="561" t="s">
        <v>173</v>
      </c>
      <c r="B702" s="561"/>
      <c r="C702" s="561"/>
      <c r="D702" s="561"/>
      <c r="E702" s="561"/>
      <c r="F702" s="561"/>
      <c r="G702" s="561"/>
      <c r="H702" s="561"/>
    </row>
    <row r="703" spans="1:8" ht="14.25">
      <c r="A703" s="562" t="s">
        <v>174</v>
      </c>
      <c r="B703" s="562"/>
      <c r="C703" s="562"/>
      <c r="D703" s="562"/>
      <c r="E703" s="562"/>
      <c r="F703" s="562"/>
      <c r="G703" s="562"/>
      <c r="H703" s="562"/>
    </row>
    <row r="704" spans="1:8" ht="14.25">
      <c r="A704" s="372"/>
      <c r="B704" s="372"/>
      <c r="C704" s="372"/>
      <c r="D704" s="563" t="s">
        <v>251</v>
      </c>
      <c r="E704" s="563"/>
      <c r="F704" s="372"/>
      <c r="G704" s="372"/>
      <c r="H704" s="372"/>
    </row>
    <row r="705" spans="1:5" ht="15.75">
      <c r="A705" s="36"/>
      <c r="D705" s="132"/>
      <c r="E705" s="36"/>
    </row>
    <row r="706" spans="1:5" ht="15.75">
      <c r="A706" s="387" t="s">
        <v>144</v>
      </c>
      <c r="D706" s="132"/>
      <c r="E706" s="36"/>
    </row>
    <row r="707" spans="1:5" ht="15.75">
      <c r="A707" s="47"/>
      <c r="B707" s="132"/>
      <c r="C707" s="132"/>
      <c r="D707" s="132"/>
      <c r="E707" s="132"/>
    </row>
    <row r="708" spans="1:5" ht="15.75">
      <c r="A708" s="47"/>
      <c r="B708" s="132"/>
      <c r="C708" s="132"/>
      <c r="D708" s="132"/>
      <c r="E708" s="132"/>
    </row>
    <row r="709" spans="1:5" ht="15.75">
      <c r="A709" s="47"/>
      <c r="B709" s="132"/>
      <c r="C709" s="132"/>
      <c r="D709" s="132"/>
      <c r="E709" s="132"/>
    </row>
    <row r="710" spans="1:7" ht="15.75">
      <c r="A710" s="54" t="s">
        <v>0</v>
      </c>
      <c r="B710" s="366"/>
      <c r="C710" s="367"/>
      <c r="D710" s="131"/>
      <c r="E710" s="304"/>
      <c r="G710" s="15"/>
    </row>
    <row r="711" spans="1:7" ht="15">
      <c r="A711" s="132"/>
      <c r="B711" s="304"/>
      <c r="C711" s="304"/>
      <c r="D711" s="368"/>
      <c r="E711" s="304"/>
      <c r="F711" s="15"/>
      <c r="G711" s="15"/>
    </row>
    <row r="712" spans="1:8" ht="15">
      <c r="A712" s="132"/>
      <c r="B712" s="369"/>
      <c r="C712" s="368" t="s">
        <v>21</v>
      </c>
      <c r="E712" s="370" t="s">
        <v>23</v>
      </c>
      <c r="F712" s="25">
        <f>+'9. 2005 Rate Sch. Reg. Assets'!D72</f>
        <v>14.222490480733107</v>
      </c>
      <c r="G712" s="299"/>
      <c r="H712" s="299"/>
    </row>
    <row r="713" spans="1:7" ht="15">
      <c r="A713" s="132"/>
      <c r="B713" s="304"/>
      <c r="C713" s="368" t="s">
        <v>22</v>
      </c>
      <c r="E713" s="370" t="s">
        <v>24</v>
      </c>
      <c r="F713" s="16">
        <f>+'9. 2005 Rate Sch. Reg. Assets'!D70</f>
        <v>0.016895977714591216</v>
      </c>
      <c r="G713" s="15"/>
    </row>
    <row r="714" spans="1:8" ht="15">
      <c r="A714" s="132"/>
      <c r="B714" s="369"/>
      <c r="C714" s="368"/>
      <c r="E714" s="370"/>
      <c r="F714" s="15"/>
      <c r="G714" s="279"/>
      <c r="H714" s="299"/>
    </row>
    <row r="715" spans="1:7" ht="15">
      <c r="A715" s="132"/>
      <c r="B715" s="304"/>
      <c r="C715" s="304"/>
      <c r="D715" s="304"/>
      <c r="E715" s="304"/>
      <c r="F715" s="15"/>
      <c r="G715" s="15"/>
    </row>
    <row r="716" spans="1:7" ht="15.75">
      <c r="A716" s="54" t="s">
        <v>25</v>
      </c>
      <c r="B716" s="366"/>
      <c r="C716" s="367"/>
      <c r="D716" s="304"/>
      <c r="E716" s="304"/>
      <c r="F716" s="15"/>
      <c r="G716" s="15"/>
    </row>
    <row r="717" spans="1:7" ht="15">
      <c r="A717" s="132"/>
      <c r="B717" s="304"/>
      <c r="C717" s="304"/>
      <c r="D717" s="304"/>
      <c r="E717" s="304"/>
      <c r="F717" s="15"/>
      <c r="G717" s="15"/>
    </row>
    <row r="718" spans="1:7" ht="15">
      <c r="A718" s="132"/>
      <c r="B718" s="369"/>
      <c r="C718" s="368" t="s">
        <v>21</v>
      </c>
      <c r="E718" s="370" t="s">
        <v>23</v>
      </c>
      <c r="F718" s="25" t="s">
        <v>153</v>
      </c>
      <c r="G718" s="15"/>
    </row>
    <row r="719" spans="1:7" ht="15">
      <c r="A719" s="132"/>
      <c r="B719" s="304"/>
      <c r="C719" s="368" t="s">
        <v>22</v>
      </c>
      <c r="E719" s="370" t="s">
        <v>24</v>
      </c>
      <c r="F719" s="16" t="s">
        <v>153</v>
      </c>
      <c r="G719" s="15"/>
    </row>
    <row r="720" spans="1:7" ht="15">
      <c r="A720" s="132"/>
      <c r="B720" s="369"/>
      <c r="C720" s="304"/>
      <c r="D720" s="304"/>
      <c r="E720" s="304"/>
      <c r="F720" s="15"/>
      <c r="G720" s="15"/>
    </row>
    <row r="721" spans="1:7" ht="15">
      <c r="A721" s="132"/>
      <c r="B721" s="304"/>
      <c r="C721" s="304"/>
      <c r="D721" s="368"/>
      <c r="E721" s="304"/>
      <c r="F721" s="15"/>
      <c r="G721" s="15"/>
    </row>
    <row r="722" spans="1:7" ht="15.75">
      <c r="A722" s="54" t="s">
        <v>3</v>
      </c>
      <c r="B722" s="366"/>
      <c r="C722" s="367"/>
      <c r="D722" s="368"/>
      <c r="E722" s="304"/>
      <c r="F722" s="15"/>
      <c r="G722" s="15"/>
    </row>
    <row r="723" spans="1:7" ht="15">
      <c r="A723" s="132"/>
      <c r="B723" s="304"/>
      <c r="C723" s="304"/>
      <c r="D723" s="368"/>
      <c r="E723" s="304"/>
      <c r="F723" s="15"/>
      <c r="G723" s="15"/>
    </row>
    <row r="724" spans="1:8" ht="15">
      <c r="A724" s="132"/>
      <c r="B724" s="369"/>
      <c r="C724" s="368" t="s">
        <v>21</v>
      </c>
      <c r="E724" s="370" t="s">
        <v>23</v>
      </c>
      <c r="F724" s="25">
        <f>+'9. 2005 Rate Sch. Reg. Assets'!D92</f>
        <v>32.23453397499679</v>
      </c>
      <c r="G724" s="300"/>
      <c r="H724" s="299"/>
    </row>
    <row r="725" spans="1:7" ht="15">
      <c r="A725" s="132"/>
      <c r="B725" s="304"/>
      <c r="C725" s="368" t="s">
        <v>22</v>
      </c>
      <c r="E725" s="370" t="s">
        <v>24</v>
      </c>
      <c r="F725" s="16">
        <f>+'9. 2005 Rate Sch. Reg. Assets'!D90</f>
        <v>0.009926053143928023</v>
      </c>
      <c r="G725" s="300"/>
    </row>
    <row r="726" spans="1:8" ht="15">
      <c r="A726" s="132"/>
      <c r="B726" s="369"/>
      <c r="C726" s="368"/>
      <c r="E726" s="370"/>
      <c r="F726" s="15"/>
      <c r="G726" s="300"/>
      <c r="H726" s="299"/>
    </row>
    <row r="727" spans="1:7" ht="15">
      <c r="A727" s="132"/>
      <c r="B727" s="304"/>
      <c r="C727" s="304"/>
      <c r="D727" s="368"/>
      <c r="E727" s="304"/>
      <c r="F727" s="15"/>
      <c r="G727" s="15"/>
    </row>
    <row r="728" spans="1:7" ht="15.75">
      <c r="A728" s="54" t="s">
        <v>26</v>
      </c>
      <c r="B728" s="366"/>
      <c r="C728" s="367"/>
      <c r="D728" s="368"/>
      <c r="E728" s="304"/>
      <c r="F728" s="15"/>
      <c r="G728" s="15"/>
    </row>
    <row r="729" spans="1:7" ht="15">
      <c r="A729" s="132"/>
      <c r="B729" s="304"/>
      <c r="C729" s="304"/>
      <c r="D729" s="368"/>
      <c r="E729" s="304"/>
      <c r="F729" s="15"/>
      <c r="G729" s="15"/>
    </row>
    <row r="730" spans="1:7" ht="15">
      <c r="A730" s="132"/>
      <c r="B730" s="369"/>
      <c r="C730" s="368" t="s">
        <v>21</v>
      </c>
      <c r="E730" s="370" t="s">
        <v>23</v>
      </c>
      <c r="F730" s="25">
        <f>+'9. 2005 Rate Sch. Reg. Assets'!D99</f>
        <v>133.85747626351818</v>
      </c>
      <c r="G730" s="15"/>
    </row>
    <row r="731" spans="1:7" ht="15">
      <c r="A731" s="132"/>
      <c r="B731" s="304"/>
      <c r="C731" s="368" t="s">
        <v>22</v>
      </c>
      <c r="E731" s="370" t="s">
        <v>27</v>
      </c>
      <c r="F731" s="16">
        <f>+'9. 2005 Rate Sch. Reg. Assets'!D97</f>
        <v>1.3814619766671221</v>
      </c>
      <c r="G731" s="15"/>
    </row>
    <row r="732" spans="1:7" ht="15">
      <c r="A732" s="132"/>
      <c r="B732" s="369"/>
      <c r="C732" s="368"/>
      <c r="E732" s="370"/>
      <c r="F732" s="15"/>
      <c r="G732" s="15"/>
    </row>
    <row r="733" spans="1:7" ht="15">
      <c r="A733" s="132"/>
      <c r="B733" s="304"/>
      <c r="C733" s="304"/>
      <c r="D733" s="368"/>
      <c r="E733" s="304"/>
      <c r="F733" s="15"/>
      <c r="G733" s="15"/>
    </row>
    <row r="734" spans="1:7" ht="15.75">
      <c r="A734" s="54" t="s">
        <v>28</v>
      </c>
      <c r="B734" s="304"/>
      <c r="C734" s="304"/>
      <c r="D734" s="368"/>
      <c r="E734" s="304"/>
      <c r="F734" s="15"/>
      <c r="G734" s="15"/>
    </row>
    <row r="735" spans="2:7" ht="15">
      <c r="B735" s="366"/>
      <c r="C735" s="367"/>
      <c r="D735" s="368"/>
      <c r="E735" s="304"/>
      <c r="F735" s="15"/>
      <c r="G735" s="15"/>
    </row>
    <row r="736" spans="1:7" ht="15.75">
      <c r="A736" s="131"/>
      <c r="B736" s="304"/>
      <c r="C736" s="368" t="s">
        <v>21</v>
      </c>
      <c r="E736" s="370" t="s">
        <v>23</v>
      </c>
      <c r="F736" s="25" t="s">
        <v>153</v>
      </c>
      <c r="G736" s="15"/>
    </row>
    <row r="737" spans="1:7" ht="15">
      <c r="A737" s="132"/>
      <c r="B737" s="369"/>
      <c r="C737" s="368" t="s">
        <v>22</v>
      </c>
      <c r="E737" s="370" t="s">
        <v>27</v>
      </c>
      <c r="F737" s="16" t="s">
        <v>153</v>
      </c>
      <c r="G737" s="15"/>
    </row>
    <row r="738" spans="1:7" ht="15">
      <c r="A738" s="132"/>
      <c r="B738" s="369"/>
      <c r="C738" s="368"/>
      <c r="E738" s="370"/>
      <c r="F738" s="15"/>
      <c r="G738" s="15"/>
    </row>
    <row r="739" spans="1:7" ht="15.75">
      <c r="A739" s="131"/>
      <c r="B739" s="370"/>
      <c r="C739" s="370"/>
      <c r="D739" s="370"/>
      <c r="E739" s="370"/>
      <c r="F739" s="16"/>
      <c r="G739" s="16"/>
    </row>
    <row r="740" spans="1:7" ht="15.75">
      <c r="A740" s="54" t="s">
        <v>199</v>
      </c>
      <c r="B740" s="370"/>
      <c r="C740" s="370"/>
      <c r="D740" s="370"/>
      <c r="E740" s="370"/>
      <c r="F740" s="16"/>
      <c r="G740" s="16"/>
    </row>
    <row r="741" spans="1:7" ht="15.75">
      <c r="A741" s="131"/>
      <c r="B741" s="370"/>
      <c r="C741" s="370"/>
      <c r="D741" s="370"/>
      <c r="E741" s="370"/>
      <c r="F741" s="25"/>
      <c r="G741" s="16"/>
    </row>
    <row r="742" spans="1:7" ht="15.75">
      <c r="A742" s="131"/>
      <c r="B742" s="304"/>
      <c r="C742" s="368" t="s">
        <v>21</v>
      </c>
      <c r="E742" s="370" t="s">
        <v>23</v>
      </c>
      <c r="F742" s="25" t="s">
        <v>254</v>
      </c>
      <c r="G742" s="15"/>
    </row>
    <row r="743" spans="2:7" ht="15">
      <c r="B743" s="304"/>
      <c r="C743" s="368" t="s">
        <v>22</v>
      </c>
      <c r="E743" s="370" t="s">
        <v>27</v>
      </c>
      <c r="F743" s="16" t="s">
        <v>153</v>
      </c>
      <c r="G743" s="15"/>
    </row>
    <row r="744" spans="1:7" ht="15">
      <c r="A744" s="132"/>
      <c r="B744" s="304"/>
      <c r="C744" s="368"/>
      <c r="E744" s="370"/>
      <c r="F744" s="15"/>
      <c r="G744" s="15"/>
    </row>
    <row r="745" spans="1:7" ht="15">
      <c r="A745" s="132"/>
      <c r="B745" s="304"/>
      <c r="C745" s="304"/>
      <c r="D745" s="368"/>
      <c r="E745" s="304"/>
      <c r="F745" s="15"/>
      <c r="G745" s="15"/>
    </row>
    <row r="746" spans="1:7" ht="15.75">
      <c r="A746" s="54" t="s">
        <v>1</v>
      </c>
      <c r="B746" s="304"/>
      <c r="C746" s="304"/>
      <c r="D746" s="368"/>
      <c r="E746" s="304"/>
      <c r="F746" s="15"/>
      <c r="G746" s="15"/>
    </row>
    <row r="747" spans="1:7" ht="15">
      <c r="A747" s="132"/>
      <c r="B747" s="304"/>
      <c r="C747" s="304"/>
      <c r="D747" s="368"/>
      <c r="E747" s="304"/>
      <c r="F747" s="15"/>
      <c r="G747" s="15"/>
    </row>
    <row r="748" spans="2:7" ht="15">
      <c r="B748" s="304"/>
      <c r="C748" s="368" t="s">
        <v>21</v>
      </c>
      <c r="E748" s="370" t="s">
        <v>23</v>
      </c>
      <c r="F748" s="25">
        <f>+'9. 2005 Rate Sch. Reg. Assets'!D130</f>
        <v>12771.823754726202</v>
      </c>
      <c r="G748" s="15"/>
    </row>
    <row r="749" spans="1:7" ht="15">
      <c r="A749" s="132"/>
      <c r="B749" s="304"/>
      <c r="C749" s="368" t="s">
        <v>22</v>
      </c>
      <c r="E749" s="370" t="s">
        <v>27</v>
      </c>
      <c r="F749" s="16">
        <f>+'9. 2005 Rate Sch. Reg. Assets'!D128</f>
        <v>2.657332409957566</v>
      </c>
      <c r="G749" s="15"/>
    </row>
    <row r="750" spans="1:7" ht="15">
      <c r="A750" s="132"/>
      <c r="B750" s="369"/>
      <c r="C750" s="368"/>
      <c r="E750" s="370"/>
      <c r="F750" s="15"/>
      <c r="G750" s="15"/>
    </row>
    <row r="751" spans="1:7" ht="15">
      <c r="A751" s="132"/>
      <c r="B751" s="304"/>
      <c r="C751" s="304"/>
      <c r="D751" s="371"/>
      <c r="E751" s="304"/>
      <c r="F751" s="15"/>
      <c r="G751" s="15"/>
    </row>
    <row r="752" spans="1:7" ht="15">
      <c r="A752" s="132"/>
      <c r="B752" s="304"/>
      <c r="C752" s="304"/>
      <c r="D752" s="368"/>
      <c r="E752" s="304"/>
      <c r="F752" s="15"/>
      <c r="G752" s="15"/>
    </row>
    <row r="753" spans="1:7" ht="15.75">
      <c r="A753" s="54" t="s">
        <v>29</v>
      </c>
      <c r="B753" s="369"/>
      <c r="C753" s="304"/>
      <c r="D753" s="368"/>
      <c r="E753" s="304"/>
      <c r="F753" s="15"/>
      <c r="G753" s="15"/>
    </row>
    <row r="754" spans="1:7" ht="15">
      <c r="A754" s="132"/>
      <c r="B754" s="304"/>
      <c r="C754" s="304"/>
      <c r="D754" s="368"/>
      <c r="E754" s="304"/>
      <c r="F754" s="15"/>
      <c r="G754" s="15"/>
    </row>
    <row r="755" spans="1:7" ht="15">
      <c r="A755" s="132"/>
      <c r="B755" s="369"/>
      <c r="C755" s="368" t="s">
        <v>21</v>
      </c>
      <c r="E755" s="370" t="s">
        <v>23</v>
      </c>
      <c r="F755" s="25">
        <f>+'9. 2005 Rate Sch. Reg. Assets'!D191</f>
        <v>4.603533236187455</v>
      </c>
      <c r="G755" s="15"/>
    </row>
    <row r="756" spans="1:7" ht="15">
      <c r="A756" s="132"/>
      <c r="B756" s="304"/>
      <c r="C756" s="368" t="s">
        <v>22</v>
      </c>
      <c r="E756" s="370" t="s">
        <v>27</v>
      </c>
      <c r="F756" s="16">
        <f>+'9. 2005 Rate Sch. Reg. Assets'!D189</f>
        <v>3.406504547604172</v>
      </c>
      <c r="G756" s="15"/>
    </row>
    <row r="757" spans="1:7" ht="15">
      <c r="A757" s="132"/>
      <c r="B757" s="304"/>
      <c r="C757" s="368"/>
      <c r="E757" s="370"/>
      <c r="F757" s="15"/>
      <c r="G757" s="15"/>
    </row>
    <row r="758" spans="1:7" ht="15.75">
      <c r="A758" s="131"/>
      <c r="B758" s="304"/>
      <c r="C758" s="304"/>
      <c r="D758" s="368"/>
      <c r="E758" s="304"/>
      <c r="F758" s="15"/>
      <c r="G758" s="15"/>
    </row>
    <row r="759" spans="1:7" ht="15.75">
      <c r="A759" s="54" t="s">
        <v>30</v>
      </c>
      <c r="B759" s="304"/>
      <c r="C759" s="304"/>
      <c r="D759" s="368"/>
      <c r="E759" s="304"/>
      <c r="F759" s="15"/>
      <c r="G759" s="15"/>
    </row>
    <row r="760" spans="2:7" ht="15">
      <c r="B760" s="304"/>
      <c r="C760" s="304"/>
      <c r="D760" s="368"/>
      <c r="E760" s="304"/>
      <c r="F760" s="15"/>
      <c r="G760" s="15"/>
    </row>
    <row r="761" spans="1:7" ht="15">
      <c r="A761" s="132"/>
      <c r="B761" s="369"/>
      <c r="C761" s="368" t="s">
        <v>21</v>
      </c>
      <c r="E761" s="370" t="s">
        <v>23</v>
      </c>
      <c r="F761" s="25" t="s">
        <v>153</v>
      </c>
      <c r="G761" s="15"/>
    </row>
    <row r="762" spans="1:7" ht="15">
      <c r="A762" s="132"/>
      <c r="B762" s="304"/>
      <c r="C762" s="368" t="s">
        <v>22</v>
      </c>
      <c r="E762" s="370" t="s">
        <v>27</v>
      </c>
      <c r="F762" s="16" t="s">
        <v>153</v>
      </c>
      <c r="G762" s="15"/>
    </row>
    <row r="763" spans="1:7" ht="15">
      <c r="A763" s="132"/>
      <c r="B763" s="369"/>
      <c r="C763" s="304"/>
      <c r="E763" s="370"/>
      <c r="F763" s="15" t="s">
        <v>153</v>
      </c>
      <c r="G763" s="15"/>
    </row>
    <row r="764" spans="1:7" ht="15">
      <c r="A764" s="132"/>
      <c r="B764" s="370"/>
      <c r="C764" s="370"/>
      <c r="D764" s="368"/>
      <c r="E764" s="304"/>
      <c r="F764" s="15"/>
      <c r="G764" s="15"/>
    </row>
    <row r="765" spans="1:7" ht="15.75">
      <c r="A765" s="54" t="s">
        <v>31</v>
      </c>
      <c r="B765" s="369"/>
      <c r="C765" s="304"/>
      <c r="D765" s="368"/>
      <c r="E765" s="304"/>
      <c r="F765" s="15"/>
      <c r="G765" s="15"/>
    </row>
    <row r="766" spans="1:7" ht="15">
      <c r="A766" s="132"/>
      <c r="B766" s="304"/>
      <c r="C766" s="304"/>
      <c r="D766" s="368"/>
      <c r="E766" s="304"/>
      <c r="F766" s="15"/>
      <c r="G766" s="15"/>
    </row>
    <row r="767" spans="1:7" ht="15">
      <c r="A767" s="132"/>
      <c r="B767" s="369"/>
      <c r="C767" s="368" t="s">
        <v>21</v>
      </c>
      <c r="E767" s="370" t="s">
        <v>23</v>
      </c>
      <c r="F767" s="25" t="s">
        <v>153</v>
      </c>
      <c r="G767" s="15"/>
    </row>
    <row r="768" spans="1:7" ht="15">
      <c r="A768" s="132"/>
      <c r="B768" s="304"/>
      <c r="C768" s="368" t="s">
        <v>22</v>
      </c>
      <c r="E768" s="370" t="s">
        <v>27</v>
      </c>
      <c r="F768" s="16" t="s">
        <v>153</v>
      </c>
      <c r="G768" s="15"/>
    </row>
    <row r="769" spans="1:7" ht="15">
      <c r="A769" s="132"/>
      <c r="B769" s="304"/>
      <c r="C769" s="368"/>
      <c r="E769" s="370"/>
      <c r="F769" s="15"/>
      <c r="G769" s="15"/>
    </row>
    <row r="770" spans="1:7" ht="15.75">
      <c r="A770" s="131"/>
      <c r="B770" s="304"/>
      <c r="C770" s="304"/>
      <c r="D770" s="368"/>
      <c r="E770" s="304"/>
      <c r="F770" s="15"/>
      <c r="G770" s="15"/>
    </row>
    <row r="771" spans="1:7" ht="15.75">
      <c r="A771" s="54" t="s">
        <v>32</v>
      </c>
      <c r="B771" s="304"/>
      <c r="C771" s="304"/>
      <c r="D771" s="368"/>
      <c r="E771" s="304"/>
      <c r="F771" s="15"/>
      <c r="G771" s="15"/>
    </row>
    <row r="772" spans="2:7" ht="15">
      <c r="B772" s="304"/>
      <c r="C772" s="304"/>
      <c r="D772" s="368"/>
      <c r="E772" s="304"/>
      <c r="F772" s="15"/>
      <c r="G772" s="15"/>
    </row>
    <row r="773" spans="1:7" ht="15">
      <c r="A773" s="132"/>
      <c r="B773" s="369"/>
      <c r="C773" s="368" t="s">
        <v>21</v>
      </c>
      <c r="E773" s="370" t="s">
        <v>23</v>
      </c>
      <c r="F773" s="25" t="s">
        <v>153</v>
      </c>
      <c r="G773" s="15"/>
    </row>
    <row r="774" spans="1:7" ht="15">
      <c r="A774" s="132"/>
      <c r="B774" s="304"/>
      <c r="C774" s="368" t="s">
        <v>22</v>
      </c>
      <c r="E774" s="370" t="s">
        <v>27</v>
      </c>
      <c r="F774" s="16" t="s">
        <v>153</v>
      </c>
      <c r="G774" s="15"/>
    </row>
    <row r="775" spans="1:7" ht="15">
      <c r="A775" s="132"/>
      <c r="B775" s="369"/>
      <c r="C775" s="304"/>
      <c r="E775" s="370"/>
      <c r="F775" s="15"/>
      <c r="G775" s="15"/>
    </row>
    <row r="776" spans="1:7" ht="15.75">
      <c r="A776" s="131"/>
      <c r="B776" s="304"/>
      <c r="C776" s="304"/>
      <c r="D776" s="368"/>
      <c r="E776" s="304"/>
      <c r="F776" s="15"/>
      <c r="G776" s="15"/>
    </row>
    <row r="777" spans="1:7" ht="15">
      <c r="A777" s="132"/>
      <c r="B777" s="304"/>
      <c r="C777" s="304"/>
      <c r="D777" s="368"/>
      <c r="E777" s="304"/>
      <c r="F777" s="15"/>
      <c r="G777" s="15"/>
    </row>
    <row r="778" spans="1:8" ht="15.75">
      <c r="A778" s="561">
        <f>IF(ISBLANK('Info Sheet'!B779),"",'Info Sheet'!B779)</f>
      </c>
      <c r="B778" s="561"/>
      <c r="C778" s="561"/>
      <c r="D778" s="561"/>
      <c r="E778" s="561"/>
      <c r="F778" s="561"/>
      <c r="G778" s="561"/>
      <c r="H778" s="561"/>
    </row>
    <row r="779" spans="1:8" ht="15.75">
      <c r="A779" s="561">
        <f>IF(ISBLANK('Info Sheet'!B781),"",'Info Sheet'!B783&amp;"    "&amp;'Info Sheet'!B785)</f>
      </c>
      <c r="B779" s="561"/>
      <c r="C779" s="561"/>
      <c r="D779" s="561"/>
      <c r="E779" s="561"/>
      <c r="F779" s="561"/>
      <c r="G779" s="561"/>
      <c r="H779" s="561"/>
    </row>
    <row r="780" spans="1:8" ht="15.75">
      <c r="A780" s="561" t="s">
        <v>173</v>
      </c>
      <c r="B780" s="561"/>
      <c r="C780" s="561"/>
      <c r="D780" s="561"/>
      <c r="E780" s="561"/>
      <c r="F780" s="561"/>
      <c r="G780" s="561"/>
      <c r="H780" s="561"/>
    </row>
    <row r="781" spans="1:8" ht="14.25">
      <c r="A781" s="562" t="s">
        <v>174</v>
      </c>
      <c r="B781" s="562"/>
      <c r="C781" s="562"/>
      <c r="D781" s="562"/>
      <c r="E781" s="562"/>
      <c r="F781" s="562"/>
      <c r="G781" s="562"/>
      <c r="H781" s="562"/>
    </row>
    <row r="782" spans="1:8" ht="14.25">
      <c r="A782" s="372"/>
      <c r="B782" s="372"/>
      <c r="C782" s="372"/>
      <c r="D782" s="563" t="s">
        <v>252</v>
      </c>
      <c r="E782" s="563"/>
      <c r="F782" s="372"/>
      <c r="G782" s="372"/>
      <c r="H782" s="372"/>
    </row>
    <row r="783" spans="1:5" ht="15.75">
      <c r="A783" s="36"/>
      <c r="D783" s="132"/>
      <c r="E783" s="36"/>
    </row>
    <row r="784" spans="1:5" ht="15.75">
      <c r="A784" s="387" t="s">
        <v>144</v>
      </c>
      <c r="D784" s="132"/>
      <c r="E784" s="36"/>
    </row>
    <row r="785" spans="1:5" ht="15.75">
      <c r="A785" s="47"/>
      <c r="B785" s="132"/>
      <c r="C785" s="132"/>
      <c r="D785" s="132"/>
      <c r="E785" s="132"/>
    </row>
    <row r="786" spans="1:5" ht="15.75">
      <c r="A786" s="47"/>
      <c r="B786" s="132"/>
      <c r="C786" s="132"/>
      <c r="D786" s="132"/>
      <c r="E786" s="132"/>
    </row>
    <row r="787" spans="1:5" ht="15.75">
      <c r="A787" s="47"/>
      <c r="B787" s="132"/>
      <c r="C787" s="132"/>
      <c r="D787" s="132"/>
      <c r="E787" s="132"/>
    </row>
    <row r="788" spans="1:7" ht="15.75">
      <c r="A788" s="54" t="s">
        <v>0</v>
      </c>
      <c r="B788" s="366"/>
      <c r="C788" s="367"/>
      <c r="D788" s="131"/>
      <c r="E788" s="304"/>
      <c r="G788" s="15"/>
    </row>
    <row r="789" spans="1:7" ht="15">
      <c r="A789" s="132"/>
      <c r="B789" s="304"/>
      <c r="C789" s="304"/>
      <c r="D789" s="368"/>
      <c r="E789" s="304"/>
      <c r="F789" s="15"/>
      <c r="G789" s="15"/>
    </row>
    <row r="790" spans="1:8" ht="15">
      <c r="A790" s="132"/>
      <c r="B790" s="369"/>
      <c r="C790" s="368" t="s">
        <v>21</v>
      </c>
      <c r="E790" s="370" t="s">
        <v>23</v>
      </c>
      <c r="F790" s="25">
        <f>+'9. 2005 Rate Sch. Reg. Assets'!D78</f>
        <v>10.102733291558184</v>
      </c>
      <c r="G790" s="299"/>
      <c r="H790" s="299"/>
    </row>
    <row r="791" spans="1:7" ht="15">
      <c r="A791" s="132"/>
      <c r="B791" s="304"/>
      <c r="C791" s="368" t="s">
        <v>22</v>
      </c>
      <c r="E791" s="370" t="s">
        <v>24</v>
      </c>
      <c r="F791" s="16">
        <f>+'9. 2005 Rate Sch. Reg. Assets'!D76</f>
        <v>0.0112178452172141</v>
      </c>
      <c r="G791" s="15"/>
    </row>
    <row r="792" spans="1:8" ht="15">
      <c r="A792" s="132"/>
      <c r="B792" s="369"/>
      <c r="C792" s="368"/>
      <c r="E792" s="370"/>
      <c r="F792" s="15"/>
      <c r="G792" s="279"/>
      <c r="H792" s="299"/>
    </row>
    <row r="793" spans="1:7" ht="15">
      <c r="A793" s="132"/>
      <c r="B793" s="304"/>
      <c r="C793" s="304"/>
      <c r="D793" s="304"/>
      <c r="E793" s="304"/>
      <c r="F793" s="15"/>
      <c r="G793" s="15"/>
    </row>
    <row r="794" spans="1:7" ht="15.75">
      <c r="A794" s="54" t="s">
        <v>25</v>
      </c>
      <c r="B794" s="366"/>
      <c r="C794" s="367"/>
      <c r="D794" s="304"/>
      <c r="E794" s="304"/>
      <c r="F794" s="15"/>
      <c r="G794" s="15"/>
    </row>
    <row r="795" spans="1:7" ht="15">
      <c r="A795" s="132"/>
      <c r="B795" s="304"/>
      <c r="C795" s="304"/>
      <c r="D795" s="304"/>
      <c r="E795" s="304"/>
      <c r="F795" s="15"/>
      <c r="G795" s="15"/>
    </row>
    <row r="796" spans="1:7" ht="15">
      <c r="A796" s="132"/>
      <c r="B796" s="369"/>
      <c r="C796" s="368" t="s">
        <v>21</v>
      </c>
      <c r="E796" s="370" t="s">
        <v>23</v>
      </c>
      <c r="F796" s="25" t="s">
        <v>153</v>
      </c>
      <c r="G796" s="15"/>
    </row>
    <row r="797" spans="1:7" ht="15">
      <c r="A797" s="132"/>
      <c r="B797" s="304"/>
      <c r="C797" s="368" t="s">
        <v>22</v>
      </c>
      <c r="E797" s="370" t="s">
        <v>24</v>
      </c>
      <c r="F797" s="16" t="s">
        <v>153</v>
      </c>
      <c r="G797" s="15"/>
    </row>
    <row r="798" spans="1:7" ht="15">
      <c r="A798" s="132"/>
      <c r="B798" s="369"/>
      <c r="C798" s="304"/>
      <c r="D798" s="304"/>
      <c r="E798" s="304"/>
      <c r="F798" s="15"/>
      <c r="G798" s="15"/>
    </row>
    <row r="799" spans="1:7" ht="15">
      <c r="A799" s="132"/>
      <c r="B799" s="304"/>
      <c r="C799" s="304"/>
      <c r="D799" s="368"/>
      <c r="E799" s="304"/>
      <c r="F799" s="15"/>
      <c r="G799" s="15"/>
    </row>
    <row r="800" spans="1:7" ht="15.75">
      <c r="A800" s="54" t="s">
        <v>3</v>
      </c>
      <c r="B800" s="366"/>
      <c r="C800" s="367"/>
      <c r="D800" s="368"/>
      <c r="E800" s="304"/>
      <c r="F800" s="15"/>
      <c r="G800" s="15"/>
    </row>
    <row r="801" spans="1:7" ht="15">
      <c r="A801" s="132"/>
      <c r="B801" s="304"/>
      <c r="C801" s="304"/>
      <c r="D801" s="368"/>
      <c r="E801" s="304"/>
      <c r="F801" s="15"/>
      <c r="G801" s="15"/>
    </row>
    <row r="802" spans="1:8" ht="15">
      <c r="A802" s="132"/>
      <c r="B802" s="369"/>
      <c r="C802" s="368" t="s">
        <v>21</v>
      </c>
      <c r="E802" s="370" t="s">
        <v>23</v>
      </c>
      <c r="F802" s="25">
        <f>+'9. 2005 Rate Sch. Reg. Assets'!D92</f>
        <v>32.23453397499679</v>
      </c>
      <c r="G802" s="300"/>
      <c r="H802" s="299"/>
    </row>
    <row r="803" spans="1:7" ht="15">
      <c r="A803" s="132"/>
      <c r="B803" s="304"/>
      <c r="C803" s="368" t="s">
        <v>22</v>
      </c>
      <c r="E803" s="370" t="s">
        <v>24</v>
      </c>
      <c r="F803" s="16">
        <f>+'9. 2005 Rate Sch. Reg. Assets'!D90</f>
        <v>0.009926053143928023</v>
      </c>
      <c r="G803" s="300"/>
    </row>
    <row r="804" spans="1:8" ht="15">
      <c r="A804" s="132"/>
      <c r="B804" s="369"/>
      <c r="C804" s="368"/>
      <c r="E804" s="370"/>
      <c r="F804" s="15"/>
      <c r="G804" s="300"/>
      <c r="H804" s="299"/>
    </row>
    <row r="805" spans="1:7" ht="15">
      <c r="A805" s="132"/>
      <c r="B805" s="304"/>
      <c r="C805" s="304"/>
      <c r="D805" s="368"/>
      <c r="E805" s="304"/>
      <c r="F805" s="15"/>
      <c r="G805" s="15"/>
    </row>
    <row r="806" spans="1:7" ht="15.75">
      <c r="A806" s="54" t="s">
        <v>26</v>
      </c>
      <c r="B806" s="366"/>
      <c r="C806" s="367"/>
      <c r="D806" s="368"/>
      <c r="E806" s="304"/>
      <c r="F806" s="15"/>
      <c r="G806" s="15"/>
    </row>
    <row r="807" spans="1:7" ht="15">
      <c r="A807" s="132"/>
      <c r="B807" s="304"/>
      <c r="C807" s="304"/>
      <c r="D807" s="368"/>
      <c r="E807" s="304"/>
      <c r="F807" s="15"/>
      <c r="G807" s="15"/>
    </row>
    <row r="808" spans="1:7" ht="15">
      <c r="A808" s="132"/>
      <c r="B808" s="369"/>
      <c r="C808" s="368" t="s">
        <v>21</v>
      </c>
      <c r="E808" s="370" t="s">
        <v>23</v>
      </c>
      <c r="F808" s="25">
        <f>+'9. 2005 Rate Sch. Reg. Assets'!D99</f>
        <v>133.85747626351818</v>
      </c>
      <c r="G808" s="15"/>
    </row>
    <row r="809" spans="1:7" ht="15">
      <c r="A809" s="132"/>
      <c r="B809" s="304"/>
      <c r="C809" s="368" t="s">
        <v>22</v>
      </c>
      <c r="E809" s="370" t="s">
        <v>27</v>
      </c>
      <c r="F809" s="16">
        <f>+'9. 2005 Rate Sch. Reg. Assets'!D97</f>
        <v>1.3814619766671221</v>
      </c>
      <c r="G809" s="15"/>
    </row>
    <row r="810" spans="1:7" ht="15">
      <c r="A810" s="132"/>
      <c r="B810" s="369"/>
      <c r="C810" s="368"/>
      <c r="E810" s="370"/>
      <c r="F810" s="15"/>
      <c r="G810" s="15"/>
    </row>
    <row r="811" spans="1:7" ht="15">
      <c r="A811" s="132"/>
      <c r="B811" s="304"/>
      <c r="C811" s="304"/>
      <c r="D811" s="368"/>
      <c r="E811" s="304"/>
      <c r="F811" s="15"/>
      <c r="G811" s="15"/>
    </row>
    <row r="812" spans="1:7" ht="15.75">
      <c r="A812" s="54" t="s">
        <v>28</v>
      </c>
      <c r="B812" s="304"/>
      <c r="C812" s="304"/>
      <c r="D812" s="368"/>
      <c r="E812" s="304"/>
      <c r="F812" s="15"/>
      <c r="G812" s="15"/>
    </row>
    <row r="813" spans="2:7" ht="15">
      <c r="B813" s="366"/>
      <c r="C813" s="367"/>
      <c r="D813" s="368"/>
      <c r="E813" s="304"/>
      <c r="F813" s="15"/>
      <c r="G813" s="15"/>
    </row>
    <row r="814" spans="1:7" ht="15.75">
      <c r="A814" s="131"/>
      <c r="B814" s="304"/>
      <c r="C814" s="368" t="s">
        <v>21</v>
      </c>
      <c r="E814" s="370" t="s">
        <v>23</v>
      </c>
      <c r="F814" s="25" t="s">
        <v>153</v>
      </c>
      <c r="G814" s="15"/>
    </row>
    <row r="815" spans="1:7" ht="15">
      <c r="A815" s="132"/>
      <c r="B815" s="369"/>
      <c r="C815" s="368" t="s">
        <v>22</v>
      </c>
      <c r="E815" s="370" t="s">
        <v>27</v>
      </c>
      <c r="F815" s="16" t="s">
        <v>153</v>
      </c>
      <c r="G815" s="15"/>
    </row>
    <row r="816" spans="1:7" ht="15">
      <c r="A816" s="132"/>
      <c r="B816" s="369"/>
      <c r="C816" s="368"/>
      <c r="E816" s="370"/>
      <c r="F816" s="15"/>
      <c r="G816" s="15"/>
    </row>
    <row r="817" spans="1:7" ht="15.75">
      <c r="A817" s="131"/>
      <c r="B817" s="370"/>
      <c r="C817" s="370"/>
      <c r="D817" s="370"/>
      <c r="E817" s="370"/>
      <c r="F817" s="16"/>
      <c r="G817" s="16"/>
    </row>
    <row r="818" spans="1:7" ht="15.75">
      <c r="A818" s="54" t="s">
        <v>199</v>
      </c>
      <c r="B818" s="370"/>
      <c r="C818" s="370"/>
      <c r="D818" s="370"/>
      <c r="E818" s="370"/>
      <c r="F818" s="16"/>
      <c r="G818" s="16"/>
    </row>
    <row r="819" spans="1:7" ht="15.75">
      <c r="A819" s="131"/>
      <c r="B819" s="370"/>
      <c r="C819" s="370"/>
      <c r="D819" s="370"/>
      <c r="E819" s="370"/>
      <c r="F819" s="25"/>
      <c r="G819" s="16"/>
    </row>
    <row r="820" spans="1:7" ht="15.75">
      <c r="A820" s="131"/>
      <c r="B820" s="304"/>
      <c r="C820" s="368" t="s">
        <v>21</v>
      </c>
      <c r="E820" s="370" t="s">
        <v>23</v>
      </c>
      <c r="F820" s="25" t="s">
        <v>153</v>
      </c>
      <c r="G820" s="15"/>
    </row>
    <row r="821" spans="2:7" ht="15">
      <c r="B821" s="304"/>
      <c r="C821" s="368" t="s">
        <v>22</v>
      </c>
      <c r="E821" s="370" t="s">
        <v>27</v>
      </c>
      <c r="F821" s="16" t="s">
        <v>153</v>
      </c>
      <c r="G821" s="15"/>
    </row>
    <row r="822" spans="1:7" ht="15">
      <c r="A822" s="132"/>
      <c r="B822" s="304"/>
      <c r="C822" s="368"/>
      <c r="E822" s="370"/>
      <c r="F822" s="15"/>
      <c r="G822" s="15"/>
    </row>
    <row r="823" spans="1:7" ht="15">
      <c r="A823" s="132"/>
      <c r="B823" s="304"/>
      <c r="C823" s="304"/>
      <c r="D823" s="368"/>
      <c r="E823" s="304"/>
      <c r="F823" s="15"/>
      <c r="G823" s="15"/>
    </row>
    <row r="824" spans="1:7" ht="15.75">
      <c r="A824" s="54" t="s">
        <v>1</v>
      </c>
      <c r="B824" s="304"/>
      <c r="C824" s="304"/>
      <c r="D824" s="368"/>
      <c r="E824" s="304"/>
      <c r="F824" s="15"/>
      <c r="G824" s="15"/>
    </row>
    <row r="825" spans="1:7" ht="15">
      <c r="A825" s="132"/>
      <c r="B825" s="304"/>
      <c r="C825" s="304"/>
      <c r="D825" s="368"/>
      <c r="E825" s="304"/>
      <c r="F825" s="15"/>
      <c r="G825" s="15"/>
    </row>
    <row r="826" spans="2:7" ht="15">
      <c r="B826" s="304"/>
      <c r="C826" s="368" t="s">
        <v>21</v>
      </c>
      <c r="E826" s="370" t="s">
        <v>23</v>
      </c>
      <c r="F826" s="25" t="s">
        <v>153</v>
      </c>
      <c r="G826" s="15"/>
    </row>
    <row r="827" spans="1:7" ht="15">
      <c r="A827" s="132"/>
      <c r="B827" s="304"/>
      <c r="C827" s="368" t="s">
        <v>22</v>
      </c>
      <c r="E827" s="370" t="s">
        <v>27</v>
      </c>
      <c r="F827" s="16" t="s">
        <v>153</v>
      </c>
      <c r="G827" s="15"/>
    </row>
    <row r="828" spans="1:7" ht="15">
      <c r="A828" s="132"/>
      <c r="B828" s="369"/>
      <c r="C828" s="368"/>
      <c r="E828" s="370"/>
      <c r="F828" s="15" t="s">
        <v>153</v>
      </c>
      <c r="G828" s="15"/>
    </row>
    <row r="829" spans="1:7" ht="15">
      <c r="A829" s="132"/>
      <c r="B829" s="304"/>
      <c r="C829" s="304"/>
      <c r="D829" s="371"/>
      <c r="E829" s="304"/>
      <c r="F829" s="15"/>
      <c r="G829" s="15"/>
    </row>
    <row r="830" spans="1:7" ht="15">
      <c r="A830" s="132"/>
      <c r="B830" s="304"/>
      <c r="C830" s="304"/>
      <c r="D830" s="368"/>
      <c r="E830" s="304"/>
      <c r="F830" s="15"/>
      <c r="G830" s="15"/>
    </row>
    <row r="831" spans="1:7" ht="15.75">
      <c r="A831" s="54" t="s">
        <v>29</v>
      </c>
      <c r="B831" s="369"/>
      <c r="C831" s="304"/>
      <c r="D831" s="368"/>
      <c r="E831" s="304"/>
      <c r="F831" s="15"/>
      <c r="G831" s="15"/>
    </row>
    <row r="832" spans="1:7" ht="15">
      <c r="A832" s="132"/>
      <c r="B832" s="304"/>
      <c r="C832" s="304"/>
      <c r="D832" s="368"/>
      <c r="E832" s="304"/>
      <c r="F832" s="15"/>
      <c r="G832" s="15"/>
    </row>
    <row r="833" spans="1:7" ht="15">
      <c r="A833" s="132"/>
      <c r="B833" s="369"/>
      <c r="C833" s="368" t="s">
        <v>21</v>
      </c>
      <c r="E833" s="370" t="s">
        <v>253</v>
      </c>
      <c r="F833" s="25">
        <f>+'9. 2005 Rate Sch. Reg. Assets'!D197</f>
        <v>2.0154789635923094</v>
      </c>
      <c r="G833" s="15"/>
    </row>
    <row r="834" spans="1:7" ht="15">
      <c r="A834" s="132"/>
      <c r="B834" s="304"/>
      <c r="C834" s="368" t="s">
        <v>22</v>
      </c>
      <c r="E834" s="370" t="s">
        <v>27</v>
      </c>
      <c r="F834" s="16">
        <f>+'9. 2005 Rate Sch. Reg. Assets'!D195</f>
        <v>1.0667351896092225</v>
      </c>
      <c r="G834" s="15"/>
    </row>
    <row r="835" spans="1:7" ht="15">
      <c r="A835" s="132"/>
      <c r="B835" s="304"/>
      <c r="C835" s="368"/>
      <c r="E835" s="370"/>
      <c r="F835" s="15"/>
      <c r="G835" s="15"/>
    </row>
    <row r="836" spans="1:7" ht="15.75">
      <c r="A836" s="131"/>
      <c r="B836" s="304"/>
      <c r="C836" s="304"/>
      <c r="D836" s="368"/>
      <c r="E836" s="304"/>
      <c r="F836" s="15"/>
      <c r="G836" s="15"/>
    </row>
    <row r="837" spans="1:7" ht="15.75">
      <c r="A837" s="54" t="s">
        <v>30</v>
      </c>
      <c r="B837" s="304"/>
      <c r="C837" s="304"/>
      <c r="D837" s="368"/>
      <c r="E837" s="304"/>
      <c r="F837" s="15"/>
      <c r="G837" s="15"/>
    </row>
    <row r="838" spans="2:7" ht="15">
      <c r="B838" s="304"/>
      <c r="C838" s="304"/>
      <c r="D838" s="368"/>
      <c r="E838" s="304"/>
      <c r="F838" s="15"/>
      <c r="G838" s="15"/>
    </row>
    <row r="839" spans="1:7" ht="15">
      <c r="A839" s="132"/>
      <c r="B839" s="369"/>
      <c r="C839" s="368" t="s">
        <v>21</v>
      </c>
      <c r="E839" s="370" t="s">
        <v>23</v>
      </c>
      <c r="F839" s="25" t="s">
        <v>153</v>
      </c>
      <c r="G839" s="15"/>
    </row>
    <row r="840" spans="1:7" ht="15">
      <c r="A840" s="132"/>
      <c r="B840" s="304"/>
      <c r="C840" s="368" t="s">
        <v>22</v>
      </c>
      <c r="E840" s="370" t="s">
        <v>27</v>
      </c>
      <c r="F840" s="16" t="s">
        <v>153</v>
      </c>
      <c r="G840" s="15"/>
    </row>
    <row r="841" spans="1:7" ht="15">
      <c r="A841" s="132"/>
      <c r="B841" s="369"/>
      <c r="C841" s="304"/>
      <c r="E841" s="370"/>
      <c r="F841" s="15"/>
      <c r="G841" s="15"/>
    </row>
    <row r="842" spans="1:7" ht="15">
      <c r="A842" s="132"/>
      <c r="B842" s="370"/>
      <c r="C842" s="370"/>
      <c r="D842" s="368"/>
      <c r="E842" s="304"/>
      <c r="F842" s="15"/>
      <c r="G842" s="15"/>
    </row>
    <row r="843" spans="1:7" ht="15.75">
      <c r="A843" s="54" t="s">
        <v>31</v>
      </c>
      <c r="B843" s="369"/>
      <c r="C843" s="304"/>
      <c r="D843" s="368"/>
      <c r="E843" s="304"/>
      <c r="F843" s="15"/>
      <c r="G843" s="15"/>
    </row>
    <row r="844" spans="1:7" ht="15">
      <c r="A844" s="132"/>
      <c r="B844" s="304"/>
      <c r="C844" s="304"/>
      <c r="D844" s="368"/>
      <c r="E844" s="304"/>
      <c r="F844" s="15"/>
      <c r="G844" s="15"/>
    </row>
    <row r="845" spans="1:7" ht="15">
      <c r="A845" s="132"/>
      <c r="B845" s="369"/>
      <c r="C845" s="368" t="s">
        <v>21</v>
      </c>
      <c r="E845" s="370" t="s">
        <v>23</v>
      </c>
      <c r="F845" s="25" t="s">
        <v>153</v>
      </c>
      <c r="G845" s="15"/>
    </row>
    <row r="846" spans="1:7" ht="15">
      <c r="A846" s="132"/>
      <c r="B846" s="304"/>
      <c r="C846" s="368" t="s">
        <v>22</v>
      </c>
      <c r="E846" s="370" t="s">
        <v>27</v>
      </c>
      <c r="F846" s="16" t="s">
        <v>153</v>
      </c>
      <c r="G846" s="15"/>
    </row>
    <row r="847" spans="1:7" ht="15">
      <c r="A847" s="132"/>
      <c r="B847" s="304"/>
      <c r="C847" s="368"/>
      <c r="E847" s="370"/>
      <c r="F847" s="15"/>
      <c r="G847" s="15"/>
    </row>
    <row r="848" spans="1:7" ht="15.75">
      <c r="A848" s="131"/>
      <c r="B848" s="304"/>
      <c r="C848" s="304"/>
      <c r="D848" s="368"/>
      <c r="E848" s="304"/>
      <c r="F848" s="15"/>
      <c r="G848" s="15"/>
    </row>
    <row r="849" spans="1:7" ht="15.75">
      <c r="A849" s="54" t="s">
        <v>32</v>
      </c>
      <c r="B849" s="304"/>
      <c r="C849" s="304"/>
      <c r="D849" s="368"/>
      <c r="E849" s="304"/>
      <c r="F849" s="15"/>
      <c r="G849" s="15"/>
    </row>
    <row r="850" spans="2:7" ht="15">
      <c r="B850" s="304"/>
      <c r="C850" s="304"/>
      <c r="D850" s="368"/>
      <c r="E850" s="304"/>
      <c r="F850" s="15"/>
      <c r="G850" s="15"/>
    </row>
    <row r="851" spans="1:7" ht="15">
      <c r="A851" s="132"/>
      <c r="B851" s="369"/>
      <c r="C851" s="368" t="s">
        <v>21</v>
      </c>
      <c r="E851" s="370" t="s">
        <v>23</v>
      </c>
      <c r="F851" s="25" t="s">
        <v>153</v>
      </c>
      <c r="G851" s="15"/>
    </row>
    <row r="852" spans="1:7" ht="15">
      <c r="A852" s="132"/>
      <c r="B852" s="304"/>
      <c r="C852" s="368" t="s">
        <v>22</v>
      </c>
      <c r="E852" s="370" t="s">
        <v>27</v>
      </c>
      <c r="F852" s="16" t="s">
        <v>153</v>
      </c>
      <c r="G852" s="15"/>
    </row>
  </sheetData>
  <sheetProtection/>
  <mergeCells count="53">
    <mergeCell ref="A702:H702"/>
    <mergeCell ref="A703:H703"/>
    <mergeCell ref="D782:E782"/>
    <mergeCell ref="A778:H778"/>
    <mergeCell ref="A779:H779"/>
    <mergeCell ref="A780:H780"/>
    <mergeCell ref="A781:H781"/>
    <mergeCell ref="D704:E704"/>
    <mergeCell ref="A547:H547"/>
    <mergeCell ref="A548:H548"/>
    <mergeCell ref="A549:H549"/>
    <mergeCell ref="D550:E550"/>
    <mergeCell ref="A624:H624"/>
    <mergeCell ref="A625:H625"/>
    <mergeCell ref="D626:E626"/>
    <mergeCell ref="A700:H700"/>
    <mergeCell ref="A701:H701"/>
    <mergeCell ref="D394:E394"/>
    <mergeCell ref="A468:H468"/>
    <mergeCell ref="A469:H469"/>
    <mergeCell ref="A470:H470"/>
    <mergeCell ref="A471:H471"/>
    <mergeCell ref="D472:E472"/>
    <mergeCell ref="D239:E239"/>
    <mergeCell ref="A312:H312"/>
    <mergeCell ref="A313:H313"/>
    <mergeCell ref="A314:H314"/>
    <mergeCell ref="A546:H546"/>
    <mergeCell ref="D316:E316"/>
    <mergeCell ref="A390:H390"/>
    <mergeCell ref="A391:H391"/>
    <mergeCell ref="A392:H392"/>
    <mergeCell ref="A393:H393"/>
    <mergeCell ref="D83:E83"/>
    <mergeCell ref="A157:H157"/>
    <mergeCell ref="A315:H315"/>
    <mergeCell ref="A159:H159"/>
    <mergeCell ref="A160:H160"/>
    <mergeCell ref="D161:E161"/>
    <mergeCell ref="A235:H235"/>
    <mergeCell ref="A236:H236"/>
    <mergeCell ref="A237:H237"/>
    <mergeCell ref="A238:H238"/>
    <mergeCell ref="A158:H158"/>
    <mergeCell ref="A1:H1"/>
    <mergeCell ref="A3:H3"/>
    <mergeCell ref="A4:H4"/>
    <mergeCell ref="A2:H2"/>
    <mergeCell ref="D5:E5"/>
    <mergeCell ref="A79:H79"/>
    <mergeCell ref="A80:H80"/>
    <mergeCell ref="A81:H81"/>
    <mergeCell ref="A82:H82"/>
  </mergeCells>
  <printOptions/>
  <pageMargins left="0.5905511811023623" right="0.4330708661417323" top="0.7874015748031497" bottom="0.5905511811023623" header="0.35433070866141736" footer="0.35433070866141736"/>
  <pageSetup fitToHeight="0" horizontalDpi="600" verticalDpi="600" orientation="portrait" scale="70" r:id="rId1"/>
  <headerFooter alignWithMargins="0">
    <oddHeader>&amp;C&amp;"Arial,Bold"&amp;12
</oddHeader>
    <oddFooter>&amp;C&amp;P</oddFooter>
  </headerFooter>
  <rowBreaks count="21" manualBreakCount="21">
    <brk id="51" max="255" man="1"/>
    <brk id="79" max="255" man="1"/>
    <brk id="129" max="255" man="1"/>
    <brk id="157" max="255" man="1"/>
    <brk id="207" max="255" man="1"/>
    <brk id="235" max="255" man="1"/>
    <brk id="285" max="255" man="1"/>
    <brk id="312" max="255" man="1"/>
    <brk id="362" max="255" man="1"/>
    <brk id="391" max="7" man="1"/>
    <brk id="441" max="255" man="1"/>
    <brk id="468" max="255" man="1"/>
    <brk id="518" max="255" man="1"/>
    <brk id="546" max="255" man="1"/>
    <brk id="597" max="255" man="1"/>
    <brk id="623" max="255" man="1"/>
    <brk id="672" max="255" man="1"/>
    <brk id="700" max="255" man="1"/>
    <brk id="751" max="255" man="1"/>
    <brk id="777" max="255" man="1"/>
    <brk id="829" max="255" man="1"/>
  </rowBreaks>
</worksheet>
</file>

<file path=xl/worksheets/sheet13.xml><?xml version="1.0" encoding="utf-8"?>
<worksheet xmlns="http://schemas.openxmlformats.org/spreadsheetml/2006/main" xmlns:r="http://schemas.openxmlformats.org/officeDocument/2006/relationships">
  <dimension ref="A1:G225"/>
  <sheetViews>
    <sheetView zoomScalePageLayoutView="0" workbookViewId="0" topLeftCell="A1">
      <selection activeCell="D115" sqref="D115"/>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191</v>
      </c>
      <c r="D1" s="10"/>
    </row>
    <row r="2" ht="13.5" thickBot="1"/>
    <row r="3" spans="1:6" ht="15.75">
      <c r="A3" s="518" t="str">
        <f>"Name of Utility:      "&amp;'Info Sheet'!B4</f>
        <v>Name of Utility:      Chatham-Kent Hydro</v>
      </c>
      <c r="B3" s="519"/>
      <c r="C3" s="519"/>
      <c r="D3" s="455" t="str">
        <f>'Info Sheet'!$B$21</f>
        <v>2005.V1.1</v>
      </c>
      <c r="E3" s="36"/>
      <c r="F3" s="14"/>
    </row>
    <row r="4" spans="1:6" ht="15.75">
      <c r="A4" s="301" t="str">
        <f>"License Number:   "&amp;'Info Sheet'!B6</f>
        <v>License Number:   ED-2002-0563</v>
      </c>
      <c r="B4" s="456"/>
      <c r="C4" s="391"/>
      <c r="D4" s="395" t="str">
        <f>'Info Sheet'!B8</f>
        <v>RP-2005-0013</v>
      </c>
      <c r="E4" s="36"/>
      <c r="F4" s="14"/>
    </row>
    <row r="5" spans="1:4" ht="15.75">
      <c r="A5" s="515" t="str">
        <f>"Name of Contact:  "&amp;'Info Sheet'!B12</f>
        <v>Name of Contact:  Jim Hogan</v>
      </c>
      <c r="B5" s="516"/>
      <c r="C5" s="516"/>
      <c r="D5" s="395" t="str">
        <f>'Info Sheet'!B10</f>
        <v>EB-2005-0017</v>
      </c>
    </row>
    <row r="6" spans="1:4" ht="15.75">
      <c r="A6" s="520" t="str">
        <f>"E- Mail Address:    "&amp;'Info Sheet'!B14</f>
        <v>E- Mail Address:    jimhogan@ckenergy.com</v>
      </c>
      <c r="B6" s="517"/>
      <c r="C6" s="517"/>
      <c r="D6" s="460"/>
    </row>
    <row r="7" spans="1:4" ht="15.75">
      <c r="A7" s="301" t="str">
        <f>"Phone Number:     "&amp;'Info Sheet'!B16</f>
        <v>Phone Number:     </v>
      </c>
      <c r="B7" s="517" t="str">
        <f>'Info Sheet'!$C$16&amp;" "&amp;'Info Sheet'!$D$16</f>
        <v>519-352-6300 (277) </v>
      </c>
      <c r="C7" s="517"/>
      <c r="D7" s="460"/>
    </row>
    <row r="8" spans="1:4" ht="16.5" thickBot="1">
      <c r="A8" s="302" t="str">
        <f>"Date:                      "&amp;('Info Sheet'!B18)</f>
        <v>Date:                      March 10, 2005</v>
      </c>
      <c r="B8" s="458"/>
      <c r="C8" s="459"/>
      <c r="D8" s="461"/>
    </row>
    <row r="9" spans="1:3" ht="15.75">
      <c r="A9" s="28"/>
      <c r="B9" s="29"/>
      <c r="C9" s="27"/>
    </row>
    <row r="10" spans="1:5" ht="14.25" customHeight="1">
      <c r="A10" s="564" t="s">
        <v>175</v>
      </c>
      <c r="B10" s="564"/>
      <c r="C10" s="564"/>
      <c r="D10" s="564"/>
      <c r="E10" s="35"/>
    </row>
    <row r="11" spans="1:5" ht="16.5" customHeight="1" hidden="1">
      <c r="A11" s="564"/>
      <c r="B11" s="564"/>
      <c r="C11" s="564"/>
      <c r="D11" s="564"/>
      <c r="E11" s="35"/>
    </row>
    <row r="12" spans="1:5" ht="14.25" customHeight="1">
      <c r="A12" s="309" t="s">
        <v>58</v>
      </c>
      <c r="B12" s="388"/>
      <c r="C12" s="40"/>
      <c r="D12" s="307"/>
      <c r="E12" s="35"/>
    </row>
    <row r="13" spans="1:5" ht="9.75" customHeight="1">
      <c r="A13" s="514"/>
      <c r="B13" s="514"/>
      <c r="C13" s="514"/>
      <c r="D13" s="514"/>
      <c r="E13" s="514"/>
    </row>
    <row r="14" spans="1:5" ht="12.75" hidden="1">
      <c r="A14" s="514"/>
      <c r="B14" s="514"/>
      <c r="C14" s="514"/>
      <c r="D14" s="514"/>
      <c r="E14" s="514"/>
    </row>
    <row r="15" spans="2:4" ht="6" customHeight="1">
      <c r="B15" s="39"/>
      <c r="C15" s="40"/>
      <c r="D15" s="307"/>
    </row>
    <row r="16" spans="2:6" ht="6" customHeight="1">
      <c r="B16" s="14"/>
      <c r="C16" s="14"/>
      <c r="D16" s="14"/>
      <c r="E16" s="14"/>
      <c r="F16" s="14"/>
    </row>
    <row r="17" spans="1:7" ht="18">
      <c r="A17" s="55" t="s">
        <v>0</v>
      </c>
      <c r="B17" s="52"/>
      <c r="C17" s="53"/>
      <c r="E17" s="15"/>
      <c r="G17" s="15"/>
    </row>
    <row r="18" spans="1:7" ht="12.75">
      <c r="A18" s="484" t="s">
        <v>211</v>
      </c>
      <c r="B18" s="15"/>
      <c r="C18" s="15"/>
      <c r="D18" s="49"/>
      <c r="E18" s="15"/>
      <c r="F18" s="15"/>
      <c r="G18" s="15"/>
    </row>
    <row r="19" spans="1:7" ht="12.75">
      <c r="A19" s="109" t="s">
        <v>68</v>
      </c>
      <c r="B19" s="109"/>
      <c r="C19" s="110"/>
      <c r="D19" s="111">
        <v>0.0035</v>
      </c>
      <c r="E19" s="15"/>
      <c r="F19" s="15"/>
      <c r="G19" s="15"/>
    </row>
    <row r="20" spans="1:7" ht="12.75">
      <c r="A20" s="112"/>
      <c r="B20" s="112"/>
      <c r="C20" s="113"/>
      <c r="D20" s="113"/>
      <c r="E20" s="15"/>
      <c r="F20" s="15"/>
      <c r="G20" s="15"/>
    </row>
    <row r="21" spans="1:7" ht="12.75">
      <c r="A21" s="109" t="s">
        <v>69</v>
      </c>
      <c r="B21" s="109"/>
      <c r="C21" s="110"/>
      <c r="D21" s="114">
        <v>4.08</v>
      </c>
      <c r="E21" s="15"/>
      <c r="F21" s="15"/>
      <c r="G21" s="15"/>
    </row>
    <row r="22" spans="3:7" ht="12.75">
      <c r="C22" s="15"/>
      <c r="D22" s="15"/>
      <c r="E22" s="15"/>
      <c r="F22" s="15"/>
      <c r="G22" s="15"/>
    </row>
    <row r="23" spans="3:7" ht="12.75">
      <c r="C23" s="15"/>
      <c r="D23" s="15"/>
      <c r="E23" s="15"/>
      <c r="F23" s="15"/>
      <c r="G23" s="15"/>
    </row>
    <row r="24" spans="1:7" ht="12.75">
      <c r="A24" s="484" t="s">
        <v>212</v>
      </c>
      <c r="B24" s="15"/>
      <c r="C24" s="15"/>
      <c r="D24" s="49"/>
      <c r="E24" s="15"/>
      <c r="F24" s="15"/>
      <c r="G24" s="15"/>
    </row>
    <row r="25" spans="1:7" ht="12.75">
      <c r="A25" s="109" t="s">
        <v>68</v>
      </c>
      <c r="B25" s="109"/>
      <c r="C25" s="110"/>
      <c r="D25" s="111">
        <v>0.0112</v>
      </c>
      <c r="E25" s="15"/>
      <c r="F25" s="15"/>
      <c r="G25" s="15"/>
    </row>
    <row r="26" spans="1:7" ht="12.75">
      <c r="A26" s="112"/>
      <c r="B26" s="112"/>
      <c r="C26" s="113"/>
      <c r="D26" s="113"/>
      <c r="E26" s="15"/>
      <c r="F26" s="15"/>
      <c r="G26" s="15"/>
    </row>
    <row r="27" spans="1:7" ht="12.75">
      <c r="A27" s="109" t="s">
        <v>69</v>
      </c>
      <c r="B27" s="109"/>
      <c r="C27" s="110"/>
      <c r="D27" s="114">
        <v>14.56</v>
      </c>
      <c r="E27" s="15"/>
      <c r="F27" s="15"/>
      <c r="G27" s="15"/>
    </row>
    <row r="28" spans="3:7" ht="12.75">
      <c r="C28" s="15"/>
      <c r="D28" s="15"/>
      <c r="E28" s="15"/>
      <c r="F28" s="15"/>
      <c r="G28" s="15"/>
    </row>
    <row r="29" spans="3:7" ht="12.75">
      <c r="C29" s="15"/>
      <c r="D29" s="15"/>
      <c r="E29" s="15"/>
      <c r="F29" s="15"/>
      <c r="G29" s="15"/>
    </row>
    <row r="30" spans="1:7" ht="12.75">
      <c r="A30" s="484" t="s">
        <v>213</v>
      </c>
      <c r="B30" s="15"/>
      <c r="C30" s="15"/>
      <c r="D30" s="49"/>
      <c r="E30" s="15"/>
      <c r="F30" s="15"/>
      <c r="G30" s="15"/>
    </row>
    <row r="31" spans="1:7" ht="12.75">
      <c r="A31" s="109" t="s">
        <v>68</v>
      </c>
      <c r="B31" s="109"/>
      <c r="C31" s="110"/>
      <c r="D31" s="111">
        <v>0.0106</v>
      </c>
      <c r="E31" s="15"/>
      <c r="F31" s="15"/>
      <c r="G31" s="15"/>
    </row>
    <row r="32" spans="1:7" ht="12.75">
      <c r="A32" s="112"/>
      <c r="B32" s="112"/>
      <c r="C32" s="113"/>
      <c r="D32" s="113"/>
      <c r="E32" s="15"/>
      <c r="F32" s="15"/>
      <c r="G32" s="15"/>
    </row>
    <row r="33" spans="1:7" ht="12.75">
      <c r="A33" s="109" t="s">
        <v>69</v>
      </c>
      <c r="B33" s="109"/>
      <c r="C33" s="110"/>
      <c r="D33" s="114">
        <v>12.93</v>
      </c>
      <c r="E33" s="15"/>
      <c r="F33" s="15"/>
      <c r="G33" s="15"/>
    </row>
    <row r="34" spans="3:7" ht="12.75">
      <c r="C34" s="15"/>
      <c r="D34" s="15"/>
      <c r="E34" s="15"/>
      <c r="F34" s="15"/>
      <c r="G34" s="15"/>
    </row>
    <row r="35" spans="3:7" ht="12.75">
      <c r="C35" s="15"/>
      <c r="D35" s="15"/>
      <c r="E35" s="15"/>
      <c r="F35" s="15"/>
      <c r="G35" s="15"/>
    </row>
    <row r="36" spans="1:7" ht="12.75">
      <c r="A36" s="484" t="s">
        <v>214</v>
      </c>
      <c r="B36" s="15"/>
      <c r="C36" s="15"/>
      <c r="D36" s="49"/>
      <c r="E36" s="15"/>
      <c r="F36" s="15"/>
      <c r="G36" s="15"/>
    </row>
    <row r="37" spans="1:7" ht="12.75">
      <c r="A37" s="109" t="s">
        <v>68</v>
      </c>
      <c r="B37" s="109"/>
      <c r="C37" s="110"/>
      <c r="D37" s="111">
        <v>0.0102</v>
      </c>
      <c r="E37" s="15"/>
      <c r="F37" s="15"/>
      <c r="G37" s="15"/>
    </row>
    <row r="38" spans="1:7" ht="12.75">
      <c r="A38" s="112"/>
      <c r="B38" s="112"/>
      <c r="C38" s="113"/>
      <c r="D38" s="113"/>
      <c r="E38" s="15"/>
      <c r="F38" s="15"/>
      <c r="G38" s="15"/>
    </row>
    <row r="39" spans="1:7" ht="12.75">
      <c r="A39" s="109" t="s">
        <v>69</v>
      </c>
      <c r="B39" s="109"/>
      <c r="C39" s="110"/>
      <c r="D39" s="114">
        <v>12.98</v>
      </c>
      <c r="E39" s="15"/>
      <c r="F39" s="15"/>
      <c r="G39" s="15"/>
    </row>
    <row r="40" spans="3:7" ht="12.75">
      <c r="C40" s="15"/>
      <c r="D40" s="15"/>
      <c r="E40" s="15"/>
      <c r="F40" s="15"/>
      <c r="G40" s="15"/>
    </row>
    <row r="41" spans="3:7" ht="12.75">
      <c r="C41" s="15"/>
      <c r="D41" s="15"/>
      <c r="E41" s="15"/>
      <c r="F41" s="15"/>
      <c r="G41" s="15"/>
    </row>
    <row r="42" spans="1:7" ht="12.75">
      <c r="A42" s="484" t="s">
        <v>215</v>
      </c>
      <c r="B42" s="15"/>
      <c r="C42" s="15"/>
      <c r="D42" s="49"/>
      <c r="E42" s="15"/>
      <c r="F42" s="15"/>
      <c r="G42" s="15"/>
    </row>
    <row r="43" spans="1:7" ht="12.75">
      <c r="A43" s="109" t="s">
        <v>68</v>
      </c>
      <c r="B43" s="109"/>
      <c r="C43" s="110"/>
      <c r="D43" s="111">
        <v>0.0098</v>
      </c>
      <c r="E43" s="15"/>
      <c r="F43" s="15"/>
      <c r="G43" s="15"/>
    </row>
    <row r="44" spans="1:7" ht="12.75">
      <c r="A44" s="112"/>
      <c r="B44" s="112"/>
      <c r="C44" s="113"/>
      <c r="D44" s="113"/>
      <c r="E44" s="15"/>
      <c r="F44" s="15"/>
      <c r="G44" s="15"/>
    </row>
    <row r="45" spans="1:7" ht="12.75">
      <c r="A45" s="109" t="s">
        <v>69</v>
      </c>
      <c r="B45" s="109"/>
      <c r="C45" s="110"/>
      <c r="D45" s="114">
        <v>10.2</v>
      </c>
      <c r="E45" s="15"/>
      <c r="F45" s="15"/>
      <c r="G45" s="15"/>
    </row>
    <row r="46" spans="3:7" ht="12.75">
      <c r="C46" s="15"/>
      <c r="D46" s="15"/>
      <c r="E46" s="15"/>
      <c r="F46" s="15"/>
      <c r="G46" s="15"/>
    </row>
    <row r="47" spans="3:7" ht="12.75">
      <c r="C47" s="15"/>
      <c r="D47" s="15"/>
      <c r="E47" s="15"/>
      <c r="F47" s="15"/>
      <c r="G47" s="15"/>
    </row>
    <row r="48" spans="1:7" ht="12.75">
      <c r="A48" s="484" t="s">
        <v>216</v>
      </c>
      <c r="B48" s="15"/>
      <c r="C48" s="15"/>
      <c r="D48" s="49"/>
      <c r="E48" s="15"/>
      <c r="F48" s="15"/>
      <c r="G48" s="15"/>
    </row>
    <row r="49" spans="1:7" ht="12.75">
      <c r="A49" s="109" t="s">
        <v>68</v>
      </c>
      <c r="B49" s="109"/>
      <c r="C49" s="110"/>
      <c r="D49" s="111">
        <v>0.0098</v>
      </c>
      <c r="E49" s="15"/>
      <c r="F49" s="15"/>
      <c r="G49" s="15"/>
    </row>
    <row r="50" spans="1:7" ht="12.75">
      <c r="A50" s="112"/>
      <c r="B50" s="112"/>
      <c r="C50" s="113"/>
      <c r="D50" s="113"/>
      <c r="E50" s="15"/>
      <c r="F50" s="15"/>
      <c r="G50" s="15"/>
    </row>
    <row r="51" spans="1:7" ht="12.75">
      <c r="A51" s="109" t="s">
        <v>69</v>
      </c>
      <c r="B51" s="109"/>
      <c r="C51" s="110"/>
      <c r="D51" s="114">
        <v>14.25</v>
      </c>
      <c r="E51" s="15"/>
      <c r="F51" s="15"/>
      <c r="G51" s="15"/>
    </row>
    <row r="52" spans="3:7" ht="12.75">
      <c r="C52" s="15"/>
      <c r="D52" s="15"/>
      <c r="E52" s="15"/>
      <c r="F52" s="15"/>
      <c r="G52" s="15"/>
    </row>
    <row r="53" spans="3:7" ht="12.75">
      <c r="C53" s="15"/>
      <c r="D53" s="15"/>
      <c r="E53" s="15"/>
      <c r="F53" s="15"/>
      <c r="G53" s="15"/>
    </row>
    <row r="54" spans="1:7" ht="12.75">
      <c r="A54" s="484" t="s">
        <v>217</v>
      </c>
      <c r="B54" s="15"/>
      <c r="C54" s="15"/>
      <c r="D54" s="49"/>
      <c r="E54" s="15"/>
      <c r="F54" s="15"/>
      <c r="G54" s="15"/>
    </row>
    <row r="55" spans="1:7" ht="12.75">
      <c r="A55" s="109" t="s">
        <v>68</v>
      </c>
      <c r="B55" s="109"/>
      <c r="C55" s="110"/>
      <c r="D55" s="111">
        <v>0.0103</v>
      </c>
      <c r="E55" s="15"/>
      <c r="F55" s="15"/>
      <c r="G55" s="15"/>
    </row>
    <row r="56" spans="1:7" ht="12.75">
      <c r="A56" s="112"/>
      <c r="B56" s="112"/>
      <c r="C56" s="113"/>
      <c r="D56" s="113"/>
      <c r="E56" s="15"/>
      <c r="F56" s="15"/>
      <c r="G56" s="15"/>
    </row>
    <row r="57" spans="1:7" ht="12.75">
      <c r="A57" s="109" t="s">
        <v>69</v>
      </c>
      <c r="B57" s="109"/>
      <c r="C57" s="110"/>
      <c r="D57" s="114">
        <v>14.1</v>
      </c>
      <c r="E57" s="15"/>
      <c r="F57" s="15"/>
      <c r="G57" s="15"/>
    </row>
    <row r="58" spans="3:7" ht="12.75">
      <c r="C58" s="15"/>
      <c r="D58" s="15"/>
      <c r="E58" s="15"/>
      <c r="F58" s="15"/>
      <c r="G58" s="15"/>
    </row>
    <row r="59" spans="3:7" ht="12.75">
      <c r="C59" s="15"/>
      <c r="D59" s="15"/>
      <c r="E59" s="15"/>
      <c r="F59" s="15"/>
      <c r="G59" s="15"/>
    </row>
    <row r="60" spans="1:7" ht="12.75">
      <c r="A60" s="484" t="s">
        <v>218</v>
      </c>
      <c r="B60" s="15"/>
      <c r="C60" s="15"/>
      <c r="D60" s="49"/>
      <c r="E60" s="15"/>
      <c r="F60" s="15"/>
      <c r="G60" s="15"/>
    </row>
    <row r="61" spans="1:7" ht="12.75">
      <c r="A61" s="109" t="s">
        <v>68</v>
      </c>
      <c r="B61" s="109"/>
      <c r="C61" s="110"/>
      <c r="D61" s="111">
        <v>0.0087</v>
      </c>
      <c r="E61" s="15"/>
      <c r="F61" s="15"/>
      <c r="G61" s="15"/>
    </row>
    <row r="62" spans="1:7" ht="12.75">
      <c r="A62" s="112"/>
      <c r="B62" s="112"/>
      <c r="C62" s="113"/>
      <c r="D62" s="113"/>
      <c r="E62" s="15"/>
      <c r="F62" s="15"/>
      <c r="G62" s="15"/>
    </row>
    <row r="63" spans="1:7" ht="12.75">
      <c r="A63" s="109" t="s">
        <v>69</v>
      </c>
      <c r="B63" s="109"/>
      <c r="C63" s="110"/>
      <c r="D63" s="114">
        <v>7.55</v>
      </c>
      <c r="E63" s="15"/>
      <c r="F63" s="15"/>
      <c r="G63" s="15"/>
    </row>
    <row r="64" spans="3:7" ht="12.75">
      <c r="C64" s="15"/>
      <c r="D64" s="15"/>
      <c r="E64" s="15"/>
      <c r="F64" s="15"/>
      <c r="G64" s="15"/>
    </row>
    <row r="65" spans="3:7" ht="12.75">
      <c r="C65" s="15"/>
      <c r="D65" s="15"/>
      <c r="E65" s="15"/>
      <c r="F65" s="15"/>
      <c r="G65" s="15"/>
    </row>
    <row r="66" spans="1:7" ht="12.75">
      <c r="A66" s="484" t="s">
        <v>219</v>
      </c>
      <c r="B66" s="15"/>
      <c r="C66" s="15"/>
      <c r="D66" s="49"/>
      <c r="E66" s="15"/>
      <c r="F66" s="15"/>
      <c r="G66" s="15"/>
    </row>
    <row r="67" spans="1:7" ht="12.75">
      <c r="A67" s="109" t="s">
        <v>68</v>
      </c>
      <c r="B67" s="109"/>
      <c r="C67" s="110"/>
      <c r="D67" s="111">
        <v>0.008</v>
      </c>
      <c r="E67" s="15"/>
      <c r="F67" s="15"/>
      <c r="G67" s="15"/>
    </row>
    <row r="68" spans="1:7" ht="12.75">
      <c r="A68" s="112"/>
      <c r="B68" s="112"/>
      <c r="C68" s="113"/>
      <c r="D68" s="113"/>
      <c r="E68" s="15"/>
      <c r="F68" s="15"/>
      <c r="G68" s="15"/>
    </row>
    <row r="69" spans="1:7" ht="12.75">
      <c r="A69" s="109" t="s">
        <v>69</v>
      </c>
      <c r="B69" s="109"/>
      <c r="C69" s="110"/>
      <c r="D69" s="114">
        <v>11.32</v>
      </c>
      <c r="E69" s="15"/>
      <c r="F69" s="15"/>
      <c r="G69" s="15"/>
    </row>
    <row r="70" spans="3:7" ht="12.75">
      <c r="C70" s="15"/>
      <c r="D70" s="15"/>
      <c r="E70" s="15"/>
      <c r="F70" s="15"/>
      <c r="G70" s="15"/>
    </row>
    <row r="71" spans="3:7" ht="12.75">
      <c r="C71" s="15"/>
      <c r="D71" s="15"/>
      <c r="E71" s="15"/>
      <c r="F71" s="15"/>
      <c r="G71" s="15"/>
    </row>
    <row r="72" spans="1:7" ht="12.75">
      <c r="A72" s="484" t="s">
        <v>220</v>
      </c>
      <c r="B72" s="15"/>
      <c r="C72" s="15"/>
      <c r="D72" s="49"/>
      <c r="E72" s="15"/>
      <c r="F72" s="15"/>
      <c r="G72" s="15"/>
    </row>
    <row r="73" spans="1:7" ht="12.75">
      <c r="A73" s="109" t="s">
        <v>68</v>
      </c>
      <c r="B73" s="109"/>
      <c r="C73" s="110"/>
      <c r="D73" s="111">
        <v>0.0121</v>
      </c>
      <c r="E73" s="15"/>
      <c r="F73" s="15"/>
      <c r="G73" s="15"/>
    </row>
    <row r="74" spans="1:7" ht="12.75">
      <c r="A74" s="112"/>
      <c r="B74" s="112"/>
      <c r="C74" s="113"/>
      <c r="D74" s="113"/>
      <c r="E74" s="15"/>
      <c r="F74" s="15"/>
      <c r="G74" s="15"/>
    </row>
    <row r="75" spans="1:7" ht="12.75">
      <c r="A75" s="109" t="s">
        <v>69</v>
      </c>
      <c r="B75" s="109"/>
      <c r="C75" s="110"/>
      <c r="D75" s="114">
        <v>14.93</v>
      </c>
      <c r="E75" s="15"/>
      <c r="F75" s="15"/>
      <c r="G75" s="15"/>
    </row>
    <row r="76" spans="3:7" ht="12.75">
      <c r="C76" s="15"/>
      <c r="D76" s="15"/>
      <c r="E76" s="15"/>
      <c r="F76" s="15"/>
      <c r="G76" s="15"/>
    </row>
    <row r="77" spans="3:7" ht="12.75">
      <c r="C77" s="15"/>
      <c r="D77" s="15"/>
      <c r="E77" s="15"/>
      <c r="F77" s="15"/>
      <c r="G77" s="15"/>
    </row>
    <row r="78" spans="1:7" ht="12.75">
      <c r="A78" s="484" t="s">
        <v>221</v>
      </c>
      <c r="B78" s="15"/>
      <c r="C78" s="15"/>
      <c r="D78" s="49"/>
      <c r="E78" s="15"/>
      <c r="F78" s="15"/>
      <c r="G78" s="15"/>
    </row>
    <row r="79" spans="1:7" ht="12.75">
      <c r="A79" s="109" t="s">
        <v>68</v>
      </c>
      <c r="B79" s="109"/>
      <c r="C79" s="110"/>
      <c r="D79" s="111">
        <v>0.0081</v>
      </c>
      <c r="E79" s="15"/>
      <c r="F79" s="15"/>
      <c r="G79" s="15"/>
    </row>
    <row r="80" spans="1:7" ht="12.75">
      <c r="A80" s="112"/>
      <c r="B80" s="112"/>
      <c r="C80" s="113"/>
      <c r="D80" s="113"/>
      <c r="E80" s="15"/>
      <c r="F80" s="15"/>
      <c r="G80" s="15"/>
    </row>
    <row r="81" spans="1:7" ht="12.75">
      <c r="A81" s="109" t="s">
        <v>69</v>
      </c>
      <c r="B81" s="109"/>
      <c r="C81" s="110"/>
      <c r="D81" s="114">
        <v>10.74</v>
      </c>
      <c r="E81" s="15"/>
      <c r="F81" s="15"/>
      <c r="G81" s="15"/>
    </row>
    <row r="82" spans="3:7" ht="12.75">
      <c r="C82" s="15"/>
      <c r="D82" s="15"/>
      <c r="E82" s="15"/>
      <c r="F82" s="15"/>
      <c r="G82" s="15"/>
    </row>
    <row r="83" spans="3:7" ht="12.75">
      <c r="C83" s="15"/>
      <c r="D83" s="15"/>
      <c r="E83" s="15"/>
      <c r="F83" s="15"/>
      <c r="G83" s="15"/>
    </row>
    <row r="84" spans="1:7" ht="18">
      <c r="A84" s="55" t="s">
        <v>2</v>
      </c>
      <c r="C84" s="53"/>
      <c r="D84" s="52"/>
      <c r="E84" s="15"/>
      <c r="F84" s="15"/>
      <c r="G84" s="15"/>
    </row>
    <row r="85" spans="3:7" ht="12.75">
      <c r="C85" s="15"/>
      <c r="D85" s="15"/>
      <c r="E85" s="15"/>
      <c r="F85" s="15"/>
      <c r="G85" s="15"/>
    </row>
    <row r="86" spans="1:7" ht="12.75">
      <c r="A86" s="109" t="s">
        <v>68</v>
      </c>
      <c r="B86" s="109"/>
      <c r="C86" s="110"/>
      <c r="D86" s="111"/>
      <c r="E86" s="15"/>
      <c r="F86" s="15"/>
      <c r="G86" s="15"/>
    </row>
    <row r="87" spans="1:7" ht="12.75">
      <c r="A87" s="112"/>
      <c r="B87" s="112"/>
      <c r="C87" s="113"/>
      <c r="D87" s="113"/>
      <c r="E87" s="15"/>
      <c r="F87" s="15"/>
      <c r="G87" s="15"/>
    </row>
    <row r="88" spans="1:7" ht="12.75">
      <c r="A88" s="109" t="s">
        <v>69</v>
      </c>
      <c r="B88" s="109"/>
      <c r="C88" s="110"/>
      <c r="D88" s="114"/>
      <c r="E88" s="15"/>
      <c r="F88" s="15"/>
      <c r="G88" s="15"/>
    </row>
    <row r="89" spans="3:7" ht="12.75">
      <c r="C89" s="15"/>
      <c r="D89" s="49"/>
      <c r="E89" s="15"/>
      <c r="F89" s="15"/>
      <c r="G89" s="15"/>
    </row>
    <row r="90" spans="3:7" ht="12.75">
      <c r="C90" s="15"/>
      <c r="D90" s="15"/>
      <c r="E90" s="15"/>
      <c r="F90" s="15"/>
      <c r="G90" s="15"/>
    </row>
    <row r="91" spans="1:7" ht="18">
      <c r="A91" s="55" t="s">
        <v>3</v>
      </c>
      <c r="C91" s="53"/>
      <c r="D91" s="52"/>
      <c r="E91" s="15"/>
      <c r="F91" s="15"/>
      <c r="G91" s="15"/>
    </row>
    <row r="92" spans="3:7" ht="12.75">
      <c r="C92" s="15"/>
      <c r="D92" s="15"/>
      <c r="E92" s="15"/>
      <c r="F92" s="15"/>
      <c r="G92" s="15"/>
    </row>
    <row r="93" spans="1:7" ht="12.75">
      <c r="A93" s="109" t="s">
        <v>68</v>
      </c>
      <c r="B93" s="34"/>
      <c r="C93" s="23"/>
      <c r="D93" s="107">
        <v>0.0064</v>
      </c>
      <c r="E93" s="15"/>
      <c r="F93" s="15"/>
      <c r="G93" s="15"/>
    </row>
    <row r="94" spans="1:7" ht="12.75">
      <c r="A94" s="112"/>
      <c r="C94" s="15"/>
      <c r="D94" s="15"/>
      <c r="E94" s="15"/>
      <c r="F94" s="15"/>
      <c r="G94" s="15"/>
    </row>
    <row r="95" spans="1:7" ht="12.75">
      <c r="A95" s="109" t="s">
        <v>69</v>
      </c>
      <c r="B95" s="34"/>
      <c r="C95" s="23"/>
      <c r="D95" s="108">
        <v>35.02</v>
      </c>
      <c r="E95" s="15"/>
      <c r="F95" s="15"/>
      <c r="G95" s="15"/>
    </row>
    <row r="96" spans="3:7" ht="12.75">
      <c r="C96" s="15"/>
      <c r="D96" s="15"/>
      <c r="E96" s="15"/>
      <c r="F96" s="15"/>
      <c r="G96" s="15"/>
    </row>
    <row r="97" spans="2:7" ht="12.75">
      <c r="B97" s="15"/>
      <c r="C97" s="15"/>
      <c r="D97" s="49"/>
      <c r="E97" s="15"/>
      <c r="F97" s="15"/>
      <c r="G97" s="15"/>
    </row>
    <row r="98" spans="1:7" ht="18">
      <c r="A98" s="55" t="s">
        <v>4</v>
      </c>
      <c r="B98" s="52"/>
      <c r="C98" s="53"/>
      <c r="D98" s="49"/>
      <c r="E98" s="15"/>
      <c r="F98" s="15"/>
      <c r="G98" s="15"/>
    </row>
    <row r="99" spans="2:7" ht="12.75">
      <c r="B99" s="15"/>
      <c r="C99" s="15"/>
      <c r="D99" s="49"/>
      <c r="E99" s="15"/>
      <c r="F99" s="15"/>
      <c r="G99" s="15"/>
    </row>
    <row r="100" spans="1:7" ht="12.75">
      <c r="A100" s="109" t="s">
        <v>70</v>
      </c>
      <c r="B100" s="34"/>
      <c r="C100" s="23"/>
      <c r="D100" s="107">
        <v>1.09</v>
      </c>
      <c r="E100" s="15"/>
      <c r="F100" s="15"/>
      <c r="G100" s="15"/>
    </row>
    <row r="101" spans="1:7" ht="12.75">
      <c r="A101" s="112"/>
      <c r="C101" s="15"/>
      <c r="D101" s="15"/>
      <c r="E101" s="15"/>
      <c r="F101" s="15"/>
      <c r="G101" s="15"/>
    </row>
    <row r="102" spans="1:7" ht="12.75">
      <c r="A102" s="109" t="s">
        <v>69</v>
      </c>
      <c r="B102" s="34"/>
      <c r="C102" s="23"/>
      <c r="D102" s="108">
        <v>152.96</v>
      </c>
      <c r="E102" s="15"/>
      <c r="F102" s="15"/>
      <c r="G102" s="15"/>
    </row>
    <row r="103" spans="2:7" ht="12.75">
      <c r="B103" s="15"/>
      <c r="C103" s="15"/>
      <c r="D103" s="49"/>
      <c r="E103" s="15"/>
      <c r="F103" s="15"/>
      <c r="G103" s="15"/>
    </row>
    <row r="104" spans="2:7" ht="12.75">
      <c r="B104" s="15"/>
      <c r="C104" s="15"/>
      <c r="D104" s="49"/>
      <c r="E104" s="15"/>
      <c r="F104" s="15"/>
      <c r="G104" s="15"/>
    </row>
    <row r="105" spans="1:7" ht="18">
      <c r="A105" s="55" t="s">
        <v>5</v>
      </c>
      <c r="B105" s="52"/>
      <c r="C105" s="53"/>
      <c r="D105" s="49"/>
      <c r="E105" s="15"/>
      <c r="F105" s="15"/>
      <c r="G105" s="15"/>
    </row>
    <row r="106" spans="1:7" ht="12.75">
      <c r="A106" s="484" t="s">
        <v>211</v>
      </c>
      <c r="B106" s="15"/>
      <c r="C106" s="15"/>
      <c r="D106" s="49"/>
      <c r="E106" s="15"/>
      <c r="F106" s="15"/>
      <c r="G106" s="15"/>
    </row>
    <row r="107" spans="1:7" ht="12.75">
      <c r="A107" s="109" t="s">
        <v>70</v>
      </c>
      <c r="B107" s="23"/>
      <c r="C107" s="23"/>
      <c r="D107" s="107">
        <v>1.07</v>
      </c>
      <c r="E107" s="15"/>
      <c r="F107" s="15"/>
      <c r="G107" s="15"/>
    </row>
    <row r="108" spans="1:7" ht="12.75">
      <c r="A108" s="112"/>
      <c r="B108" s="15"/>
      <c r="C108" s="15"/>
      <c r="D108" s="49"/>
      <c r="E108" s="15"/>
      <c r="F108" s="15"/>
      <c r="G108" s="15"/>
    </row>
    <row r="109" spans="1:7" ht="12.75">
      <c r="A109" s="109" t="s">
        <v>69</v>
      </c>
      <c r="B109" s="51"/>
      <c r="C109" s="23"/>
      <c r="D109" s="108">
        <v>2346.99</v>
      </c>
      <c r="E109" s="15"/>
      <c r="F109" s="15"/>
      <c r="G109" s="15"/>
    </row>
    <row r="110" spans="2:7" ht="12.75">
      <c r="B110" s="15"/>
      <c r="C110" s="15"/>
      <c r="D110" s="49"/>
      <c r="E110" s="15"/>
      <c r="F110" s="15"/>
      <c r="G110" s="15"/>
    </row>
    <row r="111" spans="1:7" ht="11.25" customHeight="1">
      <c r="A111" s="484" t="s">
        <v>213</v>
      </c>
      <c r="B111" s="15"/>
      <c r="C111" s="15"/>
      <c r="D111" s="49"/>
      <c r="E111" s="15"/>
      <c r="F111" s="15"/>
      <c r="G111" s="15"/>
    </row>
    <row r="112" spans="1:7" ht="12.75">
      <c r="A112" s="109" t="s">
        <v>70</v>
      </c>
      <c r="B112" s="34"/>
      <c r="C112" s="23"/>
      <c r="D112" s="107">
        <v>1.54</v>
      </c>
      <c r="E112" s="15"/>
      <c r="F112" s="15"/>
      <c r="G112" s="15"/>
    </row>
    <row r="113" spans="1:7" ht="12.75">
      <c r="A113" s="112"/>
      <c r="C113" s="15"/>
      <c r="D113" s="15"/>
      <c r="E113" s="15"/>
      <c r="F113" s="15"/>
      <c r="G113" s="15"/>
    </row>
    <row r="114" spans="1:7" ht="12.75">
      <c r="A114" s="109" t="s">
        <v>69</v>
      </c>
      <c r="B114" s="34"/>
      <c r="C114" s="23"/>
      <c r="D114" s="108">
        <v>4588.58</v>
      </c>
      <c r="E114" s="15"/>
      <c r="F114" s="15"/>
      <c r="G114" s="15"/>
    </row>
    <row r="115" spans="1:7" ht="18">
      <c r="A115" s="8"/>
      <c r="B115" s="15"/>
      <c r="C115" s="15"/>
      <c r="D115" s="49"/>
      <c r="E115" s="15"/>
      <c r="F115" s="15"/>
      <c r="G115" s="15"/>
    </row>
    <row r="116" spans="1:7" ht="18">
      <c r="A116" s="55" t="s">
        <v>199</v>
      </c>
      <c r="B116" s="15"/>
      <c r="C116" s="15"/>
      <c r="D116" s="49"/>
      <c r="E116" s="15"/>
      <c r="F116" s="15"/>
      <c r="G116" s="15"/>
    </row>
    <row r="117" spans="1:7" ht="12.75">
      <c r="A117" s="15"/>
      <c r="B117" s="15"/>
      <c r="C117" s="15"/>
      <c r="D117" s="49"/>
      <c r="E117" s="15"/>
      <c r="F117" s="15"/>
      <c r="G117" s="15"/>
    </row>
    <row r="118" spans="1:7" ht="12.75">
      <c r="A118" s="109" t="s">
        <v>70</v>
      </c>
      <c r="B118" s="34"/>
      <c r="C118" s="23"/>
      <c r="D118" s="107"/>
      <c r="E118" s="15"/>
      <c r="F118" s="15"/>
      <c r="G118" s="15"/>
    </row>
    <row r="119" spans="1:7" ht="12.75">
      <c r="A119" s="112"/>
      <c r="C119" s="15"/>
      <c r="D119" s="15"/>
      <c r="E119" s="15"/>
      <c r="F119" s="15"/>
      <c r="G119" s="15"/>
    </row>
    <row r="120" spans="1:7" ht="12.75">
      <c r="A120" s="109" t="s">
        <v>69</v>
      </c>
      <c r="B120" s="34"/>
      <c r="C120" s="23"/>
      <c r="D120" s="108"/>
      <c r="E120" s="15"/>
      <c r="F120" s="15"/>
      <c r="G120" s="15"/>
    </row>
    <row r="121" spans="2:7" ht="12.75">
      <c r="B121" s="15"/>
      <c r="C121" s="15"/>
      <c r="D121" s="49"/>
      <c r="E121" s="15"/>
      <c r="F121" s="15"/>
      <c r="G121" s="15"/>
    </row>
    <row r="122" spans="2:7" ht="12.75">
      <c r="B122" s="15"/>
      <c r="C122" s="15"/>
      <c r="D122" s="49"/>
      <c r="E122" s="15"/>
      <c r="F122" s="15"/>
      <c r="G122" s="15"/>
    </row>
    <row r="123" spans="2:7" ht="12.75">
      <c r="B123" s="15"/>
      <c r="C123" s="15"/>
      <c r="D123" s="49"/>
      <c r="E123" s="15"/>
      <c r="F123" s="15"/>
      <c r="G123" s="15"/>
    </row>
    <row r="124" spans="1:7" ht="18">
      <c r="A124" s="55" t="s">
        <v>1</v>
      </c>
      <c r="B124" s="15"/>
      <c r="C124" s="15"/>
      <c r="D124" s="49"/>
      <c r="E124" s="15"/>
      <c r="F124" s="15"/>
      <c r="G124" s="15"/>
    </row>
    <row r="125" spans="1:7" ht="12.75">
      <c r="A125" s="484" t="s">
        <v>213</v>
      </c>
      <c r="B125" s="15"/>
      <c r="C125" s="15"/>
      <c r="D125" s="49"/>
      <c r="E125" s="15"/>
      <c r="F125" s="15"/>
      <c r="G125" s="15"/>
    </row>
    <row r="126" spans="1:7" ht="12.75">
      <c r="A126" s="109" t="s">
        <v>70</v>
      </c>
      <c r="B126" s="23"/>
      <c r="C126" s="23"/>
      <c r="D126" s="107">
        <v>1.88</v>
      </c>
      <c r="E126" s="15"/>
      <c r="F126" s="15"/>
      <c r="G126" s="15"/>
    </row>
    <row r="127" spans="1:7" ht="12.75">
      <c r="A127" s="112"/>
      <c r="B127" s="15"/>
      <c r="C127" s="15"/>
      <c r="D127" s="49"/>
      <c r="E127" s="15"/>
      <c r="F127" s="15"/>
      <c r="G127" s="15"/>
    </row>
    <row r="128" spans="1:7" ht="12.75">
      <c r="A128" s="109" t="s">
        <v>69</v>
      </c>
      <c r="B128" s="51"/>
      <c r="C128" s="23"/>
      <c r="D128" s="108">
        <v>11298.32</v>
      </c>
      <c r="E128" s="15"/>
      <c r="F128" s="15"/>
      <c r="G128" s="15"/>
    </row>
    <row r="129" spans="2:7" ht="12.75">
      <c r="B129" s="15"/>
      <c r="C129" s="15"/>
      <c r="D129" s="49"/>
      <c r="E129" s="15"/>
      <c r="F129" s="15"/>
      <c r="G129" s="15"/>
    </row>
    <row r="130" spans="3:7" ht="12.75">
      <c r="C130" s="15"/>
      <c r="E130" s="15"/>
      <c r="F130" s="15"/>
      <c r="G130" s="15"/>
    </row>
    <row r="131" spans="1:7" ht="12.75">
      <c r="A131" s="485" t="s">
        <v>220</v>
      </c>
      <c r="B131" s="23"/>
      <c r="C131" s="23"/>
      <c r="D131" s="107">
        <v>2.17</v>
      </c>
      <c r="E131" s="15"/>
      <c r="F131" s="15"/>
      <c r="G131" s="15"/>
    </row>
    <row r="132" spans="1:7" ht="12.75">
      <c r="A132" s="112"/>
      <c r="B132" s="15"/>
      <c r="C132" s="15"/>
      <c r="D132" s="49"/>
      <c r="E132" s="15"/>
      <c r="F132" s="15"/>
      <c r="G132" s="15"/>
    </row>
    <row r="133" spans="1:7" ht="12.75">
      <c r="A133" s="109" t="s">
        <v>69</v>
      </c>
      <c r="B133" s="51"/>
      <c r="C133" s="23"/>
      <c r="D133" s="108">
        <v>13421.94</v>
      </c>
      <c r="E133" s="15"/>
      <c r="F133" s="15"/>
      <c r="G133" s="15"/>
    </row>
    <row r="134" spans="1:7" ht="12.75">
      <c r="A134" s="296"/>
      <c r="B134" s="50"/>
      <c r="C134" s="20"/>
      <c r="D134" s="15"/>
      <c r="E134" s="15"/>
      <c r="F134" s="15"/>
      <c r="G134" s="15"/>
    </row>
    <row r="135" spans="1:7" ht="12.75">
      <c r="A135" s="296"/>
      <c r="B135" s="50"/>
      <c r="C135" s="20"/>
      <c r="D135" s="15"/>
      <c r="E135" s="15"/>
      <c r="F135" s="15"/>
      <c r="G135" s="15"/>
    </row>
    <row r="136" spans="1:7" ht="18">
      <c r="A136" s="55" t="s">
        <v>6</v>
      </c>
      <c r="B136" s="15"/>
      <c r="C136" s="15"/>
      <c r="D136" s="49"/>
      <c r="E136" s="15"/>
      <c r="F136" s="15"/>
      <c r="G136" s="15"/>
    </row>
    <row r="137" spans="1:7" ht="12.75">
      <c r="A137" s="484" t="s">
        <v>211</v>
      </c>
      <c r="B137" s="15"/>
      <c r="C137" s="15"/>
      <c r="D137" s="49"/>
      <c r="E137" s="15"/>
      <c r="F137" s="15"/>
      <c r="G137" s="15"/>
    </row>
    <row r="138" spans="1:7" ht="12.75">
      <c r="A138" s="109" t="s">
        <v>70</v>
      </c>
      <c r="B138" s="34"/>
      <c r="C138" s="23"/>
      <c r="D138" s="107">
        <v>0.43</v>
      </c>
      <c r="E138" s="15"/>
      <c r="F138" s="15"/>
      <c r="G138" s="15"/>
    </row>
    <row r="139" spans="1:7" ht="12.75">
      <c r="A139" s="112"/>
      <c r="C139" s="15"/>
      <c r="D139" s="15"/>
      <c r="E139" s="15"/>
      <c r="F139" s="15"/>
      <c r="G139" s="15"/>
    </row>
    <row r="140" spans="1:7" ht="12.75">
      <c r="A140" s="109" t="s">
        <v>195</v>
      </c>
      <c r="B140" s="34"/>
      <c r="C140" s="23"/>
      <c r="D140" s="108">
        <v>0.79</v>
      </c>
      <c r="E140" s="15"/>
      <c r="F140" s="15"/>
      <c r="G140" s="15"/>
    </row>
    <row r="141" spans="2:7" ht="12.75">
      <c r="B141" s="15"/>
      <c r="C141" s="15"/>
      <c r="D141" s="49"/>
      <c r="E141" s="15"/>
      <c r="F141" s="15"/>
      <c r="G141" s="15"/>
    </row>
    <row r="142" spans="2:7" ht="12.75">
      <c r="B142" s="15"/>
      <c r="C142" s="15"/>
      <c r="D142" s="49"/>
      <c r="E142" s="15"/>
      <c r="F142" s="15"/>
      <c r="G142" s="15"/>
    </row>
    <row r="143" spans="1:7" ht="12.75">
      <c r="A143" s="484" t="s">
        <v>212</v>
      </c>
      <c r="B143" s="15"/>
      <c r="C143" s="15"/>
      <c r="D143" s="49"/>
      <c r="E143" s="15"/>
      <c r="F143" s="15"/>
      <c r="G143" s="15"/>
    </row>
    <row r="144" spans="1:7" ht="12.75">
      <c r="A144" s="109" t="s">
        <v>70</v>
      </c>
      <c r="B144" s="34"/>
      <c r="C144" s="23"/>
      <c r="D144" s="107">
        <v>0.99</v>
      </c>
      <c r="E144" s="15"/>
      <c r="F144" s="15"/>
      <c r="G144" s="15"/>
    </row>
    <row r="145" spans="1:7" ht="12.75">
      <c r="A145" s="112"/>
      <c r="C145" s="15"/>
      <c r="D145" s="15"/>
      <c r="E145" s="15"/>
      <c r="F145" s="15"/>
      <c r="G145" s="15"/>
    </row>
    <row r="146" spans="1:7" ht="12.75">
      <c r="A146" s="109" t="s">
        <v>195</v>
      </c>
      <c r="B146" s="34"/>
      <c r="C146" s="23"/>
      <c r="D146" s="108">
        <v>3.26</v>
      </c>
      <c r="E146" s="15"/>
      <c r="F146" s="15"/>
      <c r="G146" s="15"/>
    </row>
    <row r="147" spans="2:7" ht="12.75">
      <c r="B147" s="15"/>
      <c r="C147" s="15"/>
      <c r="D147" s="49"/>
      <c r="E147" s="15"/>
      <c r="F147" s="15"/>
      <c r="G147" s="15"/>
    </row>
    <row r="148" spans="2:7" ht="12.75">
      <c r="B148" s="15"/>
      <c r="C148" s="15"/>
      <c r="D148" s="49"/>
      <c r="E148" s="15"/>
      <c r="F148" s="15"/>
      <c r="G148" s="15"/>
    </row>
    <row r="149" spans="1:7" ht="12.75">
      <c r="A149" s="484" t="s">
        <v>213</v>
      </c>
      <c r="B149" s="15"/>
      <c r="C149" s="15"/>
      <c r="D149" s="49"/>
      <c r="E149" s="15"/>
      <c r="F149" s="15"/>
      <c r="G149" s="15"/>
    </row>
    <row r="150" spans="1:7" ht="12.75">
      <c r="A150" s="109" t="s">
        <v>70</v>
      </c>
      <c r="B150" s="34"/>
      <c r="C150" s="23"/>
      <c r="D150" s="107">
        <v>0.61</v>
      </c>
      <c r="E150" s="15"/>
      <c r="F150" s="15"/>
      <c r="G150" s="15"/>
    </row>
    <row r="151" spans="1:7" ht="12.75">
      <c r="A151" s="112"/>
      <c r="C151" s="15"/>
      <c r="D151" s="15"/>
      <c r="E151" s="15"/>
      <c r="F151" s="15"/>
      <c r="G151" s="15"/>
    </row>
    <row r="152" spans="1:7" ht="12.75">
      <c r="A152" s="109" t="s">
        <v>195</v>
      </c>
      <c r="B152" s="34"/>
      <c r="C152" s="23"/>
      <c r="D152" s="108">
        <v>4.9</v>
      </c>
      <c r="E152" s="15"/>
      <c r="F152" s="15"/>
      <c r="G152" s="15"/>
    </row>
    <row r="153" spans="2:7" ht="12.75">
      <c r="B153" s="15"/>
      <c r="C153" s="15"/>
      <c r="D153" s="49"/>
      <c r="E153" s="15"/>
      <c r="F153" s="15"/>
      <c r="G153" s="15"/>
    </row>
    <row r="154" spans="2:7" ht="12.75">
      <c r="B154" s="15"/>
      <c r="C154" s="15"/>
      <c r="D154" s="49"/>
      <c r="E154" s="15"/>
      <c r="F154" s="15"/>
      <c r="G154" s="15"/>
    </row>
    <row r="155" spans="1:7" ht="12.75">
      <c r="A155" s="484" t="s">
        <v>214</v>
      </c>
      <c r="B155" s="15"/>
      <c r="C155" s="15"/>
      <c r="D155" s="49"/>
      <c r="E155" s="15"/>
      <c r="F155" s="15"/>
      <c r="G155" s="15"/>
    </row>
    <row r="156" spans="1:7" ht="12.75">
      <c r="A156" s="109" t="s">
        <v>70</v>
      </c>
      <c r="B156" s="34"/>
      <c r="C156" s="23"/>
      <c r="D156" s="107">
        <v>0.61</v>
      </c>
      <c r="E156" s="15"/>
      <c r="F156" s="15"/>
      <c r="G156" s="15"/>
    </row>
    <row r="157" spans="1:7" ht="12.75">
      <c r="A157" s="112"/>
      <c r="C157" s="15"/>
      <c r="D157" s="15"/>
      <c r="E157" s="15"/>
      <c r="F157" s="15"/>
      <c r="G157" s="15"/>
    </row>
    <row r="158" spans="1:7" ht="12.75">
      <c r="A158" s="109" t="s">
        <v>195</v>
      </c>
      <c r="B158" s="34"/>
      <c r="C158" s="23"/>
      <c r="D158" s="108">
        <v>4.65</v>
      </c>
      <c r="E158" s="15"/>
      <c r="F158" s="15"/>
      <c r="G158" s="15"/>
    </row>
    <row r="159" spans="2:7" ht="12.75">
      <c r="B159" s="15"/>
      <c r="C159" s="15"/>
      <c r="D159" s="49"/>
      <c r="E159" s="15"/>
      <c r="F159" s="15"/>
      <c r="G159" s="15"/>
    </row>
    <row r="160" spans="2:7" ht="12.75">
      <c r="B160" s="15"/>
      <c r="C160" s="15"/>
      <c r="D160" s="49"/>
      <c r="E160" s="15"/>
      <c r="F160" s="15"/>
      <c r="G160" s="15"/>
    </row>
    <row r="161" spans="1:7" ht="12.75">
      <c r="A161" s="484" t="s">
        <v>215</v>
      </c>
      <c r="B161" s="15"/>
      <c r="C161" s="15"/>
      <c r="D161" s="49"/>
      <c r="E161" s="15"/>
      <c r="F161" s="15"/>
      <c r="G161" s="15"/>
    </row>
    <row r="162" spans="1:7" ht="12.75">
      <c r="A162" s="109" t="s">
        <v>70</v>
      </c>
      <c r="B162" s="34"/>
      <c r="C162" s="23"/>
      <c r="D162" s="107"/>
      <c r="E162" s="15"/>
      <c r="F162" s="15"/>
      <c r="G162" s="15"/>
    </row>
    <row r="163" spans="1:7" ht="12.75">
      <c r="A163" s="112"/>
      <c r="C163" s="15"/>
      <c r="D163" s="15"/>
      <c r="E163" s="15"/>
      <c r="F163" s="15"/>
      <c r="G163" s="15"/>
    </row>
    <row r="164" spans="1:7" ht="12.75">
      <c r="A164" s="109" t="s">
        <v>195</v>
      </c>
      <c r="B164" s="34"/>
      <c r="C164" s="23"/>
      <c r="D164" s="108"/>
      <c r="E164" s="15"/>
      <c r="F164" s="15"/>
      <c r="G164" s="15"/>
    </row>
    <row r="165" spans="2:7" ht="12.75">
      <c r="B165" s="15"/>
      <c r="C165" s="15"/>
      <c r="D165" s="49"/>
      <c r="E165" s="15"/>
      <c r="F165" s="15"/>
      <c r="G165" s="15"/>
    </row>
    <row r="166" spans="2:7" ht="12.75">
      <c r="B166" s="15"/>
      <c r="C166" s="15"/>
      <c r="D166" s="49"/>
      <c r="E166" s="15"/>
      <c r="F166" s="15"/>
      <c r="G166" s="15"/>
    </row>
    <row r="167" spans="1:7" ht="12.75">
      <c r="A167" s="484" t="s">
        <v>216</v>
      </c>
      <c r="B167" s="15"/>
      <c r="C167" s="15"/>
      <c r="D167" s="49"/>
      <c r="E167" s="15"/>
      <c r="F167" s="15"/>
      <c r="G167" s="15"/>
    </row>
    <row r="168" spans="1:7" ht="12.75">
      <c r="A168" s="109" t="s">
        <v>70</v>
      </c>
      <c r="B168" s="34"/>
      <c r="C168" s="23"/>
      <c r="D168" s="107">
        <v>0.17</v>
      </c>
      <c r="E168" s="15"/>
      <c r="F168" s="15"/>
      <c r="G168" s="15"/>
    </row>
    <row r="169" spans="1:7" ht="12.75">
      <c r="A169" s="112"/>
      <c r="C169" s="15"/>
      <c r="D169" s="15"/>
      <c r="E169" s="15"/>
      <c r="F169" s="15"/>
      <c r="G169" s="15"/>
    </row>
    <row r="170" spans="1:7" ht="12.75">
      <c r="A170" s="109" t="s">
        <v>195</v>
      </c>
      <c r="B170" s="34"/>
      <c r="C170" s="23"/>
      <c r="D170" s="108">
        <v>0.44</v>
      </c>
      <c r="E170" s="15"/>
      <c r="F170" s="15"/>
      <c r="G170" s="15"/>
    </row>
    <row r="171" spans="2:7" ht="12.75">
      <c r="B171" s="15"/>
      <c r="C171" s="15"/>
      <c r="D171" s="49"/>
      <c r="E171" s="15"/>
      <c r="F171" s="15"/>
      <c r="G171" s="15"/>
    </row>
    <row r="172" spans="2:7" ht="12.75">
      <c r="B172" s="15"/>
      <c r="C172" s="15"/>
      <c r="D172" s="49"/>
      <c r="E172" s="15"/>
      <c r="F172" s="15"/>
      <c r="G172" s="15"/>
    </row>
    <row r="173" spans="1:7" ht="12.75">
      <c r="A173" s="484" t="s">
        <v>217</v>
      </c>
      <c r="B173" s="15"/>
      <c r="C173" s="15"/>
      <c r="D173" s="49"/>
      <c r="E173" s="15"/>
      <c r="F173" s="15"/>
      <c r="G173" s="15"/>
    </row>
    <row r="174" spans="1:7" ht="12.75">
      <c r="A174" s="109" t="s">
        <v>70</v>
      </c>
      <c r="B174" s="34"/>
      <c r="C174" s="23"/>
      <c r="D174" s="107">
        <v>0.43</v>
      </c>
      <c r="E174" s="15"/>
      <c r="F174" s="15"/>
      <c r="G174" s="15"/>
    </row>
    <row r="175" spans="1:7" ht="12.75">
      <c r="A175" s="112"/>
      <c r="C175" s="15"/>
      <c r="D175" s="15"/>
      <c r="E175" s="15"/>
      <c r="F175" s="15"/>
      <c r="G175" s="15"/>
    </row>
    <row r="176" spans="1:7" ht="12.75">
      <c r="A176" s="109" t="s">
        <v>195</v>
      </c>
      <c r="B176" s="34"/>
      <c r="C176" s="23"/>
      <c r="D176" s="108">
        <v>2.73</v>
      </c>
      <c r="E176" s="15"/>
      <c r="F176" s="15"/>
      <c r="G176" s="15"/>
    </row>
    <row r="177" spans="2:7" ht="12.75">
      <c r="B177" s="15"/>
      <c r="C177" s="15"/>
      <c r="D177" s="49"/>
      <c r="E177" s="15"/>
      <c r="F177" s="15"/>
      <c r="G177" s="15"/>
    </row>
    <row r="178" spans="2:7" ht="12.75">
      <c r="B178" s="15"/>
      <c r="C178" s="15"/>
      <c r="D178" s="49"/>
      <c r="E178" s="15"/>
      <c r="F178" s="15"/>
      <c r="G178" s="15"/>
    </row>
    <row r="179" spans="1:7" ht="12.75">
      <c r="A179" s="484" t="s">
        <v>218</v>
      </c>
      <c r="B179" s="15"/>
      <c r="C179" s="15"/>
      <c r="D179" s="49"/>
      <c r="E179" s="15"/>
      <c r="F179" s="15"/>
      <c r="G179" s="15"/>
    </row>
    <row r="180" spans="1:7" ht="12.75">
      <c r="A180" s="109" t="s">
        <v>70</v>
      </c>
      <c r="B180" s="34"/>
      <c r="C180" s="23"/>
      <c r="D180" s="107">
        <v>1.23</v>
      </c>
      <c r="E180" s="15"/>
      <c r="F180" s="15"/>
      <c r="G180" s="15"/>
    </row>
    <row r="181" spans="1:7" ht="12.75">
      <c r="A181" s="112"/>
      <c r="C181" s="15"/>
      <c r="D181" s="15"/>
      <c r="E181" s="15"/>
      <c r="F181" s="15"/>
      <c r="G181" s="15"/>
    </row>
    <row r="182" spans="1:7" ht="12.75">
      <c r="A182" s="109" t="s">
        <v>195</v>
      </c>
      <c r="B182" s="34"/>
      <c r="C182" s="23"/>
      <c r="D182" s="108">
        <v>2.75</v>
      </c>
      <c r="E182" s="15"/>
      <c r="F182" s="15"/>
      <c r="G182" s="15"/>
    </row>
    <row r="183" spans="2:7" ht="12.75">
      <c r="B183" s="15"/>
      <c r="C183" s="15"/>
      <c r="D183" s="49"/>
      <c r="E183" s="15"/>
      <c r="F183" s="15"/>
      <c r="G183" s="15"/>
    </row>
    <row r="184" spans="2:7" ht="12.75">
      <c r="B184" s="15"/>
      <c r="C184" s="15"/>
      <c r="D184" s="49"/>
      <c r="E184" s="15"/>
      <c r="F184" s="15"/>
      <c r="G184" s="15"/>
    </row>
    <row r="185" spans="1:7" ht="12.75">
      <c r="A185" s="484" t="s">
        <v>219</v>
      </c>
      <c r="B185" s="15"/>
      <c r="C185" s="15"/>
      <c r="D185" s="49"/>
      <c r="E185" s="15"/>
      <c r="F185" s="15"/>
      <c r="G185" s="15"/>
    </row>
    <row r="186" spans="1:7" ht="12.75">
      <c r="A186" s="109" t="s">
        <v>70</v>
      </c>
      <c r="B186" s="34"/>
      <c r="C186" s="23"/>
      <c r="D186" s="107">
        <v>0.61</v>
      </c>
      <c r="E186" s="15"/>
      <c r="F186" s="15"/>
      <c r="G186" s="15"/>
    </row>
    <row r="187" spans="1:7" ht="12.75">
      <c r="A187" s="112"/>
      <c r="C187" s="15"/>
      <c r="D187" s="15"/>
      <c r="E187" s="15"/>
      <c r="F187" s="15"/>
      <c r="G187" s="15"/>
    </row>
    <row r="188" spans="1:7" ht="12.75">
      <c r="A188" s="109" t="s">
        <v>195</v>
      </c>
      <c r="B188" s="34"/>
      <c r="C188" s="23"/>
      <c r="D188" s="108">
        <v>4.04</v>
      </c>
      <c r="E188" s="15"/>
      <c r="F188" s="15"/>
      <c r="G188" s="15"/>
    </row>
    <row r="189" spans="2:7" ht="12.75">
      <c r="B189" s="15"/>
      <c r="C189" s="15"/>
      <c r="D189" s="49"/>
      <c r="E189" s="15"/>
      <c r="F189" s="15"/>
      <c r="G189" s="15"/>
    </row>
    <row r="190" spans="2:7" ht="12.75">
      <c r="B190" s="15"/>
      <c r="C190" s="15"/>
      <c r="D190" s="49"/>
      <c r="E190" s="15"/>
      <c r="F190" s="15"/>
      <c r="G190" s="15"/>
    </row>
    <row r="191" spans="1:7" ht="12.75">
      <c r="A191" s="484" t="s">
        <v>221</v>
      </c>
      <c r="B191" s="15"/>
      <c r="C191" s="15"/>
      <c r="D191" s="49"/>
      <c r="E191" s="15"/>
      <c r="F191" s="15"/>
      <c r="G191" s="15"/>
    </row>
    <row r="192" spans="1:7" ht="12.75">
      <c r="A192" s="109" t="s">
        <v>70</v>
      </c>
      <c r="B192" s="34"/>
      <c r="C192" s="23"/>
      <c r="D192" s="107">
        <v>0.43</v>
      </c>
      <c r="E192" s="15"/>
      <c r="F192" s="15"/>
      <c r="G192" s="15"/>
    </row>
    <row r="193" spans="1:7" ht="12.75">
      <c r="A193" s="112"/>
      <c r="C193" s="15"/>
      <c r="D193" s="15"/>
      <c r="E193" s="15"/>
      <c r="F193" s="15"/>
      <c r="G193" s="15"/>
    </row>
    <row r="194" spans="1:7" ht="12.75">
      <c r="A194" s="109" t="s">
        <v>195</v>
      </c>
      <c r="B194" s="34"/>
      <c r="C194" s="23"/>
      <c r="D194" s="108">
        <v>0.3</v>
      </c>
      <c r="E194" s="15"/>
      <c r="F194" s="15"/>
      <c r="G194" s="15"/>
    </row>
    <row r="195" spans="2:7" ht="12.75">
      <c r="B195" s="15"/>
      <c r="C195" s="15"/>
      <c r="D195" s="49"/>
      <c r="E195" s="15"/>
      <c r="F195" s="15"/>
      <c r="G195" s="15"/>
    </row>
    <row r="196" spans="2:7" ht="12.75">
      <c r="B196" s="15"/>
      <c r="C196" s="15"/>
      <c r="D196" s="49"/>
      <c r="E196" s="15"/>
      <c r="F196" s="15"/>
      <c r="G196" s="15"/>
    </row>
    <row r="197" spans="1:7" ht="12.75">
      <c r="A197" s="484" t="s">
        <v>220</v>
      </c>
      <c r="B197" s="15"/>
      <c r="C197" s="15"/>
      <c r="D197" s="49"/>
      <c r="E197" s="15"/>
      <c r="F197" s="15"/>
      <c r="G197" s="15"/>
    </row>
    <row r="198" spans="1:7" ht="12.75">
      <c r="A198" s="109" t="s">
        <v>70</v>
      </c>
      <c r="B198" s="34"/>
      <c r="C198" s="23"/>
      <c r="D198" s="107">
        <v>0.45</v>
      </c>
      <c r="E198" s="15"/>
      <c r="F198" s="15"/>
      <c r="G198" s="15"/>
    </row>
    <row r="199" spans="1:7" ht="12.75">
      <c r="A199" s="112"/>
      <c r="C199" s="15"/>
      <c r="D199" s="15"/>
      <c r="E199" s="15"/>
      <c r="F199" s="15"/>
      <c r="G199" s="15"/>
    </row>
    <row r="200" spans="1:7" ht="12.75">
      <c r="A200" s="109" t="s">
        <v>195</v>
      </c>
      <c r="B200" s="34"/>
      <c r="C200" s="23"/>
      <c r="D200" s="108">
        <v>4.66</v>
      </c>
      <c r="E200" s="15"/>
      <c r="F200" s="15"/>
      <c r="G200" s="15"/>
    </row>
    <row r="201" spans="2:7" ht="12.75">
      <c r="B201" s="15"/>
      <c r="C201" s="15"/>
      <c r="D201" s="49"/>
      <c r="E201" s="15"/>
      <c r="F201" s="15"/>
      <c r="G201" s="15"/>
    </row>
    <row r="202" spans="2:7" ht="12.75">
      <c r="B202" s="15"/>
      <c r="C202" s="15"/>
      <c r="D202" s="49"/>
      <c r="E202" s="15"/>
      <c r="F202" s="15"/>
      <c r="G202" s="15"/>
    </row>
    <row r="203" spans="1:7" ht="12.75">
      <c r="A203" s="12" t="s">
        <v>7</v>
      </c>
      <c r="B203" s="15"/>
      <c r="C203" s="15"/>
      <c r="D203" s="49"/>
      <c r="E203" s="15"/>
      <c r="F203" s="15"/>
      <c r="G203" s="15"/>
    </row>
    <row r="204" spans="2:7" ht="12.75">
      <c r="B204" s="15"/>
      <c r="C204" s="15"/>
      <c r="D204" s="49"/>
      <c r="E204" s="15"/>
      <c r="F204" s="15"/>
      <c r="G204" s="15"/>
    </row>
    <row r="205" spans="1:7" ht="18">
      <c r="A205" s="55" t="s">
        <v>8</v>
      </c>
      <c r="B205" s="15"/>
      <c r="C205" s="15"/>
      <c r="D205" s="49"/>
      <c r="E205" s="15"/>
      <c r="F205" s="15"/>
      <c r="G205" s="15"/>
    </row>
    <row r="206" spans="2:7" ht="12.75">
      <c r="B206" s="15"/>
      <c r="C206" s="15"/>
      <c r="D206" s="49"/>
      <c r="E206" s="15"/>
      <c r="F206" s="15"/>
      <c r="G206" s="15"/>
    </row>
    <row r="207" spans="1:7" ht="12.75">
      <c r="A207" s="109" t="s">
        <v>70</v>
      </c>
      <c r="B207" s="23"/>
      <c r="C207" s="23"/>
      <c r="D207" s="107"/>
      <c r="E207" s="15"/>
      <c r="F207" s="15"/>
      <c r="G207" s="15"/>
    </row>
    <row r="208" spans="1:7" ht="12.75">
      <c r="A208" s="112"/>
      <c r="B208" s="15"/>
      <c r="C208" s="15"/>
      <c r="D208" s="49"/>
      <c r="E208" s="15"/>
      <c r="F208" s="15"/>
      <c r="G208" s="15"/>
    </row>
    <row r="209" spans="1:7" ht="12.75">
      <c r="A209" s="109" t="s">
        <v>195</v>
      </c>
      <c r="B209" s="51"/>
      <c r="C209" s="23"/>
      <c r="D209" s="108"/>
      <c r="E209" s="15"/>
      <c r="F209" s="15"/>
      <c r="G209" s="15"/>
    </row>
    <row r="210" spans="2:7" ht="12.75">
      <c r="B210" s="15"/>
      <c r="C210" s="15"/>
      <c r="D210" s="49"/>
      <c r="E210" s="15"/>
      <c r="F210" s="15"/>
      <c r="G210" s="15"/>
    </row>
    <row r="211" spans="2:7" ht="12.75">
      <c r="B211" s="15"/>
      <c r="C211" s="15"/>
      <c r="D211" s="49"/>
      <c r="E211" s="15"/>
      <c r="F211" s="15"/>
      <c r="G211" s="15"/>
    </row>
    <row r="212" spans="1:7" ht="18">
      <c r="A212" s="55" t="s">
        <v>9</v>
      </c>
      <c r="B212" s="15"/>
      <c r="C212" s="15"/>
      <c r="D212" s="49"/>
      <c r="E212" s="15"/>
      <c r="F212" s="15"/>
      <c r="G212" s="15"/>
    </row>
    <row r="213" spans="2:7" ht="12.75">
      <c r="B213" s="15"/>
      <c r="C213" s="15"/>
      <c r="D213" s="49"/>
      <c r="E213" s="15"/>
      <c r="F213" s="15"/>
      <c r="G213" s="15"/>
    </row>
    <row r="214" spans="1:7" ht="12.75">
      <c r="A214" s="109" t="s">
        <v>70</v>
      </c>
      <c r="B214" s="34"/>
      <c r="C214" s="23"/>
      <c r="D214" s="107">
        <v>2.56</v>
      </c>
      <c r="E214" s="15"/>
      <c r="F214" s="15"/>
      <c r="G214" s="15"/>
    </row>
    <row r="215" spans="1:7" ht="12.75">
      <c r="A215" s="112"/>
      <c r="C215" s="15"/>
      <c r="D215" s="15"/>
      <c r="E215" s="15"/>
      <c r="F215" s="15"/>
      <c r="G215" s="15"/>
    </row>
    <row r="216" spans="1:7" ht="12.75">
      <c r="A216" s="109" t="s">
        <v>195</v>
      </c>
      <c r="B216" s="34"/>
      <c r="C216" s="23"/>
      <c r="D216" s="108">
        <v>5227.07</v>
      </c>
      <c r="E216" s="15"/>
      <c r="F216" s="15"/>
      <c r="G216" s="15"/>
    </row>
    <row r="217" spans="2:7" ht="12.75">
      <c r="B217" s="15"/>
      <c r="C217" s="15"/>
      <c r="D217" s="49"/>
      <c r="E217" s="15"/>
      <c r="F217" s="15"/>
      <c r="G217" s="15"/>
    </row>
    <row r="218" spans="1:7" ht="12.75">
      <c r="A218" s="12" t="s">
        <v>7</v>
      </c>
      <c r="B218" s="15"/>
      <c r="C218" s="15"/>
      <c r="D218" s="49"/>
      <c r="E218" s="15"/>
      <c r="F218" s="15"/>
      <c r="G218" s="15"/>
    </row>
    <row r="219" spans="2:7" ht="12.75">
      <c r="B219" s="15"/>
      <c r="C219" s="15"/>
      <c r="D219" s="49"/>
      <c r="E219" s="15"/>
      <c r="F219" s="15"/>
      <c r="G219" s="15"/>
    </row>
    <row r="220" spans="1:7" ht="18">
      <c r="A220" s="55" t="s">
        <v>10</v>
      </c>
      <c r="B220" s="15"/>
      <c r="C220" s="15"/>
      <c r="D220" s="49"/>
      <c r="E220" s="15"/>
      <c r="F220" s="15"/>
      <c r="G220" s="15"/>
    </row>
    <row r="221" spans="2:7" ht="12.75">
      <c r="B221" s="15"/>
      <c r="C221" s="15"/>
      <c r="D221" s="6"/>
      <c r="E221" s="15"/>
      <c r="F221" s="15"/>
      <c r="G221" s="15"/>
    </row>
    <row r="222" spans="1:7" ht="12.75">
      <c r="A222" s="109" t="s">
        <v>70</v>
      </c>
      <c r="B222" s="23"/>
      <c r="C222" s="23"/>
      <c r="D222" s="107"/>
      <c r="E222" s="15"/>
      <c r="F222" s="15"/>
      <c r="G222" s="15"/>
    </row>
    <row r="223" spans="1:7" ht="12.75">
      <c r="A223" s="112"/>
      <c r="B223" s="15"/>
      <c r="C223" s="15"/>
      <c r="D223" s="49"/>
      <c r="E223" s="15"/>
      <c r="F223" s="15"/>
      <c r="G223" s="15"/>
    </row>
    <row r="224" spans="1:7" ht="12.75">
      <c r="A224" s="109" t="s">
        <v>195</v>
      </c>
      <c r="B224" s="51"/>
      <c r="C224" s="23"/>
      <c r="D224" s="108"/>
      <c r="E224" s="15"/>
      <c r="F224" s="15"/>
      <c r="G224" s="15"/>
    </row>
    <row r="225" spans="2:7" ht="12.75">
      <c r="B225" s="15"/>
      <c r="C225" s="15"/>
      <c r="D225" s="49"/>
      <c r="E225" s="15"/>
      <c r="F225" s="15"/>
      <c r="G225" s="15"/>
    </row>
  </sheetData>
  <sheetProtection/>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5" manualBreakCount="5">
    <brk id="52" max="3" man="1"/>
    <brk id="89" max="3" man="1"/>
    <brk id="134" max="3" man="1"/>
    <brk id="171" max="3" man="1"/>
    <brk id="201" max="3" man="1"/>
  </rowBreaks>
</worksheet>
</file>

<file path=xl/worksheets/sheet14.xml><?xml version="1.0" encoding="utf-8"?>
<worksheet xmlns="http://schemas.openxmlformats.org/spreadsheetml/2006/main" xmlns:r="http://schemas.openxmlformats.org/officeDocument/2006/relationships">
  <dimension ref="A1:O940"/>
  <sheetViews>
    <sheetView view="pageBreakPreview" zoomScale="60" zoomScalePageLayoutView="0" workbookViewId="0" topLeftCell="A1">
      <selection activeCell="J662" sqref="J662"/>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3.00390625" style="9" bestFit="1" customWidth="1"/>
    <col min="6" max="6" width="17.28125" style="9" bestFit="1" customWidth="1"/>
    <col min="7" max="7" width="1.57421875" style="9" customWidth="1"/>
    <col min="8" max="8" width="16.140625" style="9" customWidth="1"/>
    <col min="9" max="9" width="11.57421875" style="9" bestFit="1" customWidth="1"/>
    <col min="10" max="10" width="13.00390625" style="9" bestFit="1" customWidth="1"/>
    <col min="11" max="11" width="17.7109375" style="9" bestFit="1" customWidth="1"/>
    <col min="12" max="12" width="0.85546875" style="9" customWidth="1"/>
    <col min="13" max="13" width="11.00390625" style="9" customWidth="1"/>
    <col min="14" max="14" width="10.421875" style="156" bestFit="1" customWidth="1"/>
    <col min="15" max="16384" width="9.140625" style="9" customWidth="1"/>
  </cols>
  <sheetData>
    <row r="1" spans="1:14" ht="28.5" customHeight="1">
      <c r="A1" s="573" t="s">
        <v>176</v>
      </c>
      <c r="B1" s="573"/>
      <c r="C1" s="573"/>
      <c r="D1" s="573"/>
      <c r="E1" s="573"/>
      <c r="F1" s="573"/>
      <c r="G1" s="573"/>
      <c r="H1" s="573"/>
      <c r="I1" s="573"/>
      <c r="J1" s="573"/>
      <c r="K1" s="573"/>
      <c r="L1" s="573"/>
      <c r="M1" s="573"/>
      <c r="N1" s="573"/>
    </row>
    <row r="2" spans="1:14" ht="3.75" customHeight="1">
      <c r="A2" s="377"/>
      <c r="B2" s="377"/>
      <c r="C2" s="377"/>
      <c r="D2" s="377"/>
      <c r="E2" s="574"/>
      <c r="F2" s="574"/>
      <c r="G2" s="377"/>
      <c r="H2" s="377"/>
      <c r="I2" s="157"/>
      <c r="J2" s="157"/>
      <c r="K2" s="158"/>
      <c r="L2" s="157"/>
      <c r="M2" s="157"/>
      <c r="N2" s="159"/>
    </row>
    <row r="3" spans="1:14" ht="18.75" thickBot="1">
      <c r="A3" s="378"/>
      <c r="B3" s="31"/>
      <c r="C3" s="31"/>
      <c r="D3" s="31"/>
      <c r="E3" s="31"/>
      <c r="F3" s="31"/>
      <c r="G3" s="31"/>
      <c r="H3" s="31"/>
      <c r="N3" s="9"/>
    </row>
    <row r="4" spans="1:14" ht="15.75">
      <c r="A4" s="518" t="str">
        <f>"Name of Utility:      "&amp;'Info Sheet'!B4</f>
        <v>Name of Utility:      Chatham-Kent Hydro</v>
      </c>
      <c r="B4" s="519"/>
      <c r="C4" s="519"/>
      <c r="D4" s="519"/>
      <c r="E4" s="519"/>
      <c r="F4" s="519"/>
      <c r="G4" s="571" t="s">
        <v>178</v>
      </c>
      <c r="H4" s="572"/>
      <c r="N4" s="9"/>
    </row>
    <row r="5" spans="1:14" ht="15.75">
      <c r="A5" s="543" t="str">
        <f>"License Number:   "&amp;'Info Sheet'!B6</f>
        <v>License Number:   ED-2002-0563</v>
      </c>
      <c r="B5" s="566"/>
      <c r="C5" s="566"/>
      <c r="D5" s="566"/>
      <c r="E5" s="566"/>
      <c r="F5" s="26"/>
      <c r="G5" s="464"/>
      <c r="H5" s="395" t="str">
        <f>'Info Sheet'!B8</f>
        <v>RP-2005-0013</v>
      </c>
      <c r="N5" s="9"/>
    </row>
    <row r="6" spans="1:14" ht="15.75">
      <c r="A6" s="515" t="str">
        <f>"Name of Contact:  "&amp;'Info Sheet'!B12</f>
        <v>Name of Contact:  Jim Hogan</v>
      </c>
      <c r="B6" s="516"/>
      <c r="C6" s="516"/>
      <c r="D6" s="516"/>
      <c r="E6" s="516"/>
      <c r="F6" s="516"/>
      <c r="G6" s="457"/>
      <c r="H6" s="395" t="str">
        <f>'Info Sheet'!B10</f>
        <v>EB-2005-0017</v>
      </c>
      <c r="N6" s="9"/>
    </row>
    <row r="7" spans="1:14" ht="15.75">
      <c r="A7" s="520" t="str">
        <f>"E- Mail Address:    "&amp;'Info Sheet'!B14</f>
        <v>E- Mail Address:    jimhogan@ckenergy.com</v>
      </c>
      <c r="B7" s="517"/>
      <c r="C7" s="517"/>
      <c r="D7" s="517"/>
      <c r="E7" s="517"/>
      <c r="F7" s="517"/>
      <c r="G7" s="457"/>
      <c r="H7" s="460"/>
      <c r="N7" s="9"/>
    </row>
    <row r="8" spans="1:14" ht="15.75">
      <c r="A8" s="515" t="str">
        <f>"Phone Number:     "&amp;'Info Sheet'!B16</f>
        <v>Phone Number:     </v>
      </c>
      <c r="B8" s="516"/>
      <c r="C8" s="516"/>
      <c r="D8" s="516"/>
      <c r="E8" s="517" t="str">
        <f>'Info Sheet'!$C$16&amp;" "&amp;'Info Sheet'!$D$16</f>
        <v>519-352-6300 (277) </v>
      </c>
      <c r="F8" s="517"/>
      <c r="G8" s="457"/>
      <c r="H8" s="460"/>
      <c r="N8" s="9"/>
    </row>
    <row r="9" spans="1:14" ht="16.5" thickBot="1">
      <c r="A9" s="545" t="str">
        <f>"Date:                         "&amp;('Info Sheet'!B18)</f>
        <v>Date:                         March 10, 2005</v>
      </c>
      <c r="B9" s="565"/>
      <c r="C9" s="565"/>
      <c r="D9" s="565"/>
      <c r="E9" s="565"/>
      <c r="F9" s="465"/>
      <c r="G9" s="465"/>
      <c r="H9" s="461"/>
      <c r="N9" s="9"/>
    </row>
    <row r="10" spans="1:14" ht="15.75">
      <c r="A10" s="356"/>
      <c r="B10" s="357"/>
      <c r="C10" s="357"/>
      <c r="D10" s="357"/>
      <c r="E10" s="357"/>
      <c r="N10" s="9"/>
    </row>
    <row r="11" spans="1:11" ht="25.5">
      <c r="A11" s="389" t="s">
        <v>177</v>
      </c>
      <c r="B11" s="115"/>
      <c r="C11" s="115"/>
      <c r="E11" s="160"/>
      <c r="F11" s="160"/>
      <c r="K11" s="161"/>
    </row>
    <row r="12" spans="3:14" s="31" customFormat="1" ht="13.5" customHeight="1">
      <c r="C12" s="162"/>
      <c r="D12" s="162"/>
      <c r="E12" s="162"/>
      <c r="F12" s="162"/>
      <c r="H12" s="162"/>
      <c r="I12" s="162"/>
      <c r="J12" s="162"/>
      <c r="K12" s="162"/>
      <c r="L12" s="162"/>
      <c r="M12" s="162"/>
      <c r="N12" s="162"/>
    </row>
    <row r="13" spans="1:14" s="31" customFormat="1" ht="23.25">
      <c r="A13" s="611" t="s">
        <v>15</v>
      </c>
      <c r="B13" s="611"/>
      <c r="C13" s="611"/>
      <c r="D13" s="611"/>
      <c r="E13" s="162"/>
      <c r="F13" s="162"/>
      <c r="H13" s="162"/>
      <c r="I13" s="162"/>
      <c r="J13" s="162"/>
      <c r="K13" s="162"/>
      <c r="L13" s="162"/>
      <c r="M13" s="162"/>
      <c r="N13" s="162"/>
    </row>
    <row r="14" spans="1:11" ht="18">
      <c r="A14" s="55"/>
      <c r="B14" s="131"/>
      <c r="D14" s="31"/>
      <c r="E14" s="561"/>
      <c r="F14" s="561"/>
      <c r="K14" s="161"/>
    </row>
    <row r="15" spans="1:11" ht="15.75">
      <c r="A15" s="140" t="s">
        <v>91</v>
      </c>
      <c r="B15" s="163"/>
      <c r="C15" s="139"/>
      <c r="D15" s="69"/>
      <c r="E15" s="164"/>
      <c r="F15" s="164"/>
      <c r="G15" s="139"/>
      <c r="H15" s="139"/>
      <c r="I15" s="139"/>
      <c r="J15" s="139"/>
      <c r="K15" s="165"/>
    </row>
    <row r="16" spans="1:11" ht="15.75">
      <c r="A16" s="140" t="s">
        <v>48</v>
      </c>
      <c r="B16" s="163"/>
      <c r="C16" s="139"/>
      <c r="D16" s="69"/>
      <c r="E16" s="164"/>
      <c r="F16" s="164"/>
      <c r="G16" s="139"/>
      <c r="H16" s="139"/>
      <c r="I16" s="139"/>
      <c r="J16" s="139"/>
      <c r="K16" s="165"/>
    </row>
    <row r="17" spans="1:11" ht="15.75">
      <c r="A17" s="140" t="s">
        <v>50</v>
      </c>
      <c r="B17" s="163"/>
      <c r="C17" s="139"/>
      <c r="D17" s="69"/>
      <c r="E17" s="164"/>
      <c r="F17" s="164"/>
      <c r="G17" s="69"/>
      <c r="H17" s="139"/>
      <c r="I17" s="139"/>
      <c r="J17" s="139"/>
      <c r="K17" s="165"/>
    </row>
    <row r="18" spans="5:11" ht="9" customHeight="1">
      <c r="E18" s="561"/>
      <c r="F18" s="561"/>
      <c r="G18" s="31"/>
      <c r="K18" s="161"/>
    </row>
    <row r="19" spans="3:11" ht="18.75" customHeight="1">
      <c r="C19" s="497" t="s">
        <v>242</v>
      </c>
      <c r="D19" s="484"/>
      <c r="E19" s="160"/>
      <c r="F19" s="160"/>
      <c r="G19" s="31"/>
      <c r="K19" s="161"/>
    </row>
    <row r="20" spans="5:11" ht="9" customHeight="1" thickBot="1">
      <c r="E20" s="160"/>
      <c r="F20" s="160"/>
      <c r="G20" s="31"/>
      <c r="K20" s="161"/>
    </row>
    <row r="21" spans="1:14" ht="15.75" customHeight="1">
      <c r="A21" s="47"/>
      <c r="C21" s="589" t="s">
        <v>95</v>
      </c>
      <c r="D21" s="590"/>
      <c r="E21" s="590"/>
      <c r="F21" s="591"/>
      <c r="G21" s="166"/>
      <c r="H21" s="589" t="s">
        <v>96</v>
      </c>
      <c r="I21" s="590"/>
      <c r="J21" s="590"/>
      <c r="K21" s="590"/>
      <c r="L21" s="590"/>
      <c r="M21" s="590"/>
      <c r="N21" s="591"/>
    </row>
    <row r="22" spans="1:15" ht="13.5" customHeight="1" thickBot="1">
      <c r="A22"/>
      <c r="C22" s="592"/>
      <c r="D22" s="593"/>
      <c r="E22" s="593"/>
      <c r="F22" s="594"/>
      <c r="G22" s="167"/>
      <c r="H22" s="592"/>
      <c r="I22" s="593"/>
      <c r="J22" s="593"/>
      <c r="K22" s="593"/>
      <c r="L22" s="593"/>
      <c r="M22" s="593"/>
      <c r="N22" s="594"/>
      <c r="O22" s="31"/>
    </row>
    <row r="23" spans="1:14" ht="48.75" customHeight="1" thickBot="1">
      <c r="A23" s="168" t="s">
        <v>78</v>
      </c>
      <c r="B23" s="169"/>
      <c r="C23" s="569"/>
      <c r="D23" s="581" t="s">
        <v>12</v>
      </c>
      <c r="E23" s="583" t="s">
        <v>79</v>
      </c>
      <c r="F23" s="585" t="s">
        <v>182</v>
      </c>
      <c r="G23" s="166"/>
      <c r="H23" s="170"/>
      <c r="I23" s="581" t="s">
        <v>12</v>
      </c>
      <c r="J23" s="583" t="s">
        <v>79</v>
      </c>
      <c r="K23" s="585" t="s">
        <v>182</v>
      </c>
      <c r="L23" s="169"/>
      <c r="M23" s="600" t="s">
        <v>181</v>
      </c>
      <c r="N23" s="602" t="s">
        <v>80</v>
      </c>
    </row>
    <row r="24" spans="1:14" ht="13.5" thickBot="1">
      <c r="A24" s="171">
        <v>100</v>
      </c>
      <c r="B24" s="31"/>
      <c r="C24" s="570"/>
      <c r="D24" s="582"/>
      <c r="E24" s="584"/>
      <c r="F24" s="586"/>
      <c r="G24" s="167"/>
      <c r="H24" s="31"/>
      <c r="I24" s="587"/>
      <c r="J24" s="588"/>
      <c r="K24" s="586"/>
      <c r="L24" s="32"/>
      <c r="M24" s="601"/>
      <c r="N24" s="603"/>
    </row>
    <row r="25" spans="1:14" ht="25.5">
      <c r="A25" s="172"/>
      <c r="B25" s="31"/>
      <c r="C25" s="449" t="s">
        <v>21</v>
      </c>
      <c r="D25" s="174" t="s">
        <v>81</v>
      </c>
      <c r="E25" s="175" t="s">
        <v>81</v>
      </c>
      <c r="F25" s="234">
        <f>+'12. Current Rates'!D21</f>
        <v>4.08</v>
      </c>
      <c r="G25" s="167"/>
      <c r="H25" s="452" t="s">
        <v>21</v>
      </c>
      <c r="I25" s="174" t="s">
        <v>81</v>
      </c>
      <c r="J25" s="174" t="s">
        <v>81</v>
      </c>
      <c r="K25" s="234">
        <f>'11. 2005 Final Rate Schedule '!F13</f>
        <v>3.682510053146183</v>
      </c>
      <c r="L25" s="179"/>
      <c r="M25" s="575"/>
      <c r="N25" s="576"/>
    </row>
    <row r="26" spans="1:14" ht="26.25" thickBot="1">
      <c r="A26" s="86"/>
      <c r="B26" s="31"/>
      <c r="C26" s="450" t="s">
        <v>82</v>
      </c>
      <c r="D26" s="235">
        <f>A24</f>
        <v>100</v>
      </c>
      <c r="E26" s="438">
        <f>+'12. Current Rates'!D19</f>
        <v>0.0035</v>
      </c>
      <c r="F26" s="352">
        <f>D26*E26</f>
        <v>0.35000000000000003</v>
      </c>
      <c r="G26" s="167"/>
      <c r="H26" s="453" t="s">
        <v>82</v>
      </c>
      <c r="I26" s="181">
        <f>D26</f>
        <v>100</v>
      </c>
      <c r="J26" s="444">
        <f>'11. 2005 Final Rate Schedule '!F14</f>
        <v>0.004711214755167096</v>
      </c>
      <c r="K26" s="237">
        <f>I26*J26</f>
        <v>0.47112147551670963</v>
      </c>
      <c r="L26" s="179"/>
      <c r="M26" s="577"/>
      <c r="N26" s="578"/>
    </row>
    <row r="27" spans="1:14" ht="13.5" thickBot="1">
      <c r="A27" s="86"/>
      <c r="B27" s="31"/>
      <c r="C27" s="567"/>
      <c r="D27" s="568"/>
      <c r="E27" s="187" t="s">
        <v>52</v>
      </c>
      <c r="F27" s="373">
        <f>SUM(F25:F26)</f>
        <v>4.43</v>
      </c>
      <c r="G27" s="167"/>
      <c r="H27" s="595"/>
      <c r="I27" s="596"/>
      <c r="J27" s="187" t="s">
        <v>83</v>
      </c>
      <c r="K27" s="189">
        <f>SUM(K25:K26)</f>
        <v>4.153631528662893</v>
      </c>
      <c r="L27" s="179"/>
      <c r="M27" s="190">
        <f>K27-F27</f>
        <v>-0.27636847133710685</v>
      </c>
      <c r="N27" s="191">
        <f>M27/F27</f>
        <v>-0.06238565944404218</v>
      </c>
    </row>
    <row r="28" spans="1:14" ht="27" customHeight="1">
      <c r="A28" s="86"/>
      <c r="B28" s="31"/>
      <c r="C28" s="450" t="s">
        <v>84</v>
      </c>
      <c r="D28" s="181">
        <f>A24</f>
        <v>100</v>
      </c>
      <c r="E28" s="439">
        <v>0.0239</v>
      </c>
      <c r="F28" s="374">
        <f>D28*E28</f>
        <v>2.39</v>
      </c>
      <c r="G28" s="167"/>
      <c r="H28" s="453" t="s">
        <v>84</v>
      </c>
      <c r="I28" s="181">
        <f aca="true" t="shared" si="0" ref="I28:K29">D28</f>
        <v>100</v>
      </c>
      <c r="J28" s="445">
        <f t="shared" si="0"/>
        <v>0.0239</v>
      </c>
      <c r="K28" s="239">
        <f t="shared" si="0"/>
        <v>2.39</v>
      </c>
      <c r="L28" s="179"/>
      <c r="M28" s="575"/>
      <c r="N28" s="576"/>
    </row>
    <row r="29" spans="1:14" ht="25.5" customHeight="1" thickBot="1">
      <c r="A29" s="86"/>
      <c r="B29" s="31"/>
      <c r="C29" s="451" t="s">
        <v>85</v>
      </c>
      <c r="D29" s="181">
        <f>A24</f>
        <v>100</v>
      </c>
      <c r="E29" s="440">
        <v>0.047</v>
      </c>
      <c r="F29" s="352">
        <f>D29*E29</f>
        <v>4.7</v>
      </c>
      <c r="G29" s="167"/>
      <c r="H29" s="454" t="s">
        <v>85</v>
      </c>
      <c r="I29" s="446">
        <f t="shared" si="0"/>
        <v>100</v>
      </c>
      <c r="J29" s="447">
        <f t="shared" si="0"/>
        <v>0.047</v>
      </c>
      <c r="K29" s="243">
        <f t="shared" si="0"/>
        <v>4.7</v>
      </c>
      <c r="L29" s="179"/>
      <c r="M29" s="579"/>
      <c r="N29" s="580"/>
    </row>
    <row r="30" spans="1:14" ht="7.5" customHeight="1" thickBot="1">
      <c r="A30" s="86"/>
      <c r="B30" s="31"/>
      <c r="C30" s="597"/>
      <c r="D30" s="598"/>
      <c r="E30" s="598"/>
      <c r="F30" s="599"/>
      <c r="G30" s="167"/>
      <c r="H30" s="598"/>
      <c r="I30" s="598"/>
      <c r="J30" s="598"/>
      <c r="K30" s="599"/>
      <c r="L30" s="31"/>
      <c r="M30" s="86"/>
      <c r="N30" s="202"/>
    </row>
    <row r="31" spans="1:14" ht="13.5" thickBot="1">
      <c r="A31" s="94"/>
      <c r="B31" s="148"/>
      <c r="C31" s="203" t="s">
        <v>200</v>
      </c>
      <c r="D31" s="204"/>
      <c r="E31" s="204"/>
      <c r="F31" s="189">
        <f>SUM(F28:F29,F27)</f>
        <v>11.52</v>
      </c>
      <c r="G31" s="206"/>
      <c r="H31" s="604" t="s">
        <v>201</v>
      </c>
      <c r="I31" s="604"/>
      <c r="J31" s="604"/>
      <c r="K31" s="189">
        <f>SUM(K27:K29)</f>
        <v>11.243631528662892</v>
      </c>
      <c r="L31" s="207"/>
      <c r="M31" s="190">
        <f>K31-F31</f>
        <v>-0.27636847133710774</v>
      </c>
      <c r="N31" s="191">
        <f>M31/F31</f>
        <v>-0.02399031869245727</v>
      </c>
    </row>
    <row r="32" ht="12.75">
      <c r="K32" s="161"/>
    </row>
    <row r="33" spans="6:11" ht="13.5" thickBot="1">
      <c r="F33" s="161"/>
      <c r="K33" s="161"/>
    </row>
    <row r="34" spans="1:14" ht="60.75" thickBot="1">
      <c r="A34" s="168" t="s">
        <v>78</v>
      </c>
      <c r="B34" s="169"/>
      <c r="C34" s="569"/>
      <c r="D34" s="581" t="s">
        <v>12</v>
      </c>
      <c r="E34" s="583" t="s">
        <v>79</v>
      </c>
      <c r="F34" s="585" t="s">
        <v>182</v>
      </c>
      <c r="G34" s="166"/>
      <c r="H34" s="170"/>
      <c r="I34" s="581" t="s">
        <v>12</v>
      </c>
      <c r="J34" s="583" t="s">
        <v>79</v>
      </c>
      <c r="K34" s="585" t="s">
        <v>182</v>
      </c>
      <c r="L34" s="169"/>
      <c r="M34" s="600" t="s">
        <v>181</v>
      </c>
      <c r="N34" s="602" t="s">
        <v>80</v>
      </c>
    </row>
    <row r="35" spans="1:14" ht="13.5" thickBot="1">
      <c r="A35" s="171">
        <v>250</v>
      </c>
      <c r="B35" s="31"/>
      <c r="C35" s="570"/>
      <c r="D35" s="582"/>
      <c r="E35" s="584"/>
      <c r="F35" s="586"/>
      <c r="G35" s="167"/>
      <c r="H35" s="31"/>
      <c r="I35" s="587"/>
      <c r="J35" s="588"/>
      <c r="K35" s="586"/>
      <c r="L35" s="32"/>
      <c r="M35" s="601"/>
      <c r="N35" s="603"/>
    </row>
    <row r="36" spans="1:14" ht="25.5">
      <c r="A36" s="172"/>
      <c r="B36" s="31"/>
      <c r="C36" s="173" t="s">
        <v>21</v>
      </c>
      <c r="D36" s="174" t="s">
        <v>81</v>
      </c>
      <c r="E36" s="175" t="s">
        <v>81</v>
      </c>
      <c r="F36" s="234">
        <f>F25</f>
        <v>4.08</v>
      </c>
      <c r="G36" s="167"/>
      <c r="H36" s="177" t="s">
        <v>21</v>
      </c>
      <c r="I36" s="208" t="str">
        <f>D36</f>
        <v>N/A</v>
      </c>
      <c r="J36" s="178" t="s">
        <v>81</v>
      </c>
      <c r="K36" s="227">
        <f>$K$25</f>
        <v>3.682510053146183</v>
      </c>
      <c r="L36" s="179"/>
      <c r="M36" s="575"/>
      <c r="N36" s="576"/>
    </row>
    <row r="37" spans="1:14" ht="26.25" thickBot="1">
      <c r="A37" s="86"/>
      <c r="B37" s="31"/>
      <c r="C37" s="180" t="s">
        <v>82</v>
      </c>
      <c r="D37" s="235">
        <f>A35</f>
        <v>250</v>
      </c>
      <c r="E37" s="182">
        <f>E26</f>
        <v>0.0035</v>
      </c>
      <c r="F37" s="352">
        <f>D37*E37</f>
        <v>0.875</v>
      </c>
      <c r="G37" s="167"/>
      <c r="H37" s="184" t="s">
        <v>82</v>
      </c>
      <c r="I37" s="185">
        <f>D37</f>
        <v>250</v>
      </c>
      <c r="J37" s="443">
        <f>$J$26</f>
        <v>0.004711214755167096</v>
      </c>
      <c r="K37" s="186">
        <f>I37*J37</f>
        <v>1.177803688791774</v>
      </c>
      <c r="L37" s="179"/>
      <c r="M37" s="577"/>
      <c r="N37" s="578"/>
    </row>
    <row r="38" spans="1:14" ht="24.75" customHeight="1" thickBot="1">
      <c r="A38" s="86"/>
      <c r="B38" s="31"/>
      <c r="C38" s="605"/>
      <c r="D38" s="607"/>
      <c r="E38" s="187" t="s">
        <v>52</v>
      </c>
      <c r="F38" s="373">
        <f>SUM(F36:F37)</f>
        <v>4.955</v>
      </c>
      <c r="G38" s="167"/>
      <c r="H38" s="595"/>
      <c r="I38" s="596"/>
      <c r="J38" s="187" t="s">
        <v>83</v>
      </c>
      <c r="K38" s="189">
        <f>SUM(K36:K37)</f>
        <v>4.860313741937957</v>
      </c>
      <c r="L38" s="179"/>
      <c r="M38" s="190">
        <f>K38-F38</f>
        <v>-0.09468625806204312</v>
      </c>
      <c r="N38" s="191">
        <f>M38/F38</f>
        <v>-0.01910923472493302</v>
      </c>
    </row>
    <row r="39" spans="1:14" ht="27" customHeight="1">
      <c r="A39" s="86"/>
      <c r="B39" s="31"/>
      <c r="C39" s="180" t="s">
        <v>84</v>
      </c>
      <c r="D39" s="181">
        <f>A35</f>
        <v>250</v>
      </c>
      <c r="E39" s="439">
        <v>0.0239</v>
      </c>
      <c r="F39" s="374">
        <f>D39*E39</f>
        <v>5.9750000000000005</v>
      </c>
      <c r="G39" s="167"/>
      <c r="H39" s="184" t="s">
        <v>84</v>
      </c>
      <c r="I39" s="185">
        <f aca="true" t="shared" si="1" ref="I39:K40">D39</f>
        <v>250</v>
      </c>
      <c r="J39" s="441">
        <f t="shared" si="1"/>
        <v>0.0239</v>
      </c>
      <c r="K39" s="195">
        <f t="shared" si="1"/>
        <v>5.9750000000000005</v>
      </c>
      <c r="L39" s="179"/>
      <c r="M39" s="575"/>
      <c r="N39" s="576"/>
    </row>
    <row r="40" spans="1:14" ht="26.25" thickBot="1">
      <c r="A40" s="86"/>
      <c r="B40" s="31"/>
      <c r="C40" s="196" t="s">
        <v>85</v>
      </c>
      <c r="D40" s="181">
        <f>A35</f>
        <v>250</v>
      </c>
      <c r="E40" s="440">
        <v>0.047</v>
      </c>
      <c r="F40" s="352">
        <f>D40*E40</f>
        <v>11.75</v>
      </c>
      <c r="G40" s="167"/>
      <c r="H40" s="198" t="s">
        <v>85</v>
      </c>
      <c r="I40" s="199">
        <f t="shared" si="1"/>
        <v>250</v>
      </c>
      <c r="J40" s="442">
        <f t="shared" si="1"/>
        <v>0.047</v>
      </c>
      <c r="K40" s="201">
        <f t="shared" si="1"/>
        <v>11.75</v>
      </c>
      <c r="L40" s="179"/>
      <c r="M40" s="579"/>
      <c r="N40" s="580"/>
    </row>
    <row r="41" spans="1:14" ht="13.5" thickBot="1">
      <c r="A41" s="86"/>
      <c r="B41" s="31"/>
      <c r="C41" s="597"/>
      <c r="D41" s="598"/>
      <c r="E41" s="598"/>
      <c r="F41" s="599"/>
      <c r="G41" s="167"/>
      <c r="H41" s="598"/>
      <c r="I41" s="598"/>
      <c r="J41" s="598"/>
      <c r="K41" s="599"/>
      <c r="L41" s="31"/>
      <c r="M41" s="86"/>
      <c r="N41" s="202"/>
    </row>
    <row r="42" spans="1:14" ht="13.5" thickBot="1">
      <c r="A42" s="94"/>
      <c r="B42" s="148"/>
      <c r="C42" s="203" t="s">
        <v>200</v>
      </c>
      <c r="D42" s="204"/>
      <c r="E42" s="204"/>
      <c r="F42" s="189">
        <f>SUM(F39:F40,F38)</f>
        <v>22.68</v>
      </c>
      <c r="G42" s="206"/>
      <c r="H42" s="604" t="s">
        <v>201</v>
      </c>
      <c r="I42" s="604"/>
      <c r="J42" s="604"/>
      <c r="K42" s="189">
        <f>SUM(K38:K40)</f>
        <v>22.58531374193796</v>
      </c>
      <c r="L42" s="207"/>
      <c r="M42" s="190">
        <f>K42-F42</f>
        <v>-0.09468625806204045</v>
      </c>
      <c r="N42" s="191">
        <f>M42/F42</f>
        <v>-0.00417487910326457</v>
      </c>
    </row>
    <row r="43" ht="12.75">
      <c r="K43" s="161"/>
    </row>
    <row r="44" spans="1:14" ht="11.25" customHeight="1" thickBot="1">
      <c r="A44" s="47"/>
      <c r="B44" s="12"/>
      <c r="D44" s="10"/>
      <c r="E44" s="10"/>
      <c r="F44" s="209"/>
      <c r="I44" s="10"/>
      <c r="J44" s="10"/>
      <c r="K44" s="210"/>
      <c r="L44" s="12"/>
      <c r="M44" s="12"/>
      <c r="N44" s="211"/>
    </row>
    <row r="45" spans="1:14" ht="60.75" thickBot="1">
      <c r="A45" s="168" t="s">
        <v>78</v>
      </c>
      <c r="B45" s="169"/>
      <c r="C45" s="608"/>
      <c r="D45" s="581" t="s">
        <v>12</v>
      </c>
      <c r="E45" s="583" t="s">
        <v>79</v>
      </c>
      <c r="F45" s="585" t="s">
        <v>182</v>
      </c>
      <c r="G45" s="166"/>
      <c r="H45" s="170"/>
      <c r="I45" s="581" t="s">
        <v>12</v>
      </c>
      <c r="J45" s="583" t="s">
        <v>79</v>
      </c>
      <c r="K45" s="585" t="s">
        <v>182</v>
      </c>
      <c r="L45" s="169"/>
      <c r="M45" s="600" t="s">
        <v>181</v>
      </c>
      <c r="N45" s="602" t="s">
        <v>80</v>
      </c>
    </row>
    <row r="46" spans="1:14" ht="13.5" thickBot="1">
      <c r="A46" s="171">
        <v>500</v>
      </c>
      <c r="B46" s="31"/>
      <c r="C46" s="609"/>
      <c r="D46" s="582"/>
      <c r="E46" s="584"/>
      <c r="F46" s="586"/>
      <c r="G46" s="167"/>
      <c r="H46" s="31"/>
      <c r="I46" s="587"/>
      <c r="J46" s="588"/>
      <c r="K46" s="586"/>
      <c r="L46" s="32"/>
      <c r="M46" s="601"/>
      <c r="N46" s="603"/>
    </row>
    <row r="47" spans="1:14" ht="25.5">
      <c r="A47" s="172"/>
      <c r="B47" s="31"/>
      <c r="C47" s="173" t="s">
        <v>21</v>
      </c>
      <c r="D47" s="174" t="s">
        <v>81</v>
      </c>
      <c r="E47" s="175" t="s">
        <v>81</v>
      </c>
      <c r="F47" s="234">
        <f>F36</f>
        <v>4.08</v>
      </c>
      <c r="G47" s="167"/>
      <c r="H47" s="177" t="s">
        <v>21</v>
      </c>
      <c r="I47" s="208" t="str">
        <f>D47</f>
        <v>N/A</v>
      </c>
      <c r="J47" s="178" t="s">
        <v>81</v>
      </c>
      <c r="K47" s="227">
        <f>$K$25</f>
        <v>3.682510053146183</v>
      </c>
      <c r="L47" s="179"/>
      <c r="M47" s="575"/>
      <c r="N47" s="576"/>
    </row>
    <row r="48" spans="1:14" ht="25.5" customHeight="1" thickBot="1">
      <c r="A48" s="86"/>
      <c r="B48" s="31"/>
      <c r="C48" s="180" t="s">
        <v>82</v>
      </c>
      <c r="D48" s="235">
        <f>A46</f>
        <v>500</v>
      </c>
      <c r="E48" s="182">
        <f>E37</f>
        <v>0.0035</v>
      </c>
      <c r="F48" s="352">
        <f>D48*E48</f>
        <v>1.75</v>
      </c>
      <c r="G48" s="167"/>
      <c r="H48" s="184" t="s">
        <v>82</v>
      </c>
      <c r="I48" s="375">
        <f>D48</f>
        <v>500</v>
      </c>
      <c r="J48" s="443">
        <f>$J$26</f>
        <v>0.004711214755167096</v>
      </c>
      <c r="K48" s="186">
        <f>I48*J48</f>
        <v>2.355607377583548</v>
      </c>
      <c r="L48" s="179"/>
      <c r="M48" s="577"/>
      <c r="N48" s="578"/>
    </row>
    <row r="49" spans="1:14" ht="13.5" thickBot="1">
      <c r="A49" s="86"/>
      <c r="B49" s="31"/>
      <c r="C49" s="605"/>
      <c r="D49" s="606"/>
      <c r="E49" s="187" t="s">
        <v>52</v>
      </c>
      <c r="F49" s="373">
        <f>SUM(F47:F48)</f>
        <v>5.83</v>
      </c>
      <c r="G49" s="167"/>
      <c r="H49" s="595"/>
      <c r="I49" s="596"/>
      <c r="J49" s="187" t="s">
        <v>83</v>
      </c>
      <c r="K49" s="189">
        <f>SUM(K47:K48)</f>
        <v>6.038117430729731</v>
      </c>
      <c r="L49" s="179"/>
      <c r="M49" s="190">
        <f>K49-F49</f>
        <v>0.20811743072973066</v>
      </c>
      <c r="N49" s="191">
        <f>M49/F49</f>
        <v>0.03569767250938776</v>
      </c>
    </row>
    <row r="50" spans="1:14" ht="25.5">
      <c r="A50" s="86"/>
      <c r="B50" s="31"/>
      <c r="C50" s="180" t="s">
        <v>84</v>
      </c>
      <c r="D50" s="181">
        <f>A46</f>
        <v>500</v>
      </c>
      <c r="E50" s="439">
        <v>0.0239</v>
      </c>
      <c r="F50" s="374">
        <f>D50*E50</f>
        <v>11.950000000000001</v>
      </c>
      <c r="G50" s="167"/>
      <c r="H50" s="184" t="s">
        <v>84</v>
      </c>
      <c r="I50" s="185">
        <f aca="true" t="shared" si="2" ref="I50:K51">D50</f>
        <v>500</v>
      </c>
      <c r="J50" s="441">
        <f t="shared" si="2"/>
        <v>0.0239</v>
      </c>
      <c r="K50" s="195">
        <f t="shared" si="2"/>
        <v>11.950000000000001</v>
      </c>
      <c r="L50" s="179"/>
      <c r="M50" s="575"/>
      <c r="N50" s="576"/>
    </row>
    <row r="51" spans="1:14" ht="26.25" thickBot="1">
      <c r="A51" s="86"/>
      <c r="B51" s="31"/>
      <c r="C51" s="196" t="s">
        <v>85</v>
      </c>
      <c r="D51" s="181">
        <f>A46</f>
        <v>500</v>
      </c>
      <c r="E51" s="440">
        <v>0.047</v>
      </c>
      <c r="F51" s="352">
        <f>D51*E51</f>
        <v>23.5</v>
      </c>
      <c r="G51" s="167"/>
      <c r="H51" s="198" t="s">
        <v>85</v>
      </c>
      <c r="I51" s="199">
        <f t="shared" si="2"/>
        <v>500</v>
      </c>
      <c r="J51" s="442">
        <f t="shared" si="2"/>
        <v>0.047</v>
      </c>
      <c r="K51" s="201">
        <f t="shared" si="2"/>
        <v>23.5</v>
      </c>
      <c r="L51" s="179"/>
      <c r="M51" s="579"/>
      <c r="N51" s="580"/>
    </row>
    <row r="52" spans="1:14" ht="13.5" thickBot="1">
      <c r="A52" s="86"/>
      <c r="B52" s="31"/>
      <c r="C52" s="597"/>
      <c r="D52" s="598"/>
      <c r="E52" s="598"/>
      <c r="F52" s="599"/>
      <c r="G52" s="167"/>
      <c r="H52" s="598"/>
      <c r="I52" s="598"/>
      <c r="J52" s="598"/>
      <c r="K52" s="599"/>
      <c r="L52" s="31"/>
      <c r="M52" s="86"/>
      <c r="N52" s="202"/>
    </row>
    <row r="53" spans="1:14" ht="13.5" thickBot="1">
      <c r="A53" s="94"/>
      <c r="B53" s="148"/>
      <c r="C53" s="203" t="s">
        <v>200</v>
      </c>
      <c r="D53" s="204"/>
      <c r="E53" s="204"/>
      <c r="F53" s="189">
        <f>SUM(F50:F51,F49)</f>
        <v>41.28</v>
      </c>
      <c r="G53" s="206"/>
      <c r="H53" s="604" t="s">
        <v>201</v>
      </c>
      <c r="I53" s="604"/>
      <c r="J53" s="604"/>
      <c r="K53" s="189">
        <f>SUM(K49:K51)</f>
        <v>41.48811743072973</v>
      </c>
      <c r="L53" s="207"/>
      <c r="M53" s="190">
        <f>K53-F53</f>
        <v>0.20811743072972888</v>
      </c>
      <c r="N53" s="191">
        <f>M53/F53</f>
        <v>0.005041604426592269</v>
      </c>
    </row>
    <row r="54" spans="1:14" ht="15">
      <c r="A54" s="47"/>
      <c r="B54" s="12"/>
      <c r="D54" s="10"/>
      <c r="E54" s="10"/>
      <c r="F54" s="209"/>
      <c r="I54" s="10"/>
      <c r="J54" s="10"/>
      <c r="K54" s="210"/>
      <c r="L54" s="12"/>
      <c r="M54" s="12"/>
      <c r="N54" s="211"/>
    </row>
    <row r="55" spans="1:14" ht="13.5" thickBot="1">
      <c r="A55" s="12"/>
      <c r="C55" s="497" t="s">
        <v>242</v>
      </c>
      <c r="D55" s="498"/>
      <c r="E55" s="10"/>
      <c r="F55" s="209"/>
      <c r="I55" s="10"/>
      <c r="J55" s="10"/>
      <c r="K55" s="210"/>
      <c r="L55" s="12"/>
      <c r="M55" s="12"/>
      <c r="N55" s="213"/>
    </row>
    <row r="56" spans="1:14" ht="60.75" thickBot="1">
      <c r="A56" s="168" t="s">
        <v>78</v>
      </c>
      <c r="B56" s="169"/>
      <c r="C56" s="569"/>
      <c r="D56" s="581" t="s">
        <v>12</v>
      </c>
      <c r="E56" s="583" t="s">
        <v>79</v>
      </c>
      <c r="F56" s="585" t="s">
        <v>182</v>
      </c>
      <c r="G56" s="166"/>
      <c r="H56" s="170"/>
      <c r="I56" s="581" t="s">
        <v>12</v>
      </c>
      <c r="J56" s="583" t="s">
        <v>79</v>
      </c>
      <c r="K56" s="585" t="s">
        <v>182</v>
      </c>
      <c r="L56" s="169"/>
      <c r="M56" s="600" t="s">
        <v>181</v>
      </c>
      <c r="N56" s="602" t="s">
        <v>80</v>
      </c>
    </row>
    <row r="57" spans="1:14" ht="13.5" thickBot="1">
      <c r="A57" s="171">
        <v>750</v>
      </c>
      <c r="B57" s="31"/>
      <c r="C57" s="570"/>
      <c r="D57" s="582"/>
      <c r="E57" s="584"/>
      <c r="F57" s="586"/>
      <c r="G57" s="167"/>
      <c r="H57" s="31"/>
      <c r="I57" s="587"/>
      <c r="J57" s="588"/>
      <c r="K57" s="586"/>
      <c r="L57" s="32"/>
      <c r="M57" s="601"/>
      <c r="N57" s="603"/>
    </row>
    <row r="58" spans="1:14" ht="26.25" customHeight="1">
      <c r="A58" s="172"/>
      <c r="B58" s="31"/>
      <c r="C58" s="173" t="s">
        <v>21</v>
      </c>
      <c r="D58" s="174" t="s">
        <v>81</v>
      </c>
      <c r="E58" s="175" t="s">
        <v>81</v>
      </c>
      <c r="F58" s="234">
        <f>F47</f>
        <v>4.08</v>
      </c>
      <c r="G58" s="167"/>
      <c r="H58" s="177" t="s">
        <v>21</v>
      </c>
      <c r="I58" s="208" t="str">
        <f>D58</f>
        <v>N/A</v>
      </c>
      <c r="J58" s="178" t="s">
        <v>81</v>
      </c>
      <c r="K58" s="227">
        <f>$K$25</f>
        <v>3.682510053146183</v>
      </c>
      <c r="L58" s="179"/>
      <c r="M58" s="575"/>
      <c r="N58" s="576"/>
    </row>
    <row r="59" spans="1:14" ht="26.25" customHeight="1" thickBot="1">
      <c r="A59" s="86"/>
      <c r="B59" s="31"/>
      <c r="C59" s="180" t="s">
        <v>82</v>
      </c>
      <c r="D59" s="235">
        <f>A57</f>
        <v>750</v>
      </c>
      <c r="E59" s="182">
        <f>E48</f>
        <v>0.0035</v>
      </c>
      <c r="F59" s="352">
        <f>D59*E59</f>
        <v>2.625</v>
      </c>
      <c r="G59" s="167"/>
      <c r="H59" s="184" t="s">
        <v>82</v>
      </c>
      <c r="I59" s="375">
        <f>D59</f>
        <v>750</v>
      </c>
      <c r="J59" s="228">
        <f>$J$26</f>
        <v>0.004711214755167096</v>
      </c>
      <c r="K59" s="186">
        <f>I59*J59</f>
        <v>3.533411066375322</v>
      </c>
      <c r="L59" s="179"/>
      <c r="M59" s="577"/>
      <c r="N59" s="578"/>
    </row>
    <row r="60" spans="1:14" ht="13.5" thickBot="1">
      <c r="A60" s="86"/>
      <c r="B60" s="31"/>
      <c r="C60" s="605"/>
      <c r="D60" s="607"/>
      <c r="E60" s="187" t="s">
        <v>52</v>
      </c>
      <c r="F60" s="373">
        <f>SUM(F58:F59)</f>
        <v>6.705</v>
      </c>
      <c r="G60" s="167"/>
      <c r="H60" s="595"/>
      <c r="I60" s="596"/>
      <c r="J60" s="187" t="s">
        <v>83</v>
      </c>
      <c r="K60" s="189">
        <f>SUM(K58:K59)</f>
        <v>7.215921119521505</v>
      </c>
      <c r="L60" s="179"/>
      <c r="M60" s="190">
        <f>K60-F60</f>
        <v>0.5109211195215053</v>
      </c>
      <c r="N60" s="191">
        <f>M60/F60</f>
        <v>0.07620001782572786</v>
      </c>
    </row>
    <row r="61" spans="1:14" ht="25.5">
      <c r="A61" s="86"/>
      <c r="B61" s="31"/>
      <c r="C61" s="180" t="s">
        <v>84</v>
      </c>
      <c r="D61" s="181">
        <f>A57</f>
        <v>750</v>
      </c>
      <c r="E61" s="192">
        <v>0.0239</v>
      </c>
      <c r="F61" s="374">
        <f>D61*E61</f>
        <v>17.925</v>
      </c>
      <c r="G61" s="167"/>
      <c r="H61" s="184" t="s">
        <v>84</v>
      </c>
      <c r="I61" s="185">
        <f aca="true" t="shared" si="3" ref="I61:K62">D61</f>
        <v>750</v>
      </c>
      <c r="J61" s="194">
        <f t="shared" si="3"/>
        <v>0.0239</v>
      </c>
      <c r="K61" s="195">
        <f t="shared" si="3"/>
        <v>17.925</v>
      </c>
      <c r="L61" s="179"/>
      <c r="M61" s="575"/>
      <c r="N61" s="576"/>
    </row>
    <row r="62" spans="1:14" ht="26.25" thickBot="1">
      <c r="A62" s="86"/>
      <c r="B62" s="31"/>
      <c r="C62" s="196" t="s">
        <v>85</v>
      </c>
      <c r="D62" s="181">
        <f>A57</f>
        <v>750</v>
      </c>
      <c r="E62" s="197">
        <v>0.047</v>
      </c>
      <c r="F62" s="352">
        <f>D62*E62</f>
        <v>35.25</v>
      </c>
      <c r="G62" s="167"/>
      <c r="H62" s="198" t="s">
        <v>85</v>
      </c>
      <c r="I62" s="199">
        <f t="shared" si="3"/>
        <v>750</v>
      </c>
      <c r="J62" s="200">
        <f t="shared" si="3"/>
        <v>0.047</v>
      </c>
      <c r="K62" s="201">
        <f t="shared" si="3"/>
        <v>35.25</v>
      </c>
      <c r="L62" s="179"/>
      <c r="M62" s="579"/>
      <c r="N62" s="580"/>
    </row>
    <row r="63" spans="1:14" ht="13.5" thickBot="1">
      <c r="A63" s="86"/>
      <c r="B63" s="31"/>
      <c r="C63" s="597"/>
      <c r="D63" s="598"/>
      <c r="E63" s="598"/>
      <c r="F63" s="599"/>
      <c r="G63" s="167"/>
      <c r="H63" s="598"/>
      <c r="I63" s="598"/>
      <c r="J63" s="598"/>
      <c r="K63" s="599"/>
      <c r="L63" s="31"/>
      <c r="M63" s="86"/>
      <c r="N63" s="202"/>
    </row>
    <row r="64" spans="1:14" ht="13.5" thickBot="1">
      <c r="A64" s="94"/>
      <c r="B64" s="148"/>
      <c r="C64" s="203" t="s">
        <v>200</v>
      </c>
      <c r="D64" s="204"/>
      <c r="E64" s="204"/>
      <c r="F64" s="189">
        <f>SUM(F61:F62,F60)</f>
        <v>59.879999999999995</v>
      </c>
      <c r="G64" s="206"/>
      <c r="H64" s="604" t="s">
        <v>201</v>
      </c>
      <c r="I64" s="604"/>
      <c r="J64" s="604"/>
      <c r="K64" s="189">
        <f>SUM(K60:K62)</f>
        <v>60.39092111952151</v>
      </c>
      <c r="L64" s="207"/>
      <c r="M64" s="190">
        <f>K64-F64</f>
        <v>0.5109211195215124</v>
      </c>
      <c r="N64" s="191">
        <f>M64/F64</f>
        <v>0.008532416825676561</v>
      </c>
    </row>
    <row r="65" spans="1:14" ht="10.5" customHeight="1">
      <c r="A65" s="12"/>
      <c r="D65" s="212"/>
      <c r="E65" s="10"/>
      <c r="F65" s="209"/>
      <c r="I65" s="10"/>
      <c r="J65" s="10"/>
      <c r="K65" s="210"/>
      <c r="L65" s="12"/>
      <c r="M65" s="12"/>
      <c r="N65" s="213"/>
    </row>
    <row r="66" spans="1:13" ht="10.5" customHeight="1" thickBot="1">
      <c r="A66" s="214"/>
      <c r="B66" s="31"/>
      <c r="C66" s="133"/>
      <c r="D66" s="30"/>
      <c r="E66" s="30"/>
      <c r="F66" s="215"/>
      <c r="H66" s="133"/>
      <c r="I66" s="30"/>
      <c r="J66" s="30"/>
      <c r="K66" s="216"/>
      <c r="L66" s="216"/>
      <c r="M66" s="216"/>
    </row>
    <row r="67" spans="1:14" ht="60.75" thickBot="1">
      <c r="A67" s="168" t="s">
        <v>78</v>
      </c>
      <c r="B67" s="169"/>
      <c r="C67" s="569"/>
      <c r="D67" s="581" t="s">
        <v>12</v>
      </c>
      <c r="E67" s="583" t="s">
        <v>79</v>
      </c>
      <c r="F67" s="585" t="s">
        <v>182</v>
      </c>
      <c r="G67" s="166"/>
      <c r="H67" s="170"/>
      <c r="I67" s="581" t="s">
        <v>12</v>
      </c>
      <c r="J67" s="583" t="s">
        <v>79</v>
      </c>
      <c r="K67" s="585" t="s">
        <v>182</v>
      </c>
      <c r="L67" s="169"/>
      <c r="M67" s="600" t="s">
        <v>181</v>
      </c>
      <c r="N67" s="602" t="s">
        <v>80</v>
      </c>
    </row>
    <row r="68" spans="1:14" ht="13.5" thickBot="1">
      <c r="A68" s="171">
        <v>1000</v>
      </c>
      <c r="B68" s="31"/>
      <c r="C68" s="570"/>
      <c r="D68" s="582"/>
      <c r="E68" s="584"/>
      <c r="F68" s="586"/>
      <c r="G68" s="167"/>
      <c r="H68" s="31"/>
      <c r="I68" s="587"/>
      <c r="J68" s="588"/>
      <c r="K68" s="586"/>
      <c r="L68" s="32"/>
      <c r="M68" s="601"/>
      <c r="N68" s="603"/>
    </row>
    <row r="69" spans="1:14" ht="26.25" customHeight="1">
      <c r="A69" s="172"/>
      <c r="B69" s="31"/>
      <c r="C69" s="173" t="s">
        <v>21</v>
      </c>
      <c r="D69" s="174" t="s">
        <v>81</v>
      </c>
      <c r="E69" s="175" t="s">
        <v>81</v>
      </c>
      <c r="F69" s="234">
        <f>F58</f>
        <v>4.08</v>
      </c>
      <c r="G69" s="167"/>
      <c r="H69" s="173" t="s">
        <v>21</v>
      </c>
      <c r="I69" s="208" t="str">
        <f>D69</f>
        <v>N/A</v>
      </c>
      <c r="J69" s="178" t="s">
        <v>81</v>
      </c>
      <c r="K69" s="227">
        <f>$K$25</f>
        <v>3.682510053146183</v>
      </c>
      <c r="L69" s="179"/>
      <c r="M69" s="575"/>
      <c r="N69" s="576"/>
    </row>
    <row r="70" spans="1:14" ht="24" customHeight="1" thickBot="1">
      <c r="A70" s="86"/>
      <c r="B70" s="31"/>
      <c r="C70" s="180" t="s">
        <v>82</v>
      </c>
      <c r="D70" s="181">
        <f>A68</f>
        <v>1000</v>
      </c>
      <c r="E70" s="182">
        <f>E59</f>
        <v>0.0035</v>
      </c>
      <c r="F70" s="352">
        <f>D70*E70</f>
        <v>3.5</v>
      </c>
      <c r="G70" s="167"/>
      <c r="H70" s="180" t="s">
        <v>82</v>
      </c>
      <c r="I70" s="185">
        <f>D70</f>
        <v>1000</v>
      </c>
      <c r="J70" s="228">
        <f>$J$26</f>
        <v>0.004711214755167096</v>
      </c>
      <c r="K70" s="186">
        <f>I70*J70</f>
        <v>4.711214755167096</v>
      </c>
      <c r="L70" s="179"/>
      <c r="M70" s="577"/>
      <c r="N70" s="578"/>
    </row>
    <row r="71" spans="1:14" ht="13.5" thickBot="1">
      <c r="A71" s="86"/>
      <c r="B71" s="31"/>
      <c r="C71" s="605"/>
      <c r="D71" s="607"/>
      <c r="E71" s="187" t="s">
        <v>52</v>
      </c>
      <c r="F71" s="373">
        <f>SUM(F69:F70)</f>
        <v>7.58</v>
      </c>
      <c r="G71" s="167"/>
      <c r="H71" s="610"/>
      <c r="I71" s="596"/>
      <c r="J71" s="187" t="s">
        <v>83</v>
      </c>
      <c r="K71" s="189">
        <f>SUM(K69:K70)</f>
        <v>8.39372480831328</v>
      </c>
      <c r="L71" s="179"/>
      <c r="M71" s="190">
        <f>K71-F71</f>
        <v>0.81372480831328</v>
      </c>
      <c r="N71" s="191">
        <f>M71/F71</f>
        <v>0.10735155782497097</v>
      </c>
    </row>
    <row r="72" spans="1:14" ht="25.5">
      <c r="A72" s="86"/>
      <c r="B72" s="31"/>
      <c r="C72" s="180" t="s">
        <v>84</v>
      </c>
      <c r="D72" s="181">
        <f>A68</f>
        <v>1000</v>
      </c>
      <c r="E72" s="192">
        <v>0.0239</v>
      </c>
      <c r="F72" s="374">
        <f>D72*E72</f>
        <v>23.900000000000002</v>
      </c>
      <c r="G72" s="167"/>
      <c r="H72" s="180" t="s">
        <v>84</v>
      </c>
      <c r="I72" s="185">
        <f>D72</f>
        <v>1000</v>
      </c>
      <c r="J72" s="194">
        <f>E72</f>
        <v>0.0239</v>
      </c>
      <c r="K72" s="195">
        <f>F72</f>
        <v>23.900000000000002</v>
      </c>
      <c r="L72" s="179"/>
      <c r="M72" s="575"/>
      <c r="N72" s="576"/>
    </row>
    <row r="73" spans="1:14" ht="25.5">
      <c r="A73" s="86"/>
      <c r="B73" s="31"/>
      <c r="C73" s="196" t="s">
        <v>85</v>
      </c>
      <c r="D73" s="181">
        <v>750</v>
      </c>
      <c r="E73" s="197">
        <v>0.047</v>
      </c>
      <c r="F73" s="352">
        <f>D73*E73</f>
        <v>35.25</v>
      </c>
      <c r="G73" s="167"/>
      <c r="H73" s="196" t="s">
        <v>85</v>
      </c>
      <c r="I73" s="181">
        <f>D73</f>
        <v>750</v>
      </c>
      <c r="J73" s="197">
        <v>0.047</v>
      </c>
      <c r="K73" s="352">
        <f>I73*J73</f>
        <v>35.25</v>
      </c>
      <c r="L73" s="179"/>
      <c r="M73" s="579"/>
      <c r="N73" s="580"/>
    </row>
    <row r="74" spans="1:14" ht="26.25" thickBot="1">
      <c r="A74" s="86"/>
      <c r="B74" s="31"/>
      <c r="C74" s="196" t="s">
        <v>85</v>
      </c>
      <c r="D74" s="235">
        <f>A68-D73</f>
        <v>250</v>
      </c>
      <c r="E74" s="197">
        <v>0.055</v>
      </c>
      <c r="F74" s="352">
        <f>D74*E74</f>
        <v>13.75</v>
      </c>
      <c r="G74" s="167"/>
      <c r="H74" s="353" t="s">
        <v>85</v>
      </c>
      <c r="I74" s="376">
        <f>D74</f>
        <v>250</v>
      </c>
      <c r="J74" s="354">
        <v>0.055</v>
      </c>
      <c r="K74" s="355">
        <f>I74*J74</f>
        <v>13.75</v>
      </c>
      <c r="L74" s="179"/>
      <c r="M74" s="579"/>
      <c r="N74" s="580"/>
    </row>
    <row r="75" spans="1:14" ht="13.5" thickBot="1">
      <c r="A75" s="86"/>
      <c r="B75" s="31"/>
      <c r="C75" s="597"/>
      <c r="D75" s="598"/>
      <c r="E75" s="598"/>
      <c r="F75" s="599"/>
      <c r="G75" s="167"/>
      <c r="H75" s="598"/>
      <c r="I75" s="598"/>
      <c r="J75" s="598"/>
      <c r="K75" s="599"/>
      <c r="L75" s="31"/>
      <c r="M75" s="86"/>
      <c r="N75" s="202"/>
    </row>
    <row r="76" spans="1:14" ht="13.5" thickBot="1">
      <c r="A76" s="94"/>
      <c r="B76" s="148"/>
      <c r="C76" s="203" t="s">
        <v>200</v>
      </c>
      <c r="D76" s="204"/>
      <c r="E76" s="204"/>
      <c r="F76" s="189">
        <f>SUM(F72:F74,F71)</f>
        <v>80.48</v>
      </c>
      <c r="G76" s="206"/>
      <c r="H76" s="604" t="s">
        <v>201</v>
      </c>
      <c r="I76" s="604"/>
      <c r="J76" s="604"/>
      <c r="K76" s="189">
        <f>SUM(K71:K74)</f>
        <v>81.29372480831329</v>
      </c>
      <c r="L76" s="207"/>
      <c r="M76" s="190">
        <f>K76-F76</f>
        <v>0.8137248083132818</v>
      </c>
      <c r="N76" s="191">
        <f>M76/F76</f>
        <v>0.010110894735503003</v>
      </c>
    </row>
    <row r="77" spans="1:14" ht="12.75">
      <c r="A77" s="12"/>
      <c r="D77" s="212"/>
      <c r="E77" s="10"/>
      <c r="F77" s="209"/>
      <c r="I77" s="10"/>
      <c r="J77" s="10"/>
      <c r="K77" s="210"/>
      <c r="L77" s="12"/>
      <c r="M77" s="12"/>
      <c r="N77" s="213"/>
    </row>
    <row r="78" spans="1:13" ht="15.75" thickBot="1">
      <c r="A78" s="214"/>
      <c r="B78" s="31"/>
      <c r="C78" s="133"/>
      <c r="D78" s="30"/>
      <c r="E78" s="30"/>
      <c r="F78" s="215"/>
      <c r="H78" s="133"/>
      <c r="I78" s="30"/>
      <c r="J78" s="30"/>
      <c r="K78" s="216"/>
      <c r="L78" s="216"/>
      <c r="M78" s="216"/>
    </row>
    <row r="79" spans="1:14" ht="60.75" thickBot="1">
      <c r="A79" s="168" t="s">
        <v>78</v>
      </c>
      <c r="B79" s="169"/>
      <c r="C79" s="569"/>
      <c r="D79" s="581" t="s">
        <v>12</v>
      </c>
      <c r="E79" s="583" t="s">
        <v>79</v>
      </c>
      <c r="F79" s="585" t="s">
        <v>182</v>
      </c>
      <c r="G79" s="166"/>
      <c r="H79" s="170"/>
      <c r="I79" s="581" t="s">
        <v>12</v>
      </c>
      <c r="J79" s="583" t="s">
        <v>79</v>
      </c>
      <c r="K79" s="585" t="s">
        <v>182</v>
      </c>
      <c r="L79" s="169"/>
      <c r="M79" s="600" t="s">
        <v>181</v>
      </c>
      <c r="N79" s="602" t="s">
        <v>80</v>
      </c>
    </row>
    <row r="80" spans="1:14" ht="13.5" thickBot="1">
      <c r="A80" s="171">
        <v>1500</v>
      </c>
      <c r="B80" s="31"/>
      <c r="C80" s="570"/>
      <c r="D80" s="582"/>
      <c r="E80" s="584"/>
      <c r="F80" s="586"/>
      <c r="G80" s="167"/>
      <c r="H80" s="31"/>
      <c r="I80" s="587"/>
      <c r="J80" s="588"/>
      <c r="K80" s="586"/>
      <c r="L80" s="32"/>
      <c r="M80" s="601"/>
      <c r="N80" s="603"/>
    </row>
    <row r="81" spans="1:14" ht="27.75" customHeight="1">
      <c r="A81" s="172"/>
      <c r="B81" s="31"/>
      <c r="C81" s="173" t="s">
        <v>21</v>
      </c>
      <c r="D81" s="174" t="s">
        <v>81</v>
      </c>
      <c r="E81" s="175" t="s">
        <v>81</v>
      </c>
      <c r="F81" s="234">
        <f>F69</f>
        <v>4.08</v>
      </c>
      <c r="G81" s="167"/>
      <c r="H81" s="177" t="s">
        <v>21</v>
      </c>
      <c r="I81" s="208" t="str">
        <f>D81</f>
        <v>N/A</v>
      </c>
      <c r="J81" s="178" t="s">
        <v>81</v>
      </c>
      <c r="K81" s="227">
        <f>$K$25</f>
        <v>3.682510053146183</v>
      </c>
      <c r="L81" s="179"/>
      <c r="M81" s="575"/>
      <c r="N81" s="576"/>
    </row>
    <row r="82" spans="1:14" ht="25.5" customHeight="1" thickBot="1">
      <c r="A82" s="86"/>
      <c r="B82" s="31"/>
      <c r="C82" s="180" t="s">
        <v>82</v>
      </c>
      <c r="D82" s="181">
        <f>A80</f>
        <v>1500</v>
      </c>
      <c r="E82" s="182">
        <f>E70</f>
        <v>0.0035</v>
      </c>
      <c r="F82" s="352">
        <f>D82*E82</f>
        <v>5.25</v>
      </c>
      <c r="G82" s="167"/>
      <c r="H82" s="184" t="s">
        <v>82</v>
      </c>
      <c r="I82" s="185">
        <f>D82</f>
        <v>1500</v>
      </c>
      <c r="J82" s="228">
        <f>$J$26</f>
        <v>0.004711214755167096</v>
      </c>
      <c r="K82" s="186">
        <f>I82*J82</f>
        <v>7.066822132750644</v>
      </c>
      <c r="L82" s="179"/>
      <c r="M82" s="577"/>
      <c r="N82" s="578"/>
    </row>
    <row r="83" spans="1:14" ht="13.5" thickBot="1">
      <c r="A83" s="86"/>
      <c r="B83" s="31"/>
      <c r="C83" s="605"/>
      <c r="D83" s="607"/>
      <c r="E83" s="187" t="s">
        <v>52</v>
      </c>
      <c r="F83" s="373">
        <f>SUM(F81:F82)</f>
        <v>9.33</v>
      </c>
      <c r="G83" s="167"/>
      <c r="H83" s="595"/>
      <c r="I83" s="596"/>
      <c r="J83" s="187" t="s">
        <v>83</v>
      </c>
      <c r="K83" s="189">
        <f>SUM(K81:K82)</f>
        <v>10.749332185896828</v>
      </c>
      <c r="L83" s="179"/>
      <c r="M83" s="190">
        <f>K83-F83</f>
        <v>1.4193321858968275</v>
      </c>
      <c r="N83" s="191">
        <f>M83/F83</f>
        <v>0.15212563621616587</v>
      </c>
    </row>
    <row r="84" spans="1:14" ht="25.5">
      <c r="A84" s="86"/>
      <c r="B84" s="31"/>
      <c r="C84" s="180" t="s">
        <v>84</v>
      </c>
      <c r="D84" s="181">
        <f>A80</f>
        <v>1500</v>
      </c>
      <c r="E84" s="192">
        <v>0.0239</v>
      </c>
      <c r="F84" s="374">
        <f>D84*E84</f>
        <v>35.85</v>
      </c>
      <c r="G84" s="167"/>
      <c r="H84" s="184" t="s">
        <v>84</v>
      </c>
      <c r="I84" s="185">
        <f>D84</f>
        <v>1500</v>
      </c>
      <c r="J84" s="194">
        <f>E84</f>
        <v>0.0239</v>
      </c>
      <c r="K84" s="195">
        <f>F84</f>
        <v>35.85</v>
      </c>
      <c r="L84" s="179"/>
      <c r="M84" s="575"/>
      <c r="N84" s="576"/>
    </row>
    <row r="85" spans="1:14" ht="25.5">
      <c r="A85" s="86"/>
      <c r="B85" s="31"/>
      <c r="C85" s="196" t="s">
        <v>85</v>
      </c>
      <c r="D85" s="181">
        <v>750</v>
      </c>
      <c r="E85" s="197">
        <v>0.047</v>
      </c>
      <c r="F85" s="352">
        <f>D85*E85</f>
        <v>35.25</v>
      </c>
      <c r="G85" s="167"/>
      <c r="H85" s="196" t="s">
        <v>85</v>
      </c>
      <c r="I85" s="185">
        <f>D85</f>
        <v>750</v>
      </c>
      <c r="J85" s="197">
        <v>0.047</v>
      </c>
      <c r="K85" s="352">
        <f>I85*J85</f>
        <v>35.25</v>
      </c>
      <c r="L85" s="179"/>
      <c r="M85" s="579"/>
      <c r="N85" s="580"/>
    </row>
    <row r="86" spans="1:14" ht="26.25" thickBot="1">
      <c r="A86" s="86"/>
      <c r="B86" s="31"/>
      <c r="C86" s="196" t="s">
        <v>85</v>
      </c>
      <c r="D86" s="235">
        <f>A80-D85</f>
        <v>750</v>
      </c>
      <c r="E86" s="197">
        <v>0.055</v>
      </c>
      <c r="F86" s="352">
        <f>D86*E86</f>
        <v>41.25</v>
      </c>
      <c r="G86" s="167"/>
      <c r="H86" s="353" t="s">
        <v>85</v>
      </c>
      <c r="I86" s="376">
        <f>D86</f>
        <v>750</v>
      </c>
      <c r="J86" s="354">
        <v>0.055</v>
      </c>
      <c r="K86" s="355">
        <f>I86*J86</f>
        <v>41.25</v>
      </c>
      <c r="L86" s="179"/>
      <c r="M86" s="579"/>
      <c r="N86" s="580"/>
    </row>
    <row r="87" spans="1:14" ht="13.5" thickBot="1">
      <c r="A87" s="86"/>
      <c r="B87" s="31"/>
      <c r="C87" s="597"/>
      <c r="D87" s="598"/>
      <c r="E87" s="598"/>
      <c r="F87" s="599"/>
      <c r="G87" s="167"/>
      <c r="H87" s="598"/>
      <c r="I87" s="598"/>
      <c r="J87" s="598"/>
      <c r="K87" s="599"/>
      <c r="L87" s="31"/>
      <c r="M87" s="86"/>
      <c r="N87" s="202"/>
    </row>
    <row r="88" spans="1:14" ht="13.5" thickBot="1">
      <c r="A88" s="94"/>
      <c r="B88" s="148"/>
      <c r="C88" s="203" t="s">
        <v>200</v>
      </c>
      <c r="D88" s="204"/>
      <c r="E88" s="204"/>
      <c r="F88" s="189">
        <f>SUM(F84:F86,F83)</f>
        <v>121.67999999999999</v>
      </c>
      <c r="G88" s="206"/>
      <c r="H88" s="604" t="s">
        <v>201</v>
      </c>
      <c r="I88" s="604"/>
      <c r="J88" s="604"/>
      <c r="K88" s="189">
        <f>SUM(K83:K86)</f>
        <v>123.09933218589683</v>
      </c>
      <c r="L88" s="207"/>
      <c r="M88" s="190">
        <f>K88-F88</f>
        <v>1.4193321858968346</v>
      </c>
      <c r="N88" s="191">
        <f>M88/F88</f>
        <v>0.011664465696062087</v>
      </c>
    </row>
    <row r="89" spans="1:14" ht="9" customHeight="1">
      <c r="A89" s="12"/>
      <c r="D89" s="212"/>
      <c r="E89" s="10"/>
      <c r="F89" s="209"/>
      <c r="I89" s="10"/>
      <c r="J89" s="10"/>
      <c r="K89" s="210"/>
      <c r="L89" s="12"/>
      <c r="M89" s="12"/>
      <c r="N89" s="213"/>
    </row>
    <row r="90" spans="1:13" ht="9" customHeight="1" thickBot="1">
      <c r="A90" s="214"/>
      <c r="B90" s="31"/>
      <c r="C90" s="133"/>
      <c r="D90" s="30"/>
      <c r="E90" s="30"/>
      <c r="F90" s="215"/>
      <c r="H90" s="133"/>
      <c r="I90" s="30"/>
      <c r="J90" s="30"/>
      <c r="K90" s="216"/>
      <c r="L90" s="216"/>
      <c r="M90" s="216"/>
    </row>
    <row r="91" spans="1:14" ht="60.75" thickBot="1">
      <c r="A91" s="168" t="s">
        <v>78</v>
      </c>
      <c r="B91" s="169"/>
      <c r="C91" s="569"/>
      <c r="D91" s="581" t="s">
        <v>12</v>
      </c>
      <c r="E91" s="583" t="s">
        <v>79</v>
      </c>
      <c r="F91" s="585" t="s">
        <v>182</v>
      </c>
      <c r="G91" s="166"/>
      <c r="H91" s="170"/>
      <c r="I91" s="581" t="s">
        <v>12</v>
      </c>
      <c r="J91" s="583" t="s">
        <v>79</v>
      </c>
      <c r="K91" s="585" t="s">
        <v>182</v>
      </c>
      <c r="L91" s="169"/>
      <c r="M91" s="600" t="s">
        <v>181</v>
      </c>
      <c r="N91" s="602" t="s">
        <v>80</v>
      </c>
    </row>
    <row r="92" spans="1:14" ht="13.5" thickBot="1">
      <c r="A92" s="171">
        <v>2000</v>
      </c>
      <c r="B92" s="31"/>
      <c r="C92" s="570"/>
      <c r="D92" s="582"/>
      <c r="E92" s="584"/>
      <c r="F92" s="586"/>
      <c r="G92" s="167"/>
      <c r="H92" s="31"/>
      <c r="I92" s="587"/>
      <c r="J92" s="588"/>
      <c r="K92" s="586"/>
      <c r="L92" s="32"/>
      <c r="M92" s="601"/>
      <c r="N92" s="603"/>
    </row>
    <row r="93" spans="1:14" ht="27" customHeight="1">
      <c r="A93" s="172"/>
      <c r="B93" s="31"/>
      <c r="C93" s="173" t="s">
        <v>21</v>
      </c>
      <c r="D93" s="174" t="s">
        <v>81</v>
      </c>
      <c r="E93" s="175" t="s">
        <v>81</v>
      </c>
      <c r="F93" s="234">
        <f>F81</f>
        <v>4.08</v>
      </c>
      <c r="G93" s="167"/>
      <c r="H93" s="177" t="s">
        <v>21</v>
      </c>
      <c r="I93" s="208" t="str">
        <f>D93</f>
        <v>N/A</v>
      </c>
      <c r="J93" s="178" t="s">
        <v>81</v>
      </c>
      <c r="K93" s="227">
        <f>$K$25</f>
        <v>3.682510053146183</v>
      </c>
      <c r="L93" s="179"/>
      <c r="M93" s="575"/>
      <c r="N93" s="576"/>
    </row>
    <row r="94" spans="1:14" ht="29.25" customHeight="1" thickBot="1">
      <c r="A94" s="86"/>
      <c r="B94" s="31"/>
      <c r="C94" s="180" t="s">
        <v>82</v>
      </c>
      <c r="D94" s="181">
        <f>A92</f>
        <v>2000</v>
      </c>
      <c r="E94" s="182">
        <f>E82</f>
        <v>0.0035</v>
      </c>
      <c r="F94" s="352">
        <f>D94*E94</f>
        <v>7</v>
      </c>
      <c r="G94" s="167"/>
      <c r="H94" s="184" t="s">
        <v>82</v>
      </c>
      <c r="I94" s="185">
        <f>D94</f>
        <v>2000</v>
      </c>
      <c r="J94" s="228">
        <f>$J$26</f>
        <v>0.004711214755167096</v>
      </c>
      <c r="K94" s="186">
        <f>I94*J94</f>
        <v>9.422429510334192</v>
      </c>
      <c r="L94" s="179"/>
      <c r="M94" s="577"/>
      <c r="N94" s="578"/>
    </row>
    <row r="95" spans="1:14" ht="13.5" customHeight="1" thickBot="1">
      <c r="A95" s="86"/>
      <c r="B95" s="31"/>
      <c r="C95" s="605"/>
      <c r="D95" s="607"/>
      <c r="E95" s="187" t="s">
        <v>52</v>
      </c>
      <c r="F95" s="373">
        <f>SUM(F93:F94)</f>
        <v>11.08</v>
      </c>
      <c r="G95" s="167"/>
      <c r="H95" s="595"/>
      <c r="I95" s="596"/>
      <c r="J95" s="187" t="s">
        <v>83</v>
      </c>
      <c r="K95" s="189">
        <f>SUM(K93:K94)</f>
        <v>13.104939563480375</v>
      </c>
      <c r="L95" s="179"/>
      <c r="M95" s="190">
        <f>K95-F95</f>
        <v>2.024939563480375</v>
      </c>
      <c r="N95" s="191">
        <f>M95/F95</f>
        <v>0.1827562782924526</v>
      </c>
    </row>
    <row r="96" spans="1:14" ht="25.5">
      <c r="A96" s="86"/>
      <c r="B96" s="31"/>
      <c r="C96" s="180" t="s">
        <v>84</v>
      </c>
      <c r="D96" s="181">
        <f>A92</f>
        <v>2000</v>
      </c>
      <c r="E96" s="192">
        <v>0.0239</v>
      </c>
      <c r="F96" s="374">
        <f>D96*E96</f>
        <v>47.800000000000004</v>
      </c>
      <c r="G96" s="167"/>
      <c r="H96" s="184" t="s">
        <v>84</v>
      </c>
      <c r="I96" s="185">
        <f>D96</f>
        <v>2000</v>
      </c>
      <c r="J96" s="194">
        <f>E96</f>
        <v>0.0239</v>
      </c>
      <c r="K96" s="195">
        <f>F96</f>
        <v>47.800000000000004</v>
      </c>
      <c r="L96" s="179"/>
      <c r="M96" s="575"/>
      <c r="N96" s="576"/>
    </row>
    <row r="97" spans="1:14" ht="25.5">
      <c r="A97" s="86"/>
      <c r="B97" s="31"/>
      <c r="C97" s="196" t="s">
        <v>85</v>
      </c>
      <c r="D97" s="181">
        <v>750</v>
      </c>
      <c r="E97" s="197">
        <v>0.047</v>
      </c>
      <c r="F97" s="352">
        <f>D97*E97</f>
        <v>35.25</v>
      </c>
      <c r="G97" s="167"/>
      <c r="H97" s="196" t="s">
        <v>85</v>
      </c>
      <c r="I97" s="185">
        <f>D97</f>
        <v>750</v>
      </c>
      <c r="J97" s="197">
        <v>0.047</v>
      </c>
      <c r="K97" s="352">
        <f>I97*J97</f>
        <v>35.25</v>
      </c>
      <c r="L97" s="179"/>
      <c r="M97" s="579"/>
      <c r="N97" s="580"/>
    </row>
    <row r="98" spans="1:14" ht="26.25" thickBot="1">
      <c r="A98" s="86"/>
      <c r="B98" s="31"/>
      <c r="C98" s="196" t="s">
        <v>85</v>
      </c>
      <c r="D98" s="235">
        <f>A92-D97</f>
        <v>1250</v>
      </c>
      <c r="E98" s="197">
        <v>0.055</v>
      </c>
      <c r="F98" s="352">
        <f>D98*E98</f>
        <v>68.75</v>
      </c>
      <c r="G98" s="167"/>
      <c r="H98" s="353" t="s">
        <v>85</v>
      </c>
      <c r="I98" s="376">
        <f>D98</f>
        <v>1250</v>
      </c>
      <c r="J98" s="354">
        <v>0.055</v>
      </c>
      <c r="K98" s="355">
        <f>I98*J98</f>
        <v>68.75</v>
      </c>
      <c r="L98" s="179"/>
      <c r="M98" s="579"/>
      <c r="N98" s="580"/>
    </row>
    <row r="99" spans="1:14" ht="13.5" thickBot="1">
      <c r="A99" s="86"/>
      <c r="B99" s="31"/>
      <c r="C99" s="597"/>
      <c r="D99" s="598"/>
      <c r="E99" s="598"/>
      <c r="F99" s="599"/>
      <c r="G99" s="167"/>
      <c r="H99" s="598"/>
      <c r="I99" s="598"/>
      <c r="J99" s="598"/>
      <c r="K99" s="599"/>
      <c r="L99" s="31"/>
      <c r="M99" s="86"/>
      <c r="N99" s="202"/>
    </row>
    <row r="100" spans="1:14" ht="13.5" thickBot="1">
      <c r="A100" s="94"/>
      <c r="B100" s="148"/>
      <c r="C100" s="203" t="s">
        <v>200</v>
      </c>
      <c r="D100" s="204"/>
      <c r="E100" s="204"/>
      <c r="F100" s="189">
        <f>SUM(F96:F98,F95)</f>
        <v>162.88000000000002</v>
      </c>
      <c r="G100" s="206"/>
      <c r="H100" s="604" t="s">
        <v>201</v>
      </c>
      <c r="I100" s="604"/>
      <c r="J100" s="604"/>
      <c r="K100" s="189">
        <f>SUM(K95:K98)</f>
        <v>164.90493956348038</v>
      </c>
      <c r="L100" s="207"/>
      <c r="M100" s="190">
        <f>K100-F100</f>
        <v>2.024939563480359</v>
      </c>
      <c r="N100" s="191">
        <f>M100/F100</f>
        <v>0.01243209456950122</v>
      </c>
    </row>
    <row r="101" spans="3:14" ht="12.75">
      <c r="C101" s="32"/>
      <c r="D101" s="32"/>
      <c r="E101" s="32"/>
      <c r="F101" s="217"/>
      <c r="G101" s="31"/>
      <c r="H101" s="218"/>
      <c r="I101" s="218"/>
      <c r="J101" s="218"/>
      <c r="K101" s="217"/>
      <c r="L101" s="216"/>
      <c r="M101" s="217"/>
      <c r="N101" s="219"/>
    </row>
    <row r="102" spans="3:14" ht="12.75">
      <c r="C102" s="32"/>
      <c r="D102" s="32"/>
      <c r="E102" s="32"/>
      <c r="F102" s="217"/>
      <c r="G102" s="31"/>
      <c r="H102" s="218"/>
      <c r="I102" s="218"/>
      <c r="J102" s="218"/>
      <c r="K102" s="217"/>
      <c r="L102" s="216"/>
      <c r="M102" s="217"/>
      <c r="N102" s="219"/>
    </row>
    <row r="103" spans="3:11" ht="18.75" customHeight="1">
      <c r="C103" s="497" t="s">
        <v>243</v>
      </c>
      <c r="D103" s="484"/>
      <c r="E103" s="160"/>
      <c r="F103" s="160"/>
      <c r="G103" s="31"/>
      <c r="K103" s="161"/>
    </row>
    <row r="104" spans="5:11" ht="9" customHeight="1" thickBot="1">
      <c r="E104" s="160"/>
      <c r="F104" s="160"/>
      <c r="G104" s="31"/>
      <c r="K104" s="161"/>
    </row>
    <row r="105" spans="1:14" ht="15.75" customHeight="1">
      <c r="A105" s="47"/>
      <c r="C105" s="589" t="s">
        <v>95</v>
      </c>
      <c r="D105" s="590"/>
      <c r="E105" s="590"/>
      <c r="F105" s="591"/>
      <c r="G105" s="166"/>
      <c r="H105" s="589" t="s">
        <v>96</v>
      </c>
      <c r="I105" s="590"/>
      <c r="J105" s="590"/>
      <c r="K105" s="590"/>
      <c r="L105" s="590"/>
      <c r="M105" s="590"/>
      <c r="N105" s="591"/>
    </row>
    <row r="106" spans="1:15" ht="13.5" customHeight="1" thickBot="1">
      <c r="A106"/>
      <c r="C106" s="592"/>
      <c r="D106" s="593"/>
      <c r="E106" s="593"/>
      <c r="F106" s="594"/>
      <c r="G106" s="167"/>
      <c r="H106" s="592"/>
      <c r="I106" s="593"/>
      <c r="J106" s="593"/>
      <c r="K106" s="593"/>
      <c r="L106" s="593"/>
      <c r="M106" s="593"/>
      <c r="N106" s="594"/>
      <c r="O106" s="31"/>
    </row>
    <row r="107" spans="1:14" ht="48.75" customHeight="1" thickBot="1">
      <c r="A107" s="168" t="s">
        <v>78</v>
      </c>
      <c r="B107" s="169"/>
      <c r="C107" s="569"/>
      <c r="D107" s="581" t="s">
        <v>12</v>
      </c>
      <c r="E107" s="583" t="s">
        <v>79</v>
      </c>
      <c r="F107" s="585" t="s">
        <v>182</v>
      </c>
      <c r="G107" s="166"/>
      <c r="H107" s="170"/>
      <c r="I107" s="581" t="s">
        <v>12</v>
      </c>
      <c r="J107" s="583" t="s">
        <v>79</v>
      </c>
      <c r="K107" s="585" t="s">
        <v>182</v>
      </c>
      <c r="L107" s="169"/>
      <c r="M107" s="600" t="s">
        <v>181</v>
      </c>
      <c r="N107" s="602" t="s">
        <v>80</v>
      </c>
    </row>
    <row r="108" spans="1:14" ht="13.5" thickBot="1">
      <c r="A108" s="171">
        <v>100</v>
      </c>
      <c r="B108" s="31"/>
      <c r="C108" s="570"/>
      <c r="D108" s="582"/>
      <c r="E108" s="584"/>
      <c r="F108" s="586"/>
      <c r="G108" s="167"/>
      <c r="H108" s="31"/>
      <c r="I108" s="587"/>
      <c r="J108" s="588"/>
      <c r="K108" s="586"/>
      <c r="L108" s="32"/>
      <c r="M108" s="601"/>
      <c r="N108" s="603"/>
    </row>
    <row r="109" spans="1:14" ht="25.5">
      <c r="A109" s="172"/>
      <c r="B109" s="31"/>
      <c r="C109" s="449" t="s">
        <v>21</v>
      </c>
      <c r="D109" s="174" t="s">
        <v>81</v>
      </c>
      <c r="E109" s="175" t="s">
        <v>81</v>
      </c>
      <c r="F109" s="234">
        <f>+'12. Current Rates'!D27</f>
        <v>14.56</v>
      </c>
      <c r="G109" s="167"/>
      <c r="H109" s="452" t="s">
        <v>21</v>
      </c>
      <c r="I109" s="174" t="s">
        <v>81</v>
      </c>
      <c r="J109" s="174" t="s">
        <v>81</v>
      </c>
      <c r="K109" s="234">
        <f>+'11. 2005 Final Rate Schedule '!F91</f>
        <v>13.86921420074977</v>
      </c>
      <c r="L109" s="179"/>
      <c r="M109" s="575"/>
      <c r="N109" s="576"/>
    </row>
    <row r="110" spans="1:14" ht="26.25" thickBot="1">
      <c r="A110" s="86"/>
      <c r="B110" s="31"/>
      <c r="C110" s="450" t="s">
        <v>82</v>
      </c>
      <c r="D110" s="235">
        <f>A108</f>
        <v>100</v>
      </c>
      <c r="E110" s="438">
        <f>+'12. Current Rates'!D25</f>
        <v>0.0112</v>
      </c>
      <c r="F110" s="352">
        <f>D110*E110</f>
        <v>1.1199999999999999</v>
      </c>
      <c r="G110" s="167"/>
      <c r="H110" s="453" t="s">
        <v>82</v>
      </c>
      <c r="I110" s="181">
        <f>D110</f>
        <v>100</v>
      </c>
      <c r="J110" s="444">
        <f>+'11. 2005 Final Rate Schedule '!F92</f>
        <v>0.015756419285195094</v>
      </c>
      <c r="K110" s="237">
        <f>I110*J110</f>
        <v>1.5756419285195093</v>
      </c>
      <c r="L110" s="179"/>
      <c r="M110" s="577"/>
      <c r="N110" s="578"/>
    </row>
    <row r="111" spans="1:14" ht="13.5" thickBot="1">
      <c r="A111" s="86"/>
      <c r="B111" s="31"/>
      <c r="C111" s="567"/>
      <c r="D111" s="568"/>
      <c r="E111" s="187" t="s">
        <v>52</v>
      </c>
      <c r="F111" s="373">
        <f>SUM(F109:F110)</f>
        <v>15.68</v>
      </c>
      <c r="G111" s="167"/>
      <c r="H111" s="595"/>
      <c r="I111" s="596"/>
      <c r="J111" s="187" t="s">
        <v>83</v>
      </c>
      <c r="K111" s="189">
        <f>SUM(K109:K110)</f>
        <v>15.44485612926928</v>
      </c>
      <c r="L111" s="179"/>
      <c r="M111" s="190">
        <f>K111-F111</f>
        <v>-0.2351438707307203</v>
      </c>
      <c r="N111" s="191">
        <f>M111/F111</f>
        <v>-0.014996420327214304</v>
      </c>
    </row>
    <row r="112" spans="1:14" ht="27" customHeight="1">
      <c r="A112" s="86"/>
      <c r="B112" s="31"/>
      <c r="C112" s="450" t="s">
        <v>84</v>
      </c>
      <c r="D112" s="181">
        <f>A108</f>
        <v>100</v>
      </c>
      <c r="E112" s="439">
        <v>0.0239</v>
      </c>
      <c r="F112" s="374">
        <f>D112*E112</f>
        <v>2.39</v>
      </c>
      <c r="G112" s="167"/>
      <c r="H112" s="453" t="s">
        <v>84</v>
      </c>
      <c r="I112" s="181">
        <f aca="true" t="shared" si="4" ref="I112:K113">D112</f>
        <v>100</v>
      </c>
      <c r="J112" s="445">
        <f t="shared" si="4"/>
        <v>0.0239</v>
      </c>
      <c r="K112" s="239">
        <f t="shared" si="4"/>
        <v>2.39</v>
      </c>
      <c r="L112" s="179"/>
      <c r="M112" s="575"/>
      <c r="N112" s="576"/>
    </row>
    <row r="113" spans="1:14" ht="25.5" customHeight="1" thickBot="1">
      <c r="A113" s="86"/>
      <c r="B113" s="31"/>
      <c r="C113" s="451" t="s">
        <v>85</v>
      </c>
      <c r="D113" s="181">
        <f>A108</f>
        <v>100</v>
      </c>
      <c r="E113" s="440">
        <v>0.047</v>
      </c>
      <c r="F113" s="352">
        <f>D113*E113</f>
        <v>4.7</v>
      </c>
      <c r="G113" s="167"/>
      <c r="H113" s="454" t="s">
        <v>85</v>
      </c>
      <c r="I113" s="446">
        <f t="shared" si="4"/>
        <v>100</v>
      </c>
      <c r="J113" s="447">
        <f t="shared" si="4"/>
        <v>0.047</v>
      </c>
      <c r="K113" s="243">
        <f t="shared" si="4"/>
        <v>4.7</v>
      </c>
      <c r="L113" s="179"/>
      <c r="M113" s="579"/>
      <c r="N113" s="580"/>
    </row>
    <row r="114" spans="1:14" ht="7.5" customHeight="1" thickBot="1">
      <c r="A114" s="86"/>
      <c r="B114" s="31"/>
      <c r="C114" s="597"/>
      <c r="D114" s="598"/>
      <c r="E114" s="598"/>
      <c r="F114" s="599"/>
      <c r="G114" s="167"/>
      <c r="H114" s="598"/>
      <c r="I114" s="598"/>
      <c r="J114" s="598"/>
      <c r="K114" s="599"/>
      <c r="L114" s="31"/>
      <c r="M114" s="86"/>
      <c r="N114" s="202"/>
    </row>
    <row r="115" spans="1:14" ht="13.5" thickBot="1">
      <c r="A115" s="94"/>
      <c r="B115" s="148"/>
      <c r="C115" s="203" t="s">
        <v>200</v>
      </c>
      <c r="D115" s="204"/>
      <c r="E115" s="204"/>
      <c r="F115" s="189">
        <f>SUM(F112:F113,F111)</f>
        <v>22.77</v>
      </c>
      <c r="G115" s="206"/>
      <c r="H115" s="604" t="s">
        <v>201</v>
      </c>
      <c r="I115" s="604"/>
      <c r="J115" s="604"/>
      <c r="K115" s="189">
        <f>SUM(K111:K113)</f>
        <v>22.53485612926928</v>
      </c>
      <c r="L115" s="207"/>
      <c r="M115" s="190">
        <f>K115-F115</f>
        <v>-0.2351438707307203</v>
      </c>
      <c r="N115" s="191">
        <f>M115/F115</f>
        <v>-0.010326915710615735</v>
      </c>
    </row>
    <row r="116" ht="12.75">
      <c r="K116" s="161"/>
    </row>
    <row r="117" spans="6:11" ht="13.5" thickBot="1">
      <c r="F117" s="161"/>
      <c r="K117" s="161"/>
    </row>
    <row r="118" spans="1:14" ht="60.75" thickBot="1">
      <c r="A118" s="168" t="s">
        <v>78</v>
      </c>
      <c r="B118" s="169"/>
      <c r="C118" s="569"/>
      <c r="D118" s="581" t="s">
        <v>12</v>
      </c>
      <c r="E118" s="583" t="s">
        <v>79</v>
      </c>
      <c r="F118" s="585" t="s">
        <v>182</v>
      </c>
      <c r="G118" s="166"/>
      <c r="H118" s="170"/>
      <c r="I118" s="581" t="s">
        <v>12</v>
      </c>
      <c r="J118" s="583" t="s">
        <v>79</v>
      </c>
      <c r="K118" s="585" t="s">
        <v>182</v>
      </c>
      <c r="L118" s="169"/>
      <c r="M118" s="600" t="s">
        <v>181</v>
      </c>
      <c r="N118" s="602" t="s">
        <v>80</v>
      </c>
    </row>
    <row r="119" spans="1:14" ht="13.5" thickBot="1">
      <c r="A119" s="171">
        <v>250</v>
      </c>
      <c r="B119" s="31"/>
      <c r="C119" s="570"/>
      <c r="D119" s="582"/>
      <c r="E119" s="584"/>
      <c r="F119" s="586"/>
      <c r="G119" s="167"/>
      <c r="H119" s="31"/>
      <c r="I119" s="587"/>
      <c r="J119" s="588"/>
      <c r="K119" s="586"/>
      <c r="L119" s="32"/>
      <c r="M119" s="601"/>
      <c r="N119" s="603"/>
    </row>
    <row r="120" spans="1:14" ht="25.5">
      <c r="A120" s="172"/>
      <c r="B120" s="31"/>
      <c r="C120" s="173" t="s">
        <v>21</v>
      </c>
      <c r="D120" s="174" t="s">
        <v>81</v>
      </c>
      <c r="E120" s="175" t="s">
        <v>81</v>
      </c>
      <c r="F120" s="234">
        <f>F109</f>
        <v>14.56</v>
      </c>
      <c r="G120" s="167"/>
      <c r="H120" s="177" t="s">
        <v>21</v>
      </c>
      <c r="I120" s="208" t="str">
        <f>D120</f>
        <v>N/A</v>
      </c>
      <c r="J120" s="178" t="s">
        <v>81</v>
      </c>
      <c r="K120" s="227">
        <f>+K109</f>
        <v>13.86921420074977</v>
      </c>
      <c r="L120" s="179"/>
      <c r="M120" s="575"/>
      <c r="N120" s="576"/>
    </row>
    <row r="121" spans="1:14" ht="26.25" thickBot="1">
      <c r="A121" s="86"/>
      <c r="B121" s="31"/>
      <c r="C121" s="180" t="s">
        <v>82</v>
      </c>
      <c r="D121" s="235">
        <f>A119</f>
        <v>250</v>
      </c>
      <c r="E121" s="182">
        <f>E110</f>
        <v>0.0112</v>
      </c>
      <c r="F121" s="352">
        <f>D121*E121</f>
        <v>2.8</v>
      </c>
      <c r="G121" s="167"/>
      <c r="H121" s="184" t="s">
        <v>82</v>
      </c>
      <c r="I121" s="185">
        <f>D121</f>
        <v>250</v>
      </c>
      <c r="J121" s="443">
        <f>+J110</f>
        <v>0.015756419285195094</v>
      </c>
      <c r="K121" s="186">
        <f>I121*J121</f>
        <v>3.9391048212987734</v>
      </c>
      <c r="L121" s="179"/>
      <c r="M121" s="577"/>
      <c r="N121" s="578"/>
    </row>
    <row r="122" spans="1:14" ht="24.75" customHeight="1" thickBot="1">
      <c r="A122" s="86"/>
      <c r="B122" s="31"/>
      <c r="C122" s="605"/>
      <c r="D122" s="607"/>
      <c r="E122" s="187" t="s">
        <v>52</v>
      </c>
      <c r="F122" s="373">
        <f>SUM(F120:F121)</f>
        <v>17.36</v>
      </c>
      <c r="G122" s="167"/>
      <c r="H122" s="595"/>
      <c r="I122" s="596"/>
      <c r="J122" s="187" t="s">
        <v>83</v>
      </c>
      <c r="K122" s="189">
        <f>SUM(K120:K121)</f>
        <v>17.808319022048543</v>
      </c>
      <c r="L122" s="179"/>
      <c r="M122" s="190">
        <f>K122-F122</f>
        <v>0.448319022048544</v>
      </c>
      <c r="N122" s="191">
        <f>M122/F122</f>
        <v>0.025824828459017513</v>
      </c>
    </row>
    <row r="123" spans="1:14" ht="27" customHeight="1">
      <c r="A123" s="86"/>
      <c r="B123" s="31"/>
      <c r="C123" s="180" t="s">
        <v>84</v>
      </c>
      <c r="D123" s="181">
        <f>A119</f>
        <v>250</v>
      </c>
      <c r="E123" s="439">
        <v>0.0239</v>
      </c>
      <c r="F123" s="374">
        <f>D123*E123</f>
        <v>5.9750000000000005</v>
      </c>
      <c r="G123" s="167"/>
      <c r="H123" s="184" t="s">
        <v>84</v>
      </c>
      <c r="I123" s="185">
        <f aca="true" t="shared" si="5" ref="I123:K124">D123</f>
        <v>250</v>
      </c>
      <c r="J123" s="441">
        <f t="shared" si="5"/>
        <v>0.0239</v>
      </c>
      <c r="K123" s="195">
        <f t="shared" si="5"/>
        <v>5.9750000000000005</v>
      </c>
      <c r="L123" s="179"/>
      <c r="M123" s="575"/>
      <c r="N123" s="576"/>
    </row>
    <row r="124" spans="1:14" ht="26.25" thickBot="1">
      <c r="A124" s="86"/>
      <c r="B124" s="31"/>
      <c r="C124" s="196" t="s">
        <v>85</v>
      </c>
      <c r="D124" s="181">
        <f>A119</f>
        <v>250</v>
      </c>
      <c r="E124" s="440">
        <v>0.047</v>
      </c>
      <c r="F124" s="352">
        <f>D124*E124</f>
        <v>11.75</v>
      </c>
      <c r="G124" s="167"/>
      <c r="H124" s="198" t="s">
        <v>85</v>
      </c>
      <c r="I124" s="199">
        <f t="shared" si="5"/>
        <v>250</v>
      </c>
      <c r="J124" s="442">
        <f t="shared" si="5"/>
        <v>0.047</v>
      </c>
      <c r="K124" s="201">
        <f t="shared" si="5"/>
        <v>11.75</v>
      </c>
      <c r="L124" s="179"/>
      <c r="M124" s="579"/>
      <c r="N124" s="580"/>
    </row>
    <row r="125" spans="1:14" ht="13.5" thickBot="1">
      <c r="A125" s="86"/>
      <c r="B125" s="31"/>
      <c r="C125" s="597"/>
      <c r="D125" s="598"/>
      <c r="E125" s="598"/>
      <c r="F125" s="599"/>
      <c r="G125" s="167"/>
      <c r="H125" s="598"/>
      <c r="I125" s="598"/>
      <c r="J125" s="598"/>
      <c r="K125" s="599"/>
      <c r="L125" s="31"/>
      <c r="M125" s="86"/>
      <c r="N125" s="202"/>
    </row>
    <row r="126" spans="1:14" ht="13.5" thickBot="1">
      <c r="A126" s="94"/>
      <c r="B126" s="148"/>
      <c r="C126" s="203" t="s">
        <v>200</v>
      </c>
      <c r="D126" s="204"/>
      <c r="E126" s="204"/>
      <c r="F126" s="189">
        <f>SUM(F123:F124,F122)</f>
        <v>35.085</v>
      </c>
      <c r="G126" s="206"/>
      <c r="H126" s="604" t="s">
        <v>201</v>
      </c>
      <c r="I126" s="604"/>
      <c r="J126" s="604"/>
      <c r="K126" s="189">
        <f>SUM(K122:K124)</f>
        <v>35.533319022048545</v>
      </c>
      <c r="L126" s="207"/>
      <c r="M126" s="190">
        <f>K126-F126</f>
        <v>0.448319022048544</v>
      </c>
      <c r="N126" s="191">
        <f>M126/F126</f>
        <v>0.012778082429771812</v>
      </c>
    </row>
    <row r="127" ht="12.75">
      <c r="K127" s="161"/>
    </row>
    <row r="128" spans="1:14" ht="11.25" customHeight="1" thickBot="1">
      <c r="A128" s="47"/>
      <c r="B128" s="12"/>
      <c r="D128" s="10"/>
      <c r="E128" s="10"/>
      <c r="F128" s="209"/>
      <c r="I128" s="10"/>
      <c r="J128" s="10"/>
      <c r="K128" s="210"/>
      <c r="L128" s="12"/>
      <c r="M128" s="12"/>
      <c r="N128" s="211"/>
    </row>
    <row r="129" spans="1:14" ht="60.75" thickBot="1">
      <c r="A129" s="168" t="s">
        <v>78</v>
      </c>
      <c r="B129" s="169"/>
      <c r="C129" s="608"/>
      <c r="D129" s="581" t="s">
        <v>12</v>
      </c>
      <c r="E129" s="583" t="s">
        <v>79</v>
      </c>
      <c r="F129" s="585" t="s">
        <v>182</v>
      </c>
      <c r="G129" s="166"/>
      <c r="H129" s="170"/>
      <c r="I129" s="581" t="s">
        <v>12</v>
      </c>
      <c r="J129" s="583" t="s">
        <v>79</v>
      </c>
      <c r="K129" s="585" t="s">
        <v>182</v>
      </c>
      <c r="L129" s="169"/>
      <c r="M129" s="600" t="s">
        <v>181</v>
      </c>
      <c r="N129" s="602" t="s">
        <v>80</v>
      </c>
    </row>
    <row r="130" spans="1:14" ht="13.5" thickBot="1">
      <c r="A130" s="171">
        <v>500</v>
      </c>
      <c r="B130" s="31"/>
      <c r="C130" s="609"/>
      <c r="D130" s="582"/>
      <c r="E130" s="584"/>
      <c r="F130" s="586"/>
      <c r="G130" s="167"/>
      <c r="H130" s="31"/>
      <c r="I130" s="587"/>
      <c r="J130" s="588"/>
      <c r="K130" s="586"/>
      <c r="L130" s="32"/>
      <c r="M130" s="601"/>
      <c r="N130" s="603"/>
    </row>
    <row r="131" spans="1:14" ht="25.5">
      <c r="A131" s="172"/>
      <c r="B131" s="31"/>
      <c r="C131" s="173" t="s">
        <v>21</v>
      </c>
      <c r="D131" s="174" t="s">
        <v>81</v>
      </c>
      <c r="E131" s="175" t="s">
        <v>81</v>
      </c>
      <c r="F131" s="234">
        <f>F120</f>
        <v>14.56</v>
      </c>
      <c r="G131" s="167"/>
      <c r="H131" s="177" t="s">
        <v>21</v>
      </c>
      <c r="I131" s="208" t="str">
        <f>D131</f>
        <v>N/A</v>
      </c>
      <c r="J131" s="178" t="s">
        <v>81</v>
      </c>
      <c r="K131" s="227">
        <f>+K120</f>
        <v>13.86921420074977</v>
      </c>
      <c r="L131" s="179"/>
      <c r="M131" s="575"/>
      <c r="N131" s="576"/>
    </row>
    <row r="132" spans="1:14" ht="25.5" customHeight="1" thickBot="1">
      <c r="A132" s="86"/>
      <c r="B132" s="31"/>
      <c r="C132" s="180" t="s">
        <v>82</v>
      </c>
      <c r="D132" s="235">
        <f>A130</f>
        <v>500</v>
      </c>
      <c r="E132" s="182">
        <f>E121</f>
        <v>0.0112</v>
      </c>
      <c r="F132" s="352">
        <f>D132*E132</f>
        <v>5.6</v>
      </c>
      <c r="G132" s="167"/>
      <c r="H132" s="184" t="s">
        <v>82</v>
      </c>
      <c r="I132" s="375">
        <f>D132</f>
        <v>500</v>
      </c>
      <c r="J132" s="443">
        <f>+J121</f>
        <v>0.015756419285195094</v>
      </c>
      <c r="K132" s="186">
        <f>I132*J132</f>
        <v>7.878209642597547</v>
      </c>
      <c r="L132" s="179"/>
      <c r="M132" s="577"/>
      <c r="N132" s="578"/>
    </row>
    <row r="133" spans="1:14" ht="13.5" thickBot="1">
      <c r="A133" s="86"/>
      <c r="B133" s="31"/>
      <c r="C133" s="605"/>
      <c r="D133" s="606"/>
      <c r="E133" s="187" t="s">
        <v>52</v>
      </c>
      <c r="F133" s="373">
        <f>SUM(F131:F132)</f>
        <v>20.16</v>
      </c>
      <c r="G133" s="167"/>
      <c r="H133" s="595"/>
      <c r="I133" s="596"/>
      <c r="J133" s="187" t="s">
        <v>83</v>
      </c>
      <c r="K133" s="189">
        <f>SUM(K131:K132)</f>
        <v>21.747423843347317</v>
      </c>
      <c r="L133" s="179"/>
      <c r="M133" s="190">
        <f>K133-F133</f>
        <v>1.5874238433473167</v>
      </c>
      <c r="N133" s="191">
        <f>M133/F133</f>
        <v>0.07874126207079944</v>
      </c>
    </row>
    <row r="134" spans="1:14" ht="25.5">
      <c r="A134" s="86"/>
      <c r="B134" s="31"/>
      <c r="C134" s="180" t="s">
        <v>84</v>
      </c>
      <c r="D134" s="181">
        <f>A130</f>
        <v>500</v>
      </c>
      <c r="E134" s="439">
        <v>0.0239</v>
      </c>
      <c r="F134" s="374">
        <f>D134*E134</f>
        <v>11.950000000000001</v>
      </c>
      <c r="G134" s="167"/>
      <c r="H134" s="184" t="s">
        <v>84</v>
      </c>
      <c r="I134" s="185">
        <f aca="true" t="shared" si="6" ref="I134:K135">D134</f>
        <v>500</v>
      </c>
      <c r="J134" s="441">
        <f t="shared" si="6"/>
        <v>0.0239</v>
      </c>
      <c r="K134" s="195">
        <f t="shared" si="6"/>
        <v>11.950000000000001</v>
      </c>
      <c r="L134" s="179"/>
      <c r="M134" s="575"/>
      <c r="N134" s="576"/>
    </row>
    <row r="135" spans="1:14" ht="26.25" thickBot="1">
      <c r="A135" s="86"/>
      <c r="B135" s="31"/>
      <c r="C135" s="196" t="s">
        <v>85</v>
      </c>
      <c r="D135" s="181">
        <f>A130</f>
        <v>500</v>
      </c>
      <c r="E135" s="440">
        <v>0.047</v>
      </c>
      <c r="F135" s="352">
        <f>D135*E135</f>
        <v>23.5</v>
      </c>
      <c r="G135" s="167"/>
      <c r="H135" s="198" t="s">
        <v>85</v>
      </c>
      <c r="I135" s="199">
        <f t="shared" si="6"/>
        <v>500</v>
      </c>
      <c r="J135" s="442">
        <f t="shared" si="6"/>
        <v>0.047</v>
      </c>
      <c r="K135" s="201">
        <f t="shared" si="6"/>
        <v>23.5</v>
      </c>
      <c r="L135" s="179"/>
      <c r="M135" s="579"/>
      <c r="N135" s="580"/>
    </row>
    <row r="136" spans="1:14" ht="13.5" thickBot="1">
      <c r="A136" s="86"/>
      <c r="B136" s="31"/>
      <c r="C136" s="597"/>
      <c r="D136" s="598"/>
      <c r="E136" s="598"/>
      <c r="F136" s="599"/>
      <c r="G136" s="167"/>
      <c r="H136" s="598"/>
      <c r="I136" s="598"/>
      <c r="J136" s="598"/>
      <c r="K136" s="599"/>
      <c r="L136" s="31"/>
      <c r="M136" s="86"/>
      <c r="N136" s="202"/>
    </row>
    <row r="137" spans="1:14" ht="13.5" thickBot="1">
      <c r="A137" s="94"/>
      <c r="B137" s="148"/>
      <c r="C137" s="203" t="s">
        <v>200</v>
      </c>
      <c r="D137" s="204"/>
      <c r="E137" s="204"/>
      <c r="F137" s="189">
        <f>SUM(F134:F135,F133)</f>
        <v>55.61</v>
      </c>
      <c r="G137" s="206"/>
      <c r="H137" s="604" t="s">
        <v>201</v>
      </c>
      <c r="I137" s="604"/>
      <c r="J137" s="604"/>
      <c r="K137" s="189">
        <f>SUM(K133:K135)</f>
        <v>57.197423843347316</v>
      </c>
      <c r="L137" s="207"/>
      <c r="M137" s="190">
        <f>K137-F137</f>
        <v>1.5874238433473167</v>
      </c>
      <c r="N137" s="191">
        <f>M137/F137</f>
        <v>0.02854565443890158</v>
      </c>
    </row>
    <row r="138" spans="1:14" ht="15">
      <c r="A138" s="47"/>
      <c r="B138" s="12"/>
      <c r="D138" s="10"/>
      <c r="E138" s="10"/>
      <c r="F138" s="209"/>
      <c r="I138" s="10"/>
      <c r="J138" s="10"/>
      <c r="K138" s="210"/>
      <c r="L138" s="12"/>
      <c r="M138" s="12"/>
      <c r="N138" s="211"/>
    </row>
    <row r="139" spans="1:14" ht="13.5" thickBot="1">
      <c r="A139" s="12"/>
      <c r="C139" s="497" t="s">
        <v>243</v>
      </c>
      <c r="D139" s="484"/>
      <c r="E139" s="10"/>
      <c r="F139" s="209"/>
      <c r="I139" s="10"/>
      <c r="J139" s="10"/>
      <c r="K139" s="210"/>
      <c r="L139" s="12"/>
      <c r="M139" s="12"/>
      <c r="N139" s="213"/>
    </row>
    <row r="140" spans="1:14" ht="60.75" thickBot="1">
      <c r="A140" s="168" t="s">
        <v>78</v>
      </c>
      <c r="B140" s="169"/>
      <c r="C140" s="569"/>
      <c r="D140" s="581" t="s">
        <v>12</v>
      </c>
      <c r="E140" s="583" t="s">
        <v>79</v>
      </c>
      <c r="F140" s="585" t="s">
        <v>182</v>
      </c>
      <c r="G140" s="166"/>
      <c r="H140" s="170"/>
      <c r="I140" s="581" t="s">
        <v>12</v>
      </c>
      <c r="J140" s="583" t="s">
        <v>79</v>
      </c>
      <c r="K140" s="585" t="s">
        <v>182</v>
      </c>
      <c r="L140" s="169"/>
      <c r="M140" s="600" t="s">
        <v>181</v>
      </c>
      <c r="N140" s="602" t="s">
        <v>80</v>
      </c>
    </row>
    <row r="141" spans="1:14" ht="13.5" thickBot="1">
      <c r="A141" s="171">
        <v>750</v>
      </c>
      <c r="B141" s="31"/>
      <c r="C141" s="570"/>
      <c r="D141" s="582"/>
      <c r="E141" s="584"/>
      <c r="F141" s="586"/>
      <c r="G141" s="167"/>
      <c r="H141" s="31"/>
      <c r="I141" s="587"/>
      <c r="J141" s="588"/>
      <c r="K141" s="586"/>
      <c r="L141" s="32"/>
      <c r="M141" s="601"/>
      <c r="N141" s="603"/>
    </row>
    <row r="142" spans="1:14" ht="26.25" customHeight="1">
      <c r="A142" s="172"/>
      <c r="B142" s="31"/>
      <c r="C142" s="173" t="s">
        <v>21</v>
      </c>
      <c r="D142" s="174" t="s">
        <v>81</v>
      </c>
      <c r="E142" s="175" t="s">
        <v>81</v>
      </c>
      <c r="F142" s="234">
        <f>F131</f>
        <v>14.56</v>
      </c>
      <c r="G142" s="167"/>
      <c r="H142" s="177" t="s">
        <v>21</v>
      </c>
      <c r="I142" s="208" t="str">
        <f>D142</f>
        <v>N/A</v>
      </c>
      <c r="J142" s="178" t="s">
        <v>81</v>
      </c>
      <c r="K142" s="227">
        <f>+K131</f>
        <v>13.86921420074977</v>
      </c>
      <c r="L142" s="179"/>
      <c r="M142" s="575"/>
      <c r="N142" s="576"/>
    </row>
    <row r="143" spans="1:14" ht="26.25" customHeight="1" thickBot="1">
      <c r="A143" s="86"/>
      <c r="B143" s="31"/>
      <c r="C143" s="180" t="s">
        <v>82</v>
      </c>
      <c r="D143" s="235">
        <f>A141</f>
        <v>750</v>
      </c>
      <c r="E143" s="182">
        <f>E132</f>
        <v>0.0112</v>
      </c>
      <c r="F143" s="352">
        <f>D143*E143</f>
        <v>8.4</v>
      </c>
      <c r="G143" s="167"/>
      <c r="H143" s="184" t="s">
        <v>82</v>
      </c>
      <c r="I143" s="375">
        <f>D143</f>
        <v>750</v>
      </c>
      <c r="J143" s="228">
        <f>+J132</f>
        <v>0.015756419285195094</v>
      </c>
      <c r="K143" s="186">
        <f>I143*J143</f>
        <v>11.81731446389632</v>
      </c>
      <c r="L143" s="179"/>
      <c r="M143" s="577"/>
      <c r="N143" s="578"/>
    </row>
    <row r="144" spans="1:14" ht="13.5" thickBot="1">
      <c r="A144" s="86"/>
      <c r="B144" s="31"/>
      <c r="C144" s="605"/>
      <c r="D144" s="607"/>
      <c r="E144" s="187" t="s">
        <v>52</v>
      </c>
      <c r="F144" s="373">
        <f>SUM(F142:F143)</f>
        <v>22.96</v>
      </c>
      <c r="G144" s="167"/>
      <c r="H144" s="595"/>
      <c r="I144" s="596"/>
      <c r="J144" s="187" t="s">
        <v>83</v>
      </c>
      <c r="K144" s="189">
        <f>SUM(K142:K143)</f>
        <v>25.68652866464609</v>
      </c>
      <c r="L144" s="179"/>
      <c r="M144" s="190">
        <f>K144-F144</f>
        <v>2.7265286646460893</v>
      </c>
      <c r="N144" s="191">
        <f>M144/F144</f>
        <v>0.11875124846019552</v>
      </c>
    </row>
    <row r="145" spans="1:14" ht="25.5">
      <c r="A145" s="86"/>
      <c r="B145" s="31"/>
      <c r="C145" s="180" t="s">
        <v>84</v>
      </c>
      <c r="D145" s="181">
        <f>A141</f>
        <v>750</v>
      </c>
      <c r="E145" s="192">
        <v>0.0239</v>
      </c>
      <c r="F145" s="374">
        <f>D145*E145</f>
        <v>17.925</v>
      </c>
      <c r="G145" s="167"/>
      <c r="H145" s="184" t="s">
        <v>84</v>
      </c>
      <c r="I145" s="185">
        <f aca="true" t="shared" si="7" ref="I145:K146">D145</f>
        <v>750</v>
      </c>
      <c r="J145" s="194">
        <f t="shared" si="7"/>
        <v>0.0239</v>
      </c>
      <c r="K145" s="195">
        <f t="shared" si="7"/>
        <v>17.925</v>
      </c>
      <c r="L145" s="179"/>
      <c r="M145" s="575"/>
      <c r="N145" s="576"/>
    </row>
    <row r="146" spans="1:14" ht="26.25" thickBot="1">
      <c r="A146" s="86"/>
      <c r="B146" s="31"/>
      <c r="C146" s="196" t="s">
        <v>85</v>
      </c>
      <c r="D146" s="181">
        <f>A141</f>
        <v>750</v>
      </c>
      <c r="E146" s="197">
        <v>0.047</v>
      </c>
      <c r="F146" s="352">
        <f>D146*E146</f>
        <v>35.25</v>
      </c>
      <c r="G146" s="167"/>
      <c r="H146" s="198" t="s">
        <v>85</v>
      </c>
      <c r="I146" s="199">
        <f t="shared" si="7"/>
        <v>750</v>
      </c>
      <c r="J146" s="200">
        <f t="shared" si="7"/>
        <v>0.047</v>
      </c>
      <c r="K146" s="201">
        <f t="shared" si="7"/>
        <v>35.25</v>
      </c>
      <c r="L146" s="179"/>
      <c r="M146" s="579"/>
      <c r="N146" s="580"/>
    </row>
    <row r="147" spans="1:14" ht="13.5" thickBot="1">
      <c r="A147" s="86"/>
      <c r="B147" s="31"/>
      <c r="C147" s="597"/>
      <c r="D147" s="598"/>
      <c r="E147" s="598"/>
      <c r="F147" s="599"/>
      <c r="G147" s="167"/>
      <c r="H147" s="598"/>
      <c r="I147" s="598"/>
      <c r="J147" s="598"/>
      <c r="K147" s="599"/>
      <c r="L147" s="31"/>
      <c r="M147" s="86"/>
      <c r="N147" s="202"/>
    </row>
    <row r="148" spans="1:14" ht="13.5" thickBot="1">
      <c r="A148" s="94"/>
      <c r="B148" s="148"/>
      <c r="C148" s="203" t="s">
        <v>200</v>
      </c>
      <c r="D148" s="204"/>
      <c r="E148" s="204"/>
      <c r="F148" s="189">
        <f>SUM(F145:F146,F144)</f>
        <v>76.13499999999999</v>
      </c>
      <c r="G148" s="206"/>
      <c r="H148" s="604" t="s">
        <v>201</v>
      </c>
      <c r="I148" s="604"/>
      <c r="J148" s="604"/>
      <c r="K148" s="189">
        <f>SUM(K144:K146)</f>
        <v>78.86152866464609</v>
      </c>
      <c r="L148" s="207"/>
      <c r="M148" s="190">
        <f>K148-F148</f>
        <v>2.7265286646460964</v>
      </c>
      <c r="N148" s="191">
        <f>M148/F148</f>
        <v>0.03581176416426212</v>
      </c>
    </row>
    <row r="149" spans="1:14" ht="10.5" customHeight="1">
      <c r="A149" s="12"/>
      <c r="D149" s="212"/>
      <c r="E149" s="10"/>
      <c r="F149" s="209"/>
      <c r="I149" s="10"/>
      <c r="J149" s="10"/>
      <c r="K149" s="210"/>
      <c r="L149" s="12"/>
      <c r="M149" s="12"/>
      <c r="N149" s="213"/>
    </row>
    <row r="150" spans="1:13" ht="10.5" customHeight="1" thickBot="1">
      <c r="A150" s="214"/>
      <c r="B150" s="31"/>
      <c r="C150" s="133"/>
      <c r="D150" s="30"/>
      <c r="E150" s="30"/>
      <c r="F150" s="215"/>
      <c r="H150" s="133"/>
      <c r="I150" s="30"/>
      <c r="J150" s="30"/>
      <c r="K150" s="216"/>
      <c r="L150" s="216"/>
      <c r="M150" s="216"/>
    </row>
    <row r="151" spans="1:14" ht="60.75" thickBot="1">
      <c r="A151" s="168" t="s">
        <v>78</v>
      </c>
      <c r="B151" s="169"/>
      <c r="C151" s="569"/>
      <c r="D151" s="581" t="s">
        <v>12</v>
      </c>
      <c r="E151" s="583" t="s">
        <v>79</v>
      </c>
      <c r="F151" s="585" t="s">
        <v>182</v>
      </c>
      <c r="G151" s="166"/>
      <c r="H151" s="170"/>
      <c r="I151" s="581" t="s">
        <v>12</v>
      </c>
      <c r="J151" s="583" t="s">
        <v>79</v>
      </c>
      <c r="K151" s="585" t="s">
        <v>182</v>
      </c>
      <c r="L151" s="169"/>
      <c r="M151" s="600" t="s">
        <v>181</v>
      </c>
      <c r="N151" s="602" t="s">
        <v>80</v>
      </c>
    </row>
    <row r="152" spans="1:14" ht="13.5" thickBot="1">
      <c r="A152" s="171">
        <v>1000</v>
      </c>
      <c r="B152" s="31"/>
      <c r="C152" s="570"/>
      <c r="D152" s="582"/>
      <c r="E152" s="584"/>
      <c r="F152" s="586"/>
      <c r="G152" s="167"/>
      <c r="H152" s="31"/>
      <c r="I152" s="587"/>
      <c r="J152" s="588"/>
      <c r="K152" s="586"/>
      <c r="L152" s="32"/>
      <c r="M152" s="601"/>
      <c r="N152" s="603"/>
    </row>
    <row r="153" spans="1:14" ht="26.25" customHeight="1">
      <c r="A153" s="172"/>
      <c r="B153" s="31"/>
      <c r="C153" s="173" t="s">
        <v>21</v>
      </c>
      <c r="D153" s="174" t="s">
        <v>81</v>
      </c>
      <c r="E153" s="175" t="s">
        <v>81</v>
      </c>
      <c r="F153" s="234">
        <f>F142</f>
        <v>14.56</v>
      </c>
      <c r="G153" s="167"/>
      <c r="H153" s="173" t="s">
        <v>21</v>
      </c>
      <c r="I153" s="208" t="str">
        <f>D153</f>
        <v>N/A</v>
      </c>
      <c r="J153" s="178" t="s">
        <v>81</v>
      </c>
      <c r="K153" s="227">
        <f>+K142</f>
        <v>13.86921420074977</v>
      </c>
      <c r="L153" s="179"/>
      <c r="M153" s="575"/>
      <c r="N153" s="576"/>
    </row>
    <row r="154" spans="1:14" ht="24" customHeight="1" thickBot="1">
      <c r="A154" s="86"/>
      <c r="B154" s="31"/>
      <c r="C154" s="180" t="s">
        <v>82</v>
      </c>
      <c r="D154" s="181">
        <f>A152</f>
        <v>1000</v>
      </c>
      <c r="E154" s="182">
        <f>E143</f>
        <v>0.0112</v>
      </c>
      <c r="F154" s="352">
        <f>D154*E154</f>
        <v>11.2</v>
      </c>
      <c r="G154" s="167"/>
      <c r="H154" s="180" t="s">
        <v>82</v>
      </c>
      <c r="I154" s="185">
        <f>D154</f>
        <v>1000</v>
      </c>
      <c r="J154" s="228">
        <f>+J143</f>
        <v>0.015756419285195094</v>
      </c>
      <c r="K154" s="186">
        <f>I154*J154</f>
        <v>15.756419285195093</v>
      </c>
      <c r="L154" s="179"/>
      <c r="M154" s="577"/>
      <c r="N154" s="578"/>
    </row>
    <row r="155" spans="1:14" ht="13.5" thickBot="1">
      <c r="A155" s="86"/>
      <c r="B155" s="31"/>
      <c r="C155" s="605"/>
      <c r="D155" s="607"/>
      <c r="E155" s="187" t="s">
        <v>52</v>
      </c>
      <c r="F155" s="373">
        <f>SUM(F153:F154)</f>
        <v>25.759999999999998</v>
      </c>
      <c r="G155" s="167"/>
      <c r="H155" s="610"/>
      <c r="I155" s="596"/>
      <c r="J155" s="187" t="s">
        <v>83</v>
      </c>
      <c r="K155" s="189">
        <f>SUM(K153:K154)</f>
        <v>29.625633485944864</v>
      </c>
      <c r="L155" s="179"/>
      <c r="M155" s="190">
        <f>K155-F155</f>
        <v>3.8656334859448656</v>
      </c>
      <c r="N155" s="191">
        <f>M155/F155</f>
        <v>0.15006341172146218</v>
      </c>
    </row>
    <row r="156" spans="1:14" ht="25.5">
      <c r="A156" s="86"/>
      <c r="B156" s="31"/>
      <c r="C156" s="180" t="s">
        <v>84</v>
      </c>
      <c r="D156" s="181">
        <f>A152</f>
        <v>1000</v>
      </c>
      <c r="E156" s="192">
        <v>0.0239</v>
      </c>
      <c r="F156" s="374">
        <f>D156*E156</f>
        <v>23.900000000000002</v>
      </c>
      <c r="G156" s="167"/>
      <c r="H156" s="180" t="s">
        <v>84</v>
      </c>
      <c r="I156" s="185">
        <f>D156</f>
        <v>1000</v>
      </c>
      <c r="J156" s="194">
        <f>E156</f>
        <v>0.0239</v>
      </c>
      <c r="K156" s="195">
        <f>F156</f>
        <v>23.900000000000002</v>
      </c>
      <c r="L156" s="179"/>
      <c r="M156" s="575"/>
      <c r="N156" s="576"/>
    </row>
    <row r="157" spans="1:14" ht="25.5">
      <c r="A157" s="86"/>
      <c r="B157" s="31"/>
      <c r="C157" s="196" t="s">
        <v>85</v>
      </c>
      <c r="D157" s="181">
        <v>750</v>
      </c>
      <c r="E157" s="197">
        <v>0.047</v>
      </c>
      <c r="F157" s="352">
        <f>D157*E157</f>
        <v>35.25</v>
      </c>
      <c r="G157" s="167"/>
      <c r="H157" s="196" t="s">
        <v>85</v>
      </c>
      <c r="I157" s="181">
        <f>D157</f>
        <v>750</v>
      </c>
      <c r="J157" s="197">
        <v>0.047</v>
      </c>
      <c r="K157" s="352">
        <f>I157*J157</f>
        <v>35.25</v>
      </c>
      <c r="L157" s="179"/>
      <c r="M157" s="579"/>
      <c r="N157" s="580"/>
    </row>
    <row r="158" spans="1:14" ht="26.25" thickBot="1">
      <c r="A158" s="86"/>
      <c r="B158" s="31"/>
      <c r="C158" s="196" t="s">
        <v>85</v>
      </c>
      <c r="D158" s="235">
        <f>A152-D157</f>
        <v>250</v>
      </c>
      <c r="E158" s="197">
        <v>0.055</v>
      </c>
      <c r="F158" s="352">
        <f>D158*E158</f>
        <v>13.75</v>
      </c>
      <c r="G158" s="167"/>
      <c r="H158" s="353" t="s">
        <v>85</v>
      </c>
      <c r="I158" s="376">
        <f>D158</f>
        <v>250</v>
      </c>
      <c r="J158" s="354">
        <v>0.055</v>
      </c>
      <c r="K158" s="355">
        <f>I158*J158</f>
        <v>13.75</v>
      </c>
      <c r="L158" s="179"/>
      <c r="M158" s="579"/>
      <c r="N158" s="580"/>
    </row>
    <row r="159" spans="1:14" ht="13.5" thickBot="1">
      <c r="A159" s="86"/>
      <c r="B159" s="31"/>
      <c r="C159" s="597"/>
      <c r="D159" s="598"/>
      <c r="E159" s="598"/>
      <c r="F159" s="599"/>
      <c r="G159" s="167"/>
      <c r="H159" s="598"/>
      <c r="I159" s="598"/>
      <c r="J159" s="598"/>
      <c r="K159" s="599"/>
      <c r="L159" s="31"/>
      <c r="M159" s="86"/>
      <c r="N159" s="202"/>
    </row>
    <row r="160" spans="1:14" ht="13.5" thickBot="1">
      <c r="A160" s="94"/>
      <c r="B160" s="148"/>
      <c r="C160" s="203" t="s">
        <v>200</v>
      </c>
      <c r="D160" s="204"/>
      <c r="E160" s="204"/>
      <c r="F160" s="189">
        <f>SUM(F156:F158,F155)</f>
        <v>98.66</v>
      </c>
      <c r="G160" s="206"/>
      <c r="H160" s="604" t="s">
        <v>201</v>
      </c>
      <c r="I160" s="604"/>
      <c r="J160" s="604"/>
      <c r="K160" s="189">
        <f>SUM(K155:K158)</f>
        <v>102.52563348594487</v>
      </c>
      <c r="L160" s="207"/>
      <c r="M160" s="190">
        <f>K160-F160</f>
        <v>3.865633485944869</v>
      </c>
      <c r="N160" s="191">
        <f>M160/F160</f>
        <v>0.039181365152492084</v>
      </c>
    </row>
    <row r="161" spans="1:14" ht="12.75">
      <c r="A161" s="12"/>
      <c r="D161" s="212"/>
      <c r="E161" s="10"/>
      <c r="F161" s="209"/>
      <c r="I161" s="10"/>
      <c r="J161" s="10"/>
      <c r="K161" s="210"/>
      <c r="L161" s="12"/>
      <c r="M161" s="12"/>
      <c r="N161" s="213"/>
    </row>
    <row r="162" spans="1:13" ht="15.75" thickBot="1">
      <c r="A162" s="214"/>
      <c r="B162" s="31"/>
      <c r="C162" s="133"/>
      <c r="D162" s="30"/>
      <c r="E162" s="30"/>
      <c r="F162" s="215"/>
      <c r="H162" s="133"/>
      <c r="I162" s="30"/>
      <c r="J162" s="30"/>
      <c r="K162" s="216"/>
      <c r="L162" s="216"/>
      <c r="M162" s="216"/>
    </row>
    <row r="163" spans="1:14" ht="60.75" thickBot="1">
      <c r="A163" s="168" t="s">
        <v>78</v>
      </c>
      <c r="B163" s="169"/>
      <c r="C163" s="569"/>
      <c r="D163" s="581" t="s">
        <v>12</v>
      </c>
      <c r="E163" s="583" t="s">
        <v>79</v>
      </c>
      <c r="F163" s="585" t="s">
        <v>182</v>
      </c>
      <c r="G163" s="166"/>
      <c r="H163" s="170"/>
      <c r="I163" s="581" t="s">
        <v>12</v>
      </c>
      <c r="J163" s="583" t="s">
        <v>79</v>
      </c>
      <c r="K163" s="585" t="s">
        <v>182</v>
      </c>
      <c r="L163" s="169"/>
      <c r="M163" s="600" t="s">
        <v>181</v>
      </c>
      <c r="N163" s="602" t="s">
        <v>80</v>
      </c>
    </row>
    <row r="164" spans="1:14" ht="13.5" thickBot="1">
      <c r="A164" s="171">
        <v>1500</v>
      </c>
      <c r="B164" s="31"/>
      <c r="C164" s="570"/>
      <c r="D164" s="582"/>
      <c r="E164" s="584"/>
      <c r="F164" s="586"/>
      <c r="G164" s="167"/>
      <c r="H164" s="31"/>
      <c r="I164" s="587"/>
      <c r="J164" s="588"/>
      <c r="K164" s="586"/>
      <c r="L164" s="32"/>
      <c r="M164" s="601"/>
      <c r="N164" s="603"/>
    </row>
    <row r="165" spans="1:14" ht="27.75" customHeight="1">
      <c r="A165" s="172"/>
      <c r="B165" s="31"/>
      <c r="C165" s="173" t="s">
        <v>21</v>
      </c>
      <c r="D165" s="174" t="s">
        <v>81</v>
      </c>
      <c r="E165" s="175" t="s">
        <v>81</v>
      </c>
      <c r="F165" s="234">
        <f>F153</f>
        <v>14.56</v>
      </c>
      <c r="G165" s="167"/>
      <c r="H165" s="177" t="s">
        <v>21</v>
      </c>
      <c r="I165" s="208" t="str">
        <f>D165</f>
        <v>N/A</v>
      </c>
      <c r="J165" s="178" t="s">
        <v>81</v>
      </c>
      <c r="K165" s="227">
        <f>+K153</f>
        <v>13.86921420074977</v>
      </c>
      <c r="L165" s="179"/>
      <c r="M165" s="575"/>
      <c r="N165" s="576"/>
    </row>
    <row r="166" spans="1:14" ht="25.5" customHeight="1" thickBot="1">
      <c r="A166" s="86"/>
      <c r="B166" s="31"/>
      <c r="C166" s="180" t="s">
        <v>82</v>
      </c>
      <c r="D166" s="181">
        <f>A164</f>
        <v>1500</v>
      </c>
      <c r="E166" s="182">
        <f>E154</f>
        <v>0.0112</v>
      </c>
      <c r="F166" s="352">
        <f>D166*E166</f>
        <v>16.8</v>
      </c>
      <c r="G166" s="167"/>
      <c r="H166" s="184" t="s">
        <v>82</v>
      </c>
      <c r="I166" s="185">
        <f>D166</f>
        <v>1500</v>
      </c>
      <c r="J166" s="228">
        <f>+J154</f>
        <v>0.015756419285195094</v>
      </c>
      <c r="K166" s="186">
        <f>I166*J166</f>
        <v>23.63462892779264</v>
      </c>
      <c r="L166" s="179"/>
      <c r="M166" s="577"/>
      <c r="N166" s="578"/>
    </row>
    <row r="167" spans="1:14" ht="13.5" thickBot="1">
      <c r="A167" s="86"/>
      <c r="B167" s="31"/>
      <c r="C167" s="605"/>
      <c r="D167" s="607"/>
      <c r="E167" s="187" t="s">
        <v>52</v>
      </c>
      <c r="F167" s="373">
        <f>SUM(F165:F166)</f>
        <v>31.36</v>
      </c>
      <c r="G167" s="167"/>
      <c r="H167" s="595"/>
      <c r="I167" s="596"/>
      <c r="J167" s="187" t="s">
        <v>83</v>
      </c>
      <c r="K167" s="189">
        <f>SUM(K165:K166)</f>
        <v>37.503843128542414</v>
      </c>
      <c r="L167" s="179"/>
      <c r="M167" s="190">
        <f>K167-F167</f>
        <v>6.143843128542414</v>
      </c>
      <c r="N167" s="191">
        <f>M167/F167</f>
        <v>0.1959133650683168</v>
      </c>
    </row>
    <row r="168" spans="1:14" ht="25.5">
      <c r="A168" s="86"/>
      <c r="B168" s="31"/>
      <c r="C168" s="180" t="s">
        <v>84</v>
      </c>
      <c r="D168" s="181">
        <f>A164</f>
        <v>1500</v>
      </c>
      <c r="E168" s="192">
        <v>0.0239</v>
      </c>
      <c r="F168" s="374">
        <f>D168*E168</f>
        <v>35.85</v>
      </c>
      <c r="G168" s="167"/>
      <c r="H168" s="184" t="s">
        <v>84</v>
      </c>
      <c r="I168" s="185">
        <f>D168</f>
        <v>1500</v>
      </c>
      <c r="J168" s="194">
        <f>E168</f>
        <v>0.0239</v>
      </c>
      <c r="K168" s="195">
        <f>F168</f>
        <v>35.85</v>
      </c>
      <c r="L168" s="179"/>
      <c r="M168" s="575"/>
      <c r="N168" s="576"/>
    </row>
    <row r="169" spans="1:14" ht="25.5">
      <c r="A169" s="86"/>
      <c r="B169" s="31"/>
      <c r="C169" s="196" t="s">
        <v>85</v>
      </c>
      <c r="D169" s="181">
        <v>750</v>
      </c>
      <c r="E169" s="197">
        <v>0.047</v>
      </c>
      <c r="F169" s="352">
        <f>D169*E169</f>
        <v>35.25</v>
      </c>
      <c r="G169" s="167"/>
      <c r="H169" s="196" t="s">
        <v>85</v>
      </c>
      <c r="I169" s="185">
        <f>D169</f>
        <v>750</v>
      </c>
      <c r="J169" s="197">
        <v>0.047</v>
      </c>
      <c r="K169" s="352">
        <f>I169*J169</f>
        <v>35.25</v>
      </c>
      <c r="L169" s="179"/>
      <c r="M169" s="579"/>
      <c r="N169" s="580"/>
    </row>
    <row r="170" spans="1:14" ht="26.25" thickBot="1">
      <c r="A170" s="86"/>
      <c r="B170" s="31"/>
      <c r="C170" s="196" t="s">
        <v>85</v>
      </c>
      <c r="D170" s="235">
        <f>A164-D169</f>
        <v>750</v>
      </c>
      <c r="E170" s="197">
        <v>0.055</v>
      </c>
      <c r="F170" s="352">
        <f>D170*E170</f>
        <v>41.25</v>
      </c>
      <c r="G170" s="167"/>
      <c r="H170" s="353" t="s">
        <v>85</v>
      </c>
      <c r="I170" s="376">
        <f>D170</f>
        <v>750</v>
      </c>
      <c r="J170" s="354">
        <v>0.055</v>
      </c>
      <c r="K170" s="355">
        <f>I170*J170</f>
        <v>41.25</v>
      </c>
      <c r="L170" s="179"/>
      <c r="M170" s="579"/>
      <c r="N170" s="580"/>
    </row>
    <row r="171" spans="1:14" ht="13.5" thickBot="1">
      <c r="A171" s="86"/>
      <c r="B171" s="31"/>
      <c r="C171" s="597"/>
      <c r="D171" s="598"/>
      <c r="E171" s="598"/>
      <c r="F171" s="599"/>
      <c r="G171" s="167"/>
      <c r="H171" s="598"/>
      <c r="I171" s="598"/>
      <c r="J171" s="598"/>
      <c r="K171" s="599"/>
      <c r="L171" s="31"/>
      <c r="M171" s="86"/>
      <c r="N171" s="202"/>
    </row>
    <row r="172" spans="1:14" ht="13.5" thickBot="1">
      <c r="A172" s="94"/>
      <c r="B172" s="148"/>
      <c r="C172" s="203" t="s">
        <v>200</v>
      </c>
      <c r="D172" s="204"/>
      <c r="E172" s="204"/>
      <c r="F172" s="189">
        <f>SUM(F168:F170,F167)</f>
        <v>143.70999999999998</v>
      </c>
      <c r="G172" s="206"/>
      <c r="H172" s="604" t="s">
        <v>201</v>
      </c>
      <c r="I172" s="604"/>
      <c r="J172" s="604"/>
      <c r="K172" s="189">
        <f>SUM(K167:K170)</f>
        <v>149.85384312854242</v>
      </c>
      <c r="L172" s="207"/>
      <c r="M172" s="190">
        <f>K172-F172</f>
        <v>6.143843128542443</v>
      </c>
      <c r="N172" s="191">
        <f>M172/F172</f>
        <v>0.04275167440360757</v>
      </c>
    </row>
    <row r="173" spans="1:14" ht="9" customHeight="1">
      <c r="A173" s="12"/>
      <c r="D173" s="212"/>
      <c r="E173" s="10"/>
      <c r="F173" s="209"/>
      <c r="I173" s="10"/>
      <c r="J173" s="10"/>
      <c r="K173" s="210"/>
      <c r="L173" s="12"/>
      <c r="M173" s="12"/>
      <c r="N173" s="213"/>
    </row>
    <row r="174" spans="1:13" ht="9" customHeight="1" thickBot="1">
      <c r="A174" s="214"/>
      <c r="B174" s="31"/>
      <c r="C174" s="133"/>
      <c r="D174" s="30"/>
      <c r="E174" s="30"/>
      <c r="F174" s="215"/>
      <c r="H174" s="133"/>
      <c r="I174" s="30"/>
      <c r="J174" s="30"/>
      <c r="K174" s="216"/>
      <c r="L174" s="216"/>
      <c r="M174" s="216"/>
    </row>
    <row r="175" spans="1:14" ht="60.75" thickBot="1">
      <c r="A175" s="168" t="s">
        <v>78</v>
      </c>
      <c r="B175" s="169"/>
      <c r="C175" s="569"/>
      <c r="D175" s="581" t="s">
        <v>12</v>
      </c>
      <c r="E175" s="583" t="s">
        <v>79</v>
      </c>
      <c r="F175" s="585" t="s">
        <v>182</v>
      </c>
      <c r="G175" s="166"/>
      <c r="H175" s="170"/>
      <c r="I175" s="581" t="s">
        <v>12</v>
      </c>
      <c r="J175" s="583" t="s">
        <v>79</v>
      </c>
      <c r="K175" s="585" t="s">
        <v>182</v>
      </c>
      <c r="L175" s="169"/>
      <c r="M175" s="600" t="s">
        <v>181</v>
      </c>
      <c r="N175" s="602" t="s">
        <v>80</v>
      </c>
    </row>
    <row r="176" spans="1:14" ht="13.5" thickBot="1">
      <c r="A176" s="171">
        <v>2000</v>
      </c>
      <c r="B176" s="31"/>
      <c r="C176" s="570"/>
      <c r="D176" s="582"/>
      <c r="E176" s="584"/>
      <c r="F176" s="586"/>
      <c r="G176" s="167"/>
      <c r="H176" s="31"/>
      <c r="I176" s="587"/>
      <c r="J176" s="588"/>
      <c r="K176" s="586"/>
      <c r="L176" s="32"/>
      <c r="M176" s="601"/>
      <c r="N176" s="603"/>
    </row>
    <row r="177" spans="1:14" ht="27" customHeight="1">
      <c r="A177" s="172"/>
      <c r="B177" s="31"/>
      <c r="C177" s="173" t="s">
        <v>21</v>
      </c>
      <c r="D177" s="174" t="s">
        <v>81</v>
      </c>
      <c r="E177" s="175" t="s">
        <v>81</v>
      </c>
      <c r="F177" s="234">
        <f>F165</f>
        <v>14.56</v>
      </c>
      <c r="G177" s="167"/>
      <c r="H177" s="177" t="s">
        <v>21</v>
      </c>
      <c r="I177" s="208" t="str">
        <f>D177</f>
        <v>N/A</v>
      </c>
      <c r="J177" s="178" t="s">
        <v>81</v>
      </c>
      <c r="K177" s="227">
        <f>+K165</f>
        <v>13.86921420074977</v>
      </c>
      <c r="L177" s="179"/>
      <c r="M177" s="575"/>
      <c r="N177" s="576"/>
    </row>
    <row r="178" spans="1:14" ht="29.25" customHeight="1" thickBot="1">
      <c r="A178" s="86"/>
      <c r="B178" s="31"/>
      <c r="C178" s="180" t="s">
        <v>82</v>
      </c>
      <c r="D178" s="181">
        <f>A176</f>
        <v>2000</v>
      </c>
      <c r="E178" s="182">
        <f>E166</f>
        <v>0.0112</v>
      </c>
      <c r="F178" s="352">
        <f>D178*E178</f>
        <v>22.4</v>
      </c>
      <c r="G178" s="167"/>
      <c r="H178" s="184" t="s">
        <v>82</v>
      </c>
      <c r="I178" s="185">
        <f>D178</f>
        <v>2000</v>
      </c>
      <c r="J178" s="228">
        <f>+J166</f>
        <v>0.015756419285195094</v>
      </c>
      <c r="K178" s="186">
        <f>I178*J178</f>
        <v>31.512838570390187</v>
      </c>
      <c r="L178" s="179"/>
      <c r="M178" s="577"/>
      <c r="N178" s="578"/>
    </row>
    <row r="179" spans="1:14" ht="13.5" customHeight="1" thickBot="1">
      <c r="A179" s="86"/>
      <c r="B179" s="31"/>
      <c r="C179" s="605"/>
      <c r="D179" s="607"/>
      <c r="E179" s="187" t="s">
        <v>52</v>
      </c>
      <c r="F179" s="373">
        <f>SUM(F177:F178)</f>
        <v>36.96</v>
      </c>
      <c r="G179" s="167"/>
      <c r="H179" s="595"/>
      <c r="I179" s="596"/>
      <c r="J179" s="187" t="s">
        <v>83</v>
      </c>
      <c r="K179" s="189">
        <f>SUM(K177:K178)</f>
        <v>45.38205277113995</v>
      </c>
      <c r="L179" s="179"/>
      <c r="M179" s="190">
        <f>K179-F179</f>
        <v>8.422052771139953</v>
      </c>
      <c r="N179" s="191">
        <f>M179/F179</f>
        <v>0.2278693931585485</v>
      </c>
    </row>
    <row r="180" spans="1:14" ht="25.5">
      <c r="A180" s="86"/>
      <c r="B180" s="31"/>
      <c r="C180" s="180" t="s">
        <v>84</v>
      </c>
      <c r="D180" s="181">
        <f>A176</f>
        <v>2000</v>
      </c>
      <c r="E180" s="192">
        <v>0.0239</v>
      </c>
      <c r="F180" s="374">
        <f>D180*E180</f>
        <v>47.800000000000004</v>
      </c>
      <c r="G180" s="167"/>
      <c r="H180" s="184" t="s">
        <v>84</v>
      </c>
      <c r="I180" s="185">
        <f>D180</f>
        <v>2000</v>
      </c>
      <c r="J180" s="194">
        <f>E180</f>
        <v>0.0239</v>
      </c>
      <c r="K180" s="195">
        <f>F180</f>
        <v>47.800000000000004</v>
      </c>
      <c r="L180" s="179"/>
      <c r="M180" s="575"/>
      <c r="N180" s="576"/>
    </row>
    <row r="181" spans="1:14" ht="25.5">
      <c r="A181" s="86"/>
      <c r="B181" s="31"/>
      <c r="C181" s="196" t="s">
        <v>85</v>
      </c>
      <c r="D181" s="181">
        <v>750</v>
      </c>
      <c r="E181" s="197">
        <v>0.047</v>
      </c>
      <c r="F181" s="352">
        <f>D181*E181</f>
        <v>35.25</v>
      </c>
      <c r="G181" s="167"/>
      <c r="H181" s="196" t="s">
        <v>85</v>
      </c>
      <c r="I181" s="185">
        <f>D181</f>
        <v>750</v>
      </c>
      <c r="J181" s="197">
        <v>0.047</v>
      </c>
      <c r="K181" s="352">
        <f>I181*J181</f>
        <v>35.25</v>
      </c>
      <c r="L181" s="179"/>
      <c r="M181" s="579"/>
      <c r="N181" s="580"/>
    </row>
    <row r="182" spans="1:14" ht="26.25" thickBot="1">
      <c r="A182" s="86"/>
      <c r="B182" s="31"/>
      <c r="C182" s="196" t="s">
        <v>85</v>
      </c>
      <c r="D182" s="235">
        <f>A176-D181</f>
        <v>1250</v>
      </c>
      <c r="E182" s="197">
        <v>0.055</v>
      </c>
      <c r="F182" s="352">
        <f>D182*E182</f>
        <v>68.75</v>
      </c>
      <c r="G182" s="167"/>
      <c r="H182" s="353" t="s">
        <v>85</v>
      </c>
      <c r="I182" s="376">
        <f>D182</f>
        <v>1250</v>
      </c>
      <c r="J182" s="354">
        <v>0.055</v>
      </c>
      <c r="K182" s="355">
        <f>I182*J182</f>
        <v>68.75</v>
      </c>
      <c r="L182" s="179"/>
      <c r="M182" s="579"/>
      <c r="N182" s="580"/>
    </row>
    <row r="183" spans="1:14" ht="13.5" thickBot="1">
      <c r="A183" s="86"/>
      <c r="B183" s="31"/>
      <c r="C183" s="597"/>
      <c r="D183" s="598"/>
      <c r="E183" s="598"/>
      <c r="F183" s="599"/>
      <c r="G183" s="167"/>
      <c r="H183" s="598"/>
      <c r="I183" s="598"/>
      <c r="J183" s="598"/>
      <c r="K183" s="599"/>
      <c r="L183" s="31"/>
      <c r="M183" s="86"/>
      <c r="N183" s="202"/>
    </row>
    <row r="184" spans="1:14" ht="13.5" thickBot="1">
      <c r="A184" s="94"/>
      <c r="B184" s="148"/>
      <c r="C184" s="203" t="s">
        <v>200</v>
      </c>
      <c r="D184" s="204"/>
      <c r="E184" s="204"/>
      <c r="F184" s="189">
        <f>SUM(F180:F182,F179)</f>
        <v>188.76000000000002</v>
      </c>
      <c r="G184" s="206"/>
      <c r="H184" s="604" t="s">
        <v>201</v>
      </c>
      <c r="I184" s="604"/>
      <c r="J184" s="604"/>
      <c r="K184" s="189">
        <f>SUM(K179:K182)</f>
        <v>197.18205277113995</v>
      </c>
      <c r="L184" s="207"/>
      <c r="M184" s="190">
        <f>K184-F184</f>
        <v>8.422052771139931</v>
      </c>
      <c r="N184" s="191">
        <f>M184/F184</f>
        <v>0.04461778327579959</v>
      </c>
    </row>
    <row r="187" spans="3:11" ht="18.75" customHeight="1">
      <c r="C187" s="497" t="s">
        <v>244</v>
      </c>
      <c r="D187" s="484"/>
      <c r="E187" s="160"/>
      <c r="F187" s="160"/>
      <c r="G187" s="31"/>
      <c r="K187" s="161"/>
    </row>
    <row r="188" spans="5:11" ht="9" customHeight="1" thickBot="1">
      <c r="E188" s="160"/>
      <c r="F188" s="160"/>
      <c r="G188" s="31"/>
      <c r="K188" s="161"/>
    </row>
    <row r="189" spans="1:14" ht="15.75" customHeight="1">
      <c r="A189" s="47"/>
      <c r="C189" s="589" t="s">
        <v>95</v>
      </c>
      <c r="D189" s="590"/>
      <c r="E189" s="590"/>
      <c r="F189" s="591"/>
      <c r="G189" s="166"/>
      <c r="H189" s="589" t="s">
        <v>96</v>
      </c>
      <c r="I189" s="590"/>
      <c r="J189" s="590"/>
      <c r="K189" s="590"/>
      <c r="L189" s="590"/>
      <c r="M189" s="590"/>
      <c r="N189" s="591"/>
    </row>
    <row r="190" spans="1:15" ht="13.5" customHeight="1" thickBot="1">
      <c r="A190"/>
      <c r="C190" s="592"/>
      <c r="D190" s="593"/>
      <c r="E190" s="593"/>
      <c r="F190" s="594"/>
      <c r="G190" s="167"/>
      <c r="H190" s="592"/>
      <c r="I190" s="593"/>
      <c r="J190" s="593"/>
      <c r="K190" s="593"/>
      <c r="L190" s="593"/>
      <c r="M190" s="593"/>
      <c r="N190" s="594"/>
      <c r="O190" s="31"/>
    </row>
    <row r="191" spans="1:14" ht="48.75" customHeight="1" thickBot="1">
      <c r="A191" s="168" t="s">
        <v>78</v>
      </c>
      <c r="B191" s="169"/>
      <c r="C191" s="569"/>
      <c r="D191" s="581" t="s">
        <v>12</v>
      </c>
      <c r="E191" s="583" t="s">
        <v>79</v>
      </c>
      <c r="F191" s="585" t="s">
        <v>182</v>
      </c>
      <c r="G191" s="166"/>
      <c r="H191" s="170"/>
      <c r="I191" s="581" t="s">
        <v>12</v>
      </c>
      <c r="J191" s="583" t="s">
        <v>79</v>
      </c>
      <c r="K191" s="585" t="s">
        <v>182</v>
      </c>
      <c r="L191" s="169"/>
      <c r="M191" s="600" t="s">
        <v>181</v>
      </c>
      <c r="N191" s="602" t="s">
        <v>80</v>
      </c>
    </row>
    <row r="192" spans="1:14" ht="13.5" thickBot="1">
      <c r="A192" s="171">
        <v>100</v>
      </c>
      <c r="B192" s="31"/>
      <c r="C192" s="570"/>
      <c r="D192" s="582"/>
      <c r="E192" s="584"/>
      <c r="F192" s="586"/>
      <c r="G192" s="167"/>
      <c r="H192" s="31"/>
      <c r="I192" s="587"/>
      <c r="J192" s="588"/>
      <c r="K192" s="586"/>
      <c r="L192" s="32"/>
      <c r="M192" s="601"/>
      <c r="N192" s="603"/>
    </row>
    <row r="193" spans="1:14" ht="25.5">
      <c r="A193" s="172"/>
      <c r="B193" s="31"/>
      <c r="C193" s="449" t="s">
        <v>21</v>
      </c>
      <c r="D193" s="174" t="s">
        <v>81</v>
      </c>
      <c r="E193" s="175" t="s">
        <v>81</v>
      </c>
      <c r="F193" s="234">
        <f>+'12. Current Rates'!D33</f>
        <v>12.93</v>
      </c>
      <c r="G193" s="167"/>
      <c r="H193" s="452" t="s">
        <v>21</v>
      </c>
      <c r="I193" s="174" t="s">
        <v>81</v>
      </c>
      <c r="J193" s="174" t="s">
        <v>81</v>
      </c>
      <c r="K193" s="234">
        <f>+'11. 2005 Final Rate Schedule '!F169</f>
        <v>12.32927333576484</v>
      </c>
      <c r="L193" s="179"/>
      <c r="M193" s="575"/>
      <c r="N193" s="576"/>
    </row>
    <row r="194" spans="1:14" ht="26.25" thickBot="1">
      <c r="A194" s="86"/>
      <c r="B194" s="31"/>
      <c r="C194" s="450" t="s">
        <v>82</v>
      </c>
      <c r="D194" s="235">
        <f>A192</f>
        <v>100</v>
      </c>
      <c r="E194" s="438">
        <f>+'12. Current Rates'!D31</f>
        <v>0.0106</v>
      </c>
      <c r="F194" s="352">
        <f>D194*E194</f>
        <v>1.06</v>
      </c>
      <c r="G194" s="167"/>
      <c r="H194" s="453" t="s">
        <v>82</v>
      </c>
      <c r="I194" s="181">
        <f>D194</f>
        <v>100</v>
      </c>
      <c r="J194" s="444">
        <f>+'11. 2005 Final Rate Schedule '!F170</f>
        <v>0.014856078887733954</v>
      </c>
      <c r="K194" s="237">
        <f>I194*J194</f>
        <v>1.4856078887733954</v>
      </c>
      <c r="L194" s="179"/>
      <c r="M194" s="577"/>
      <c r="N194" s="578"/>
    </row>
    <row r="195" spans="1:14" ht="13.5" thickBot="1">
      <c r="A195" s="86"/>
      <c r="B195" s="31"/>
      <c r="C195" s="567"/>
      <c r="D195" s="568"/>
      <c r="E195" s="187" t="s">
        <v>52</v>
      </c>
      <c r="F195" s="373">
        <f>SUM(F193:F194)</f>
        <v>13.99</v>
      </c>
      <c r="G195" s="167"/>
      <c r="H195" s="595"/>
      <c r="I195" s="596"/>
      <c r="J195" s="187" t="s">
        <v>83</v>
      </c>
      <c r="K195" s="189">
        <f>SUM(K193:K194)</f>
        <v>13.814881224538237</v>
      </c>
      <c r="L195" s="179"/>
      <c r="M195" s="190">
        <f>K195-F195</f>
        <v>-0.17511877546176358</v>
      </c>
      <c r="N195" s="191">
        <f>M195/F195</f>
        <v>-0.012517424979396967</v>
      </c>
    </row>
    <row r="196" spans="1:14" ht="27" customHeight="1">
      <c r="A196" s="86"/>
      <c r="B196" s="31"/>
      <c r="C196" s="450" t="s">
        <v>84</v>
      </c>
      <c r="D196" s="181">
        <f>A192</f>
        <v>100</v>
      </c>
      <c r="E196" s="439">
        <v>0.0239</v>
      </c>
      <c r="F196" s="374">
        <f>D196*E196</f>
        <v>2.39</v>
      </c>
      <c r="G196" s="167"/>
      <c r="H196" s="453" t="s">
        <v>84</v>
      </c>
      <c r="I196" s="181">
        <f aca="true" t="shared" si="8" ref="I196:K197">D196</f>
        <v>100</v>
      </c>
      <c r="J196" s="445">
        <f t="shared" si="8"/>
        <v>0.0239</v>
      </c>
      <c r="K196" s="239">
        <f t="shared" si="8"/>
        <v>2.39</v>
      </c>
      <c r="L196" s="179"/>
      <c r="M196" s="575"/>
      <c r="N196" s="576"/>
    </row>
    <row r="197" spans="1:14" ht="25.5" customHeight="1" thickBot="1">
      <c r="A197" s="86"/>
      <c r="B197" s="31"/>
      <c r="C197" s="451" t="s">
        <v>85</v>
      </c>
      <c r="D197" s="181">
        <f>A192</f>
        <v>100</v>
      </c>
      <c r="E197" s="440">
        <v>0.047</v>
      </c>
      <c r="F197" s="352">
        <f>D197*E197</f>
        <v>4.7</v>
      </c>
      <c r="G197" s="167"/>
      <c r="H197" s="454" t="s">
        <v>85</v>
      </c>
      <c r="I197" s="446">
        <f t="shared" si="8"/>
        <v>100</v>
      </c>
      <c r="J197" s="447">
        <f t="shared" si="8"/>
        <v>0.047</v>
      </c>
      <c r="K197" s="243">
        <f t="shared" si="8"/>
        <v>4.7</v>
      </c>
      <c r="L197" s="179"/>
      <c r="M197" s="579"/>
      <c r="N197" s="580"/>
    </row>
    <row r="198" spans="1:14" ht="7.5" customHeight="1" thickBot="1">
      <c r="A198" s="86"/>
      <c r="B198" s="31"/>
      <c r="C198" s="597"/>
      <c r="D198" s="598"/>
      <c r="E198" s="598"/>
      <c r="F198" s="599"/>
      <c r="G198" s="167"/>
      <c r="H198" s="598"/>
      <c r="I198" s="598"/>
      <c r="J198" s="598"/>
      <c r="K198" s="599"/>
      <c r="L198" s="31"/>
      <c r="M198" s="86"/>
      <c r="N198" s="202"/>
    </row>
    <row r="199" spans="1:14" ht="13.5" thickBot="1">
      <c r="A199" s="94"/>
      <c r="B199" s="148"/>
      <c r="C199" s="203" t="s">
        <v>200</v>
      </c>
      <c r="D199" s="204"/>
      <c r="E199" s="204"/>
      <c r="F199" s="189">
        <f>SUM(F196:F197,F195)</f>
        <v>21.08</v>
      </c>
      <c r="G199" s="206"/>
      <c r="H199" s="604" t="s">
        <v>201</v>
      </c>
      <c r="I199" s="604"/>
      <c r="J199" s="604"/>
      <c r="K199" s="189">
        <f>SUM(K195:K197)</f>
        <v>20.904881224538236</v>
      </c>
      <c r="L199" s="207"/>
      <c r="M199" s="190">
        <f>K199-F199</f>
        <v>-0.1751187754617618</v>
      </c>
      <c r="N199" s="191">
        <f>M199/F199</f>
        <v>-0.008307342289457391</v>
      </c>
    </row>
    <row r="200" ht="12.75">
      <c r="K200" s="161"/>
    </row>
    <row r="201" spans="6:11" ht="13.5" thickBot="1">
      <c r="F201" s="161"/>
      <c r="K201" s="161"/>
    </row>
    <row r="202" spans="1:14" ht="60.75" thickBot="1">
      <c r="A202" s="168" t="s">
        <v>78</v>
      </c>
      <c r="B202" s="169"/>
      <c r="C202" s="569"/>
      <c r="D202" s="581" t="s">
        <v>12</v>
      </c>
      <c r="E202" s="583" t="s">
        <v>79</v>
      </c>
      <c r="F202" s="585" t="s">
        <v>182</v>
      </c>
      <c r="G202" s="166"/>
      <c r="H202" s="170"/>
      <c r="I202" s="581" t="s">
        <v>12</v>
      </c>
      <c r="J202" s="583" t="s">
        <v>79</v>
      </c>
      <c r="K202" s="585" t="s">
        <v>182</v>
      </c>
      <c r="L202" s="169"/>
      <c r="M202" s="600" t="s">
        <v>181</v>
      </c>
      <c r="N202" s="602" t="s">
        <v>80</v>
      </c>
    </row>
    <row r="203" spans="1:14" ht="13.5" thickBot="1">
      <c r="A203" s="171">
        <v>250</v>
      </c>
      <c r="B203" s="31"/>
      <c r="C203" s="570"/>
      <c r="D203" s="582"/>
      <c r="E203" s="584"/>
      <c r="F203" s="586"/>
      <c r="G203" s="167"/>
      <c r="H203" s="31"/>
      <c r="I203" s="587"/>
      <c r="J203" s="588"/>
      <c r="K203" s="586"/>
      <c r="L203" s="32"/>
      <c r="M203" s="601"/>
      <c r="N203" s="603"/>
    </row>
    <row r="204" spans="1:14" ht="25.5">
      <c r="A204" s="172"/>
      <c r="B204" s="31"/>
      <c r="C204" s="173" t="s">
        <v>21</v>
      </c>
      <c r="D204" s="174" t="s">
        <v>81</v>
      </c>
      <c r="E204" s="175" t="s">
        <v>81</v>
      </c>
      <c r="F204" s="234">
        <f>F193</f>
        <v>12.93</v>
      </c>
      <c r="G204" s="167"/>
      <c r="H204" s="177" t="s">
        <v>21</v>
      </c>
      <c r="I204" s="208" t="str">
        <f>D204</f>
        <v>N/A</v>
      </c>
      <c r="J204" s="178" t="s">
        <v>81</v>
      </c>
      <c r="K204" s="227">
        <f>+K193</f>
        <v>12.32927333576484</v>
      </c>
      <c r="L204" s="179"/>
      <c r="M204" s="575"/>
      <c r="N204" s="576"/>
    </row>
    <row r="205" spans="1:14" ht="26.25" thickBot="1">
      <c r="A205" s="86"/>
      <c r="B205" s="31"/>
      <c r="C205" s="180" t="s">
        <v>82</v>
      </c>
      <c r="D205" s="235">
        <f>A203</f>
        <v>250</v>
      </c>
      <c r="E205" s="182">
        <f>E194</f>
        <v>0.0106</v>
      </c>
      <c r="F205" s="352">
        <f>D205*E205</f>
        <v>2.65</v>
      </c>
      <c r="G205" s="167"/>
      <c r="H205" s="184" t="s">
        <v>82</v>
      </c>
      <c r="I205" s="185">
        <f>D205</f>
        <v>250</v>
      </c>
      <c r="J205" s="443">
        <f>+J194</f>
        <v>0.014856078887733954</v>
      </c>
      <c r="K205" s="186">
        <f>I205*J205</f>
        <v>3.7140197219334885</v>
      </c>
      <c r="L205" s="179"/>
      <c r="M205" s="577"/>
      <c r="N205" s="578"/>
    </row>
    <row r="206" spans="1:14" ht="24.75" customHeight="1" thickBot="1">
      <c r="A206" s="86"/>
      <c r="B206" s="31"/>
      <c r="C206" s="605"/>
      <c r="D206" s="607"/>
      <c r="E206" s="187" t="s">
        <v>52</v>
      </c>
      <c r="F206" s="373">
        <f>SUM(F204:F205)</f>
        <v>15.58</v>
      </c>
      <c r="G206" s="167"/>
      <c r="H206" s="595"/>
      <c r="I206" s="596"/>
      <c r="J206" s="187" t="s">
        <v>83</v>
      </c>
      <c r="K206" s="189">
        <f>SUM(K204:K205)</f>
        <v>16.043293057698328</v>
      </c>
      <c r="L206" s="179"/>
      <c r="M206" s="190">
        <f>K206-F206</f>
        <v>0.46329305769832807</v>
      </c>
      <c r="N206" s="191">
        <f>M206/F206</f>
        <v>0.029736396514655202</v>
      </c>
    </row>
    <row r="207" spans="1:14" ht="27" customHeight="1">
      <c r="A207" s="86"/>
      <c r="B207" s="31"/>
      <c r="C207" s="180" t="s">
        <v>84</v>
      </c>
      <c r="D207" s="181">
        <f>A203</f>
        <v>250</v>
      </c>
      <c r="E207" s="439">
        <v>0.0239</v>
      </c>
      <c r="F207" s="374">
        <f>D207*E207</f>
        <v>5.9750000000000005</v>
      </c>
      <c r="G207" s="167"/>
      <c r="H207" s="184" t="s">
        <v>84</v>
      </c>
      <c r="I207" s="185">
        <f aca="true" t="shared" si="9" ref="I207:K208">D207</f>
        <v>250</v>
      </c>
      <c r="J207" s="441">
        <f t="shared" si="9"/>
        <v>0.0239</v>
      </c>
      <c r="K207" s="195">
        <f t="shared" si="9"/>
        <v>5.9750000000000005</v>
      </c>
      <c r="L207" s="179"/>
      <c r="M207" s="575"/>
      <c r="N207" s="576"/>
    </row>
    <row r="208" spans="1:14" ht="26.25" thickBot="1">
      <c r="A208" s="86"/>
      <c r="B208" s="31"/>
      <c r="C208" s="196" t="s">
        <v>85</v>
      </c>
      <c r="D208" s="181">
        <f>A203</f>
        <v>250</v>
      </c>
      <c r="E208" s="440">
        <v>0.047</v>
      </c>
      <c r="F208" s="352">
        <f>D208*E208</f>
        <v>11.75</v>
      </c>
      <c r="G208" s="167"/>
      <c r="H208" s="198" t="s">
        <v>85</v>
      </c>
      <c r="I208" s="199">
        <f t="shared" si="9"/>
        <v>250</v>
      </c>
      <c r="J208" s="442">
        <f t="shared" si="9"/>
        <v>0.047</v>
      </c>
      <c r="K208" s="201">
        <f t="shared" si="9"/>
        <v>11.75</v>
      </c>
      <c r="L208" s="179"/>
      <c r="M208" s="579"/>
      <c r="N208" s="580"/>
    </row>
    <row r="209" spans="1:14" ht="13.5" thickBot="1">
      <c r="A209" s="86"/>
      <c r="B209" s="31"/>
      <c r="C209" s="597"/>
      <c r="D209" s="598"/>
      <c r="E209" s="598"/>
      <c r="F209" s="599"/>
      <c r="G209" s="167"/>
      <c r="H209" s="598"/>
      <c r="I209" s="598"/>
      <c r="J209" s="598"/>
      <c r="K209" s="599"/>
      <c r="L209" s="31"/>
      <c r="M209" s="86"/>
      <c r="N209" s="202"/>
    </row>
    <row r="210" spans="1:14" ht="13.5" thickBot="1">
      <c r="A210" s="94"/>
      <c r="B210" s="148"/>
      <c r="C210" s="203" t="s">
        <v>200</v>
      </c>
      <c r="D210" s="204"/>
      <c r="E210" s="204"/>
      <c r="F210" s="189">
        <f>SUM(F207:F208,F206)</f>
        <v>33.305</v>
      </c>
      <c r="G210" s="206"/>
      <c r="H210" s="604" t="s">
        <v>201</v>
      </c>
      <c r="I210" s="604"/>
      <c r="J210" s="604"/>
      <c r="K210" s="189">
        <f>SUM(K206:K208)</f>
        <v>33.76829305769833</v>
      </c>
      <c r="L210" s="207"/>
      <c r="M210" s="190">
        <f>K210-F210</f>
        <v>0.46329305769832985</v>
      </c>
      <c r="N210" s="191">
        <f>M210/F210</f>
        <v>0.013910615754341086</v>
      </c>
    </row>
    <row r="211" ht="12.75">
      <c r="K211" s="161"/>
    </row>
    <row r="212" spans="1:14" ht="11.25" customHeight="1" thickBot="1">
      <c r="A212" s="47"/>
      <c r="B212" s="12"/>
      <c r="D212" s="10"/>
      <c r="E212" s="10"/>
      <c r="F212" s="209"/>
      <c r="I212" s="10"/>
      <c r="J212" s="10"/>
      <c r="K212" s="210"/>
      <c r="L212" s="12"/>
      <c r="M212" s="12"/>
      <c r="N212" s="211"/>
    </row>
    <row r="213" spans="1:14" ht="60.75" thickBot="1">
      <c r="A213" s="168" t="s">
        <v>78</v>
      </c>
      <c r="B213" s="169"/>
      <c r="C213" s="608"/>
      <c r="D213" s="581" t="s">
        <v>12</v>
      </c>
      <c r="E213" s="583" t="s">
        <v>79</v>
      </c>
      <c r="F213" s="585" t="s">
        <v>182</v>
      </c>
      <c r="G213" s="166"/>
      <c r="H213" s="170"/>
      <c r="I213" s="581" t="s">
        <v>12</v>
      </c>
      <c r="J213" s="583" t="s">
        <v>79</v>
      </c>
      <c r="K213" s="585" t="s">
        <v>182</v>
      </c>
      <c r="L213" s="169"/>
      <c r="M213" s="600" t="s">
        <v>181</v>
      </c>
      <c r="N213" s="602" t="s">
        <v>80</v>
      </c>
    </row>
    <row r="214" spans="1:14" ht="13.5" thickBot="1">
      <c r="A214" s="171">
        <v>500</v>
      </c>
      <c r="B214" s="31"/>
      <c r="C214" s="609"/>
      <c r="D214" s="582"/>
      <c r="E214" s="584"/>
      <c r="F214" s="586"/>
      <c r="G214" s="167"/>
      <c r="H214" s="31"/>
      <c r="I214" s="587"/>
      <c r="J214" s="588"/>
      <c r="K214" s="586"/>
      <c r="L214" s="32"/>
      <c r="M214" s="601"/>
      <c r="N214" s="603"/>
    </row>
    <row r="215" spans="1:14" ht="25.5">
      <c r="A215" s="172"/>
      <c r="B215" s="31"/>
      <c r="C215" s="173" t="s">
        <v>21</v>
      </c>
      <c r="D215" s="174" t="s">
        <v>81</v>
      </c>
      <c r="E215" s="175" t="s">
        <v>81</v>
      </c>
      <c r="F215" s="234">
        <f>F204</f>
        <v>12.93</v>
      </c>
      <c r="G215" s="167"/>
      <c r="H215" s="177" t="s">
        <v>21</v>
      </c>
      <c r="I215" s="208" t="str">
        <f>D215</f>
        <v>N/A</v>
      </c>
      <c r="J215" s="178" t="s">
        <v>81</v>
      </c>
      <c r="K215" s="227">
        <f>+K204</f>
        <v>12.32927333576484</v>
      </c>
      <c r="L215" s="179"/>
      <c r="M215" s="575"/>
      <c r="N215" s="576"/>
    </row>
    <row r="216" spans="1:14" ht="25.5" customHeight="1" thickBot="1">
      <c r="A216" s="86"/>
      <c r="B216" s="31"/>
      <c r="C216" s="180" t="s">
        <v>82</v>
      </c>
      <c r="D216" s="235">
        <f>A214</f>
        <v>500</v>
      </c>
      <c r="E216" s="182">
        <f>E205</f>
        <v>0.0106</v>
      </c>
      <c r="F216" s="352">
        <f>D216*E216</f>
        <v>5.3</v>
      </c>
      <c r="G216" s="167"/>
      <c r="H216" s="184" t="s">
        <v>82</v>
      </c>
      <c r="I216" s="375">
        <f>D216</f>
        <v>500</v>
      </c>
      <c r="J216" s="443">
        <f>+J205</f>
        <v>0.014856078887733954</v>
      </c>
      <c r="K216" s="186">
        <f>I216*J216</f>
        <v>7.428039443866977</v>
      </c>
      <c r="L216" s="179"/>
      <c r="M216" s="577"/>
      <c r="N216" s="578"/>
    </row>
    <row r="217" spans="1:14" ht="13.5" thickBot="1">
      <c r="A217" s="86"/>
      <c r="B217" s="31"/>
      <c r="C217" s="605"/>
      <c r="D217" s="606"/>
      <c r="E217" s="187" t="s">
        <v>52</v>
      </c>
      <c r="F217" s="373">
        <f>SUM(F215:F216)</f>
        <v>18.23</v>
      </c>
      <c r="G217" s="167"/>
      <c r="H217" s="595"/>
      <c r="I217" s="596"/>
      <c r="J217" s="187" t="s">
        <v>83</v>
      </c>
      <c r="K217" s="189">
        <f>SUM(K215:K216)</f>
        <v>19.757312779631818</v>
      </c>
      <c r="L217" s="179"/>
      <c r="M217" s="190">
        <f>K217-F217</f>
        <v>1.527312779631817</v>
      </c>
      <c r="N217" s="191">
        <f>M217/F217</f>
        <v>0.0837801853884705</v>
      </c>
    </row>
    <row r="218" spans="1:14" ht="25.5">
      <c r="A218" s="86"/>
      <c r="B218" s="31"/>
      <c r="C218" s="180" t="s">
        <v>84</v>
      </c>
      <c r="D218" s="181">
        <f>A214</f>
        <v>500</v>
      </c>
      <c r="E218" s="439">
        <v>0.0239</v>
      </c>
      <c r="F218" s="374">
        <f>D218*E218</f>
        <v>11.950000000000001</v>
      </c>
      <c r="G218" s="167"/>
      <c r="H218" s="184" t="s">
        <v>84</v>
      </c>
      <c r="I218" s="185">
        <f aca="true" t="shared" si="10" ref="I218:K219">D218</f>
        <v>500</v>
      </c>
      <c r="J218" s="441">
        <f t="shared" si="10"/>
        <v>0.0239</v>
      </c>
      <c r="K218" s="195">
        <f t="shared" si="10"/>
        <v>11.950000000000001</v>
      </c>
      <c r="L218" s="179"/>
      <c r="M218" s="575"/>
      <c r="N218" s="576"/>
    </row>
    <row r="219" spans="1:14" ht="26.25" thickBot="1">
      <c r="A219" s="86"/>
      <c r="B219" s="31"/>
      <c r="C219" s="196" t="s">
        <v>85</v>
      </c>
      <c r="D219" s="181">
        <f>A214</f>
        <v>500</v>
      </c>
      <c r="E219" s="440">
        <v>0.047</v>
      </c>
      <c r="F219" s="352">
        <f>D219*E219</f>
        <v>23.5</v>
      </c>
      <c r="G219" s="167"/>
      <c r="H219" s="198" t="s">
        <v>85</v>
      </c>
      <c r="I219" s="199">
        <f t="shared" si="10"/>
        <v>500</v>
      </c>
      <c r="J219" s="442">
        <f t="shared" si="10"/>
        <v>0.047</v>
      </c>
      <c r="K219" s="201">
        <f t="shared" si="10"/>
        <v>23.5</v>
      </c>
      <c r="L219" s="179"/>
      <c r="M219" s="579"/>
      <c r="N219" s="580"/>
    </row>
    <row r="220" spans="1:14" ht="13.5" thickBot="1">
      <c r="A220" s="86"/>
      <c r="B220" s="31"/>
      <c r="C220" s="597"/>
      <c r="D220" s="598"/>
      <c r="E220" s="598"/>
      <c r="F220" s="599"/>
      <c r="G220" s="167"/>
      <c r="H220" s="598"/>
      <c r="I220" s="598"/>
      <c r="J220" s="598"/>
      <c r="K220" s="599"/>
      <c r="L220" s="31"/>
      <c r="M220" s="86"/>
      <c r="N220" s="202"/>
    </row>
    <row r="221" spans="1:14" ht="13.5" thickBot="1">
      <c r="A221" s="94"/>
      <c r="B221" s="148"/>
      <c r="C221" s="203" t="s">
        <v>200</v>
      </c>
      <c r="D221" s="204"/>
      <c r="E221" s="204"/>
      <c r="F221" s="189">
        <f>SUM(F218:F219,F217)</f>
        <v>53.68000000000001</v>
      </c>
      <c r="G221" s="206"/>
      <c r="H221" s="604" t="s">
        <v>201</v>
      </c>
      <c r="I221" s="604"/>
      <c r="J221" s="604"/>
      <c r="K221" s="189">
        <f>SUM(K217:K219)</f>
        <v>55.20731277963182</v>
      </c>
      <c r="L221" s="207"/>
      <c r="M221" s="190">
        <f>K221-F221</f>
        <v>1.5273127796318136</v>
      </c>
      <c r="N221" s="191">
        <f>M221/F221</f>
        <v>0.0284521754774928</v>
      </c>
    </row>
    <row r="222" spans="1:14" ht="15">
      <c r="A222" s="47"/>
      <c r="B222" s="12"/>
      <c r="D222" s="10"/>
      <c r="E222" s="10"/>
      <c r="F222" s="209"/>
      <c r="I222" s="10"/>
      <c r="J222" s="10"/>
      <c r="K222" s="210"/>
      <c r="L222" s="12"/>
      <c r="M222" s="12"/>
      <c r="N222" s="211"/>
    </row>
    <row r="223" spans="1:14" ht="13.5" thickBot="1">
      <c r="A223" s="12"/>
      <c r="C223" s="497" t="s">
        <v>244</v>
      </c>
      <c r="D223" s="484"/>
      <c r="E223" s="10"/>
      <c r="F223" s="209"/>
      <c r="I223" s="10"/>
      <c r="J223" s="10"/>
      <c r="K223" s="210"/>
      <c r="L223" s="12"/>
      <c r="M223" s="12"/>
      <c r="N223" s="213"/>
    </row>
    <row r="224" spans="1:14" ht="60.75" thickBot="1">
      <c r="A224" s="168" t="s">
        <v>78</v>
      </c>
      <c r="B224" s="169"/>
      <c r="C224" s="569"/>
      <c r="D224" s="581" t="s">
        <v>12</v>
      </c>
      <c r="E224" s="583" t="s">
        <v>79</v>
      </c>
      <c r="F224" s="585" t="s">
        <v>182</v>
      </c>
      <c r="G224" s="166"/>
      <c r="H224" s="170"/>
      <c r="I224" s="581" t="s">
        <v>12</v>
      </c>
      <c r="J224" s="583" t="s">
        <v>79</v>
      </c>
      <c r="K224" s="585" t="s">
        <v>182</v>
      </c>
      <c r="L224" s="169"/>
      <c r="M224" s="600" t="s">
        <v>181</v>
      </c>
      <c r="N224" s="602" t="s">
        <v>80</v>
      </c>
    </row>
    <row r="225" spans="1:14" ht="13.5" thickBot="1">
      <c r="A225" s="171">
        <v>750</v>
      </c>
      <c r="B225" s="31"/>
      <c r="C225" s="570"/>
      <c r="D225" s="582"/>
      <c r="E225" s="584"/>
      <c r="F225" s="586"/>
      <c r="G225" s="167"/>
      <c r="H225" s="31"/>
      <c r="I225" s="587"/>
      <c r="J225" s="588"/>
      <c r="K225" s="586"/>
      <c r="L225" s="32"/>
      <c r="M225" s="601"/>
      <c r="N225" s="603"/>
    </row>
    <row r="226" spans="1:14" ht="26.25" customHeight="1">
      <c r="A226" s="172"/>
      <c r="B226" s="31"/>
      <c r="C226" s="173" t="s">
        <v>21</v>
      </c>
      <c r="D226" s="174" t="s">
        <v>81</v>
      </c>
      <c r="E226" s="175" t="s">
        <v>81</v>
      </c>
      <c r="F226" s="234">
        <f>F215</f>
        <v>12.93</v>
      </c>
      <c r="G226" s="167"/>
      <c r="H226" s="177" t="s">
        <v>21</v>
      </c>
      <c r="I226" s="208" t="str">
        <f>D226</f>
        <v>N/A</v>
      </c>
      <c r="J226" s="178" t="s">
        <v>81</v>
      </c>
      <c r="K226" s="227">
        <f>+K215</f>
        <v>12.32927333576484</v>
      </c>
      <c r="L226" s="179">
        <f>+'11. 2005 Final Rate Schedule '!F169</f>
        <v>12.32927333576484</v>
      </c>
      <c r="M226" s="575"/>
      <c r="N226" s="576"/>
    </row>
    <row r="227" spans="1:14" ht="26.25" customHeight="1" thickBot="1">
      <c r="A227" s="86"/>
      <c r="B227" s="31"/>
      <c r="C227" s="180" t="s">
        <v>82</v>
      </c>
      <c r="D227" s="235">
        <f>A225</f>
        <v>750</v>
      </c>
      <c r="E227" s="182">
        <f>E216</f>
        <v>0.0106</v>
      </c>
      <c r="F227" s="352">
        <f>D227*E227</f>
        <v>7.95</v>
      </c>
      <c r="G227" s="167"/>
      <c r="H227" s="184" t="s">
        <v>82</v>
      </c>
      <c r="I227" s="375">
        <f>D227</f>
        <v>750</v>
      </c>
      <c r="J227" s="228">
        <f>+J216</f>
        <v>0.014856078887733954</v>
      </c>
      <c r="K227" s="186">
        <f>I227*J227</f>
        <v>11.142059165800466</v>
      </c>
      <c r="L227" s="179"/>
      <c r="M227" s="577"/>
      <c r="N227" s="578"/>
    </row>
    <row r="228" spans="1:14" ht="13.5" thickBot="1">
      <c r="A228" s="86"/>
      <c r="B228" s="31"/>
      <c r="C228" s="605"/>
      <c r="D228" s="607"/>
      <c r="E228" s="187" t="s">
        <v>52</v>
      </c>
      <c r="F228" s="373">
        <f>SUM(F226:F227)</f>
        <v>20.88</v>
      </c>
      <c r="G228" s="167"/>
      <c r="H228" s="595"/>
      <c r="I228" s="596"/>
      <c r="J228" s="187" t="s">
        <v>83</v>
      </c>
      <c r="K228" s="189">
        <f>SUM(K226:K227)</f>
        <v>23.471332501565307</v>
      </c>
      <c r="L228" s="179"/>
      <c r="M228" s="190">
        <f>K228-F228</f>
        <v>2.591332501565308</v>
      </c>
      <c r="N228" s="191">
        <f>M228/F228</f>
        <v>0.12410596271864502</v>
      </c>
    </row>
    <row r="229" spans="1:14" ht="25.5">
      <c r="A229" s="86"/>
      <c r="B229" s="31"/>
      <c r="C229" s="180" t="s">
        <v>84</v>
      </c>
      <c r="D229" s="181">
        <f>A225</f>
        <v>750</v>
      </c>
      <c r="E229" s="192">
        <v>0.0239</v>
      </c>
      <c r="F229" s="374">
        <f>D229*E229</f>
        <v>17.925</v>
      </c>
      <c r="G229" s="167"/>
      <c r="H229" s="184" t="s">
        <v>84</v>
      </c>
      <c r="I229" s="185">
        <f aca="true" t="shared" si="11" ref="I229:K230">D229</f>
        <v>750</v>
      </c>
      <c r="J229" s="194">
        <f t="shared" si="11"/>
        <v>0.0239</v>
      </c>
      <c r="K229" s="195">
        <f t="shared" si="11"/>
        <v>17.925</v>
      </c>
      <c r="L229" s="179"/>
      <c r="M229" s="575"/>
      <c r="N229" s="576"/>
    </row>
    <row r="230" spans="1:14" ht="26.25" thickBot="1">
      <c r="A230" s="86"/>
      <c r="B230" s="31"/>
      <c r="C230" s="196" t="s">
        <v>85</v>
      </c>
      <c r="D230" s="181">
        <f>A225</f>
        <v>750</v>
      </c>
      <c r="E230" s="197">
        <v>0.047</v>
      </c>
      <c r="F230" s="352">
        <f>D230*E230</f>
        <v>35.25</v>
      </c>
      <c r="G230" s="167"/>
      <c r="H230" s="198" t="s">
        <v>85</v>
      </c>
      <c r="I230" s="199">
        <f t="shared" si="11"/>
        <v>750</v>
      </c>
      <c r="J230" s="200">
        <f t="shared" si="11"/>
        <v>0.047</v>
      </c>
      <c r="K230" s="201">
        <f t="shared" si="11"/>
        <v>35.25</v>
      </c>
      <c r="L230" s="179"/>
      <c r="M230" s="579"/>
      <c r="N230" s="580"/>
    </row>
    <row r="231" spans="1:14" ht="13.5" thickBot="1">
      <c r="A231" s="86"/>
      <c r="B231" s="31"/>
      <c r="C231" s="597"/>
      <c r="D231" s="598"/>
      <c r="E231" s="598"/>
      <c r="F231" s="599"/>
      <c r="G231" s="167"/>
      <c r="H231" s="598"/>
      <c r="I231" s="598"/>
      <c r="J231" s="598"/>
      <c r="K231" s="599"/>
      <c r="L231" s="31"/>
      <c r="M231" s="86"/>
      <c r="N231" s="202"/>
    </row>
    <row r="232" spans="1:14" ht="13.5" thickBot="1">
      <c r="A232" s="94"/>
      <c r="B232" s="148"/>
      <c r="C232" s="203" t="s">
        <v>200</v>
      </c>
      <c r="D232" s="204"/>
      <c r="E232" s="204"/>
      <c r="F232" s="189">
        <f>SUM(F229:F230,F228)</f>
        <v>74.05499999999999</v>
      </c>
      <c r="G232" s="206"/>
      <c r="H232" s="604" t="s">
        <v>201</v>
      </c>
      <c r="I232" s="604"/>
      <c r="J232" s="604"/>
      <c r="K232" s="189">
        <f>SUM(K228:K230)</f>
        <v>76.64633250156531</v>
      </c>
      <c r="L232" s="207"/>
      <c r="M232" s="190">
        <f>K232-F232</f>
        <v>2.5913325015653186</v>
      </c>
      <c r="N232" s="191">
        <f>M232/F232</f>
        <v>0.03499199921092862</v>
      </c>
    </row>
    <row r="233" spans="1:14" ht="10.5" customHeight="1">
      <c r="A233" s="12"/>
      <c r="D233" s="212"/>
      <c r="E233" s="10"/>
      <c r="F233" s="209"/>
      <c r="I233" s="10"/>
      <c r="J233" s="10"/>
      <c r="K233" s="210"/>
      <c r="L233" s="12"/>
      <c r="M233" s="12"/>
      <c r="N233" s="213"/>
    </row>
    <row r="234" spans="1:13" ht="10.5" customHeight="1" thickBot="1">
      <c r="A234" s="214"/>
      <c r="B234" s="31"/>
      <c r="C234" s="133"/>
      <c r="D234" s="30"/>
      <c r="E234" s="30"/>
      <c r="F234" s="215"/>
      <c r="H234" s="133"/>
      <c r="I234" s="30"/>
      <c r="J234" s="30"/>
      <c r="K234" s="216"/>
      <c r="L234" s="216"/>
      <c r="M234" s="216"/>
    </row>
    <row r="235" spans="1:14" ht="60.75" thickBot="1">
      <c r="A235" s="168" t="s">
        <v>78</v>
      </c>
      <c r="B235" s="169"/>
      <c r="C235" s="569"/>
      <c r="D235" s="581" t="s">
        <v>12</v>
      </c>
      <c r="E235" s="583" t="s">
        <v>79</v>
      </c>
      <c r="F235" s="585" t="s">
        <v>182</v>
      </c>
      <c r="G235" s="166"/>
      <c r="H235" s="170"/>
      <c r="I235" s="581" t="s">
        <v>12</v>
      </c>
      <c r="J235" s="583" t="s">
        <v>79</v>
      </c>
      <c r="K235" s="585" t="s">
        <v>182</v>
      </c>
      <c r="L235" s="169"/>
      <c r="M235" s="600" t="s">
        <v>181</v>
      </c>
      <c r="N235" s="602" t="s">
        <v>80</v>
      </c>
    </row>
    <row r="236" spans="1:14" ht="13.5" thickBot="1">
      <c r="A236" s="171">
        <v>1000</v>
      </c>
      <c r="B236" s="31"/>
      <c r="C236" s="570"/>
      <c r="D236" s="582"/>
      <c r="E236" s="584"/>
      <c r="F236" s="586"/>
      <c r="G236" s="167"/>
      <c r="H236" s="31"/>
      <c r="I236" s="587"/>
      <c r="J236" s="588"/>
      <c r="K236" s="586"/>
      <c r="L236" s="32"/>
      <c r="M236" s="601"/>
      <c r="N236" s="603"/>
    </row>
    <row r="237" spans="1:14" ht="26.25" customHeight="1">
      <c r="A237" s="172"/>
      <c r="B237" s="31"/>
      <c r="C237" s="173" t="s">
        <v>21</v>
      </c>
      <c r="D237" s="174" t="s">
        <v>81</v>
      </c>
      <c r="E237" s="175" t="s">
        <v>81</v>
      </c>
      <c r="F237" s="234">
        <f>F226</f>
        <v>12.93</v>
      </c>
      <c r="G237" s="167"/>
      <c r="H237" s="173" t="s">
        <v>21</v>
      </c>
      <c r="I237" s="208" t="str">
        <f>D237</f>
        <v>N/A</v>
      </c>
      <c r="J237" s="178" t="s">
        <v>81</v>
      </c>
      <c r="K237" s="227">
        <f>+K226</f>
        <v>12.32927333576484</v>
      </c>
      <c r="L237" s="179"/>
      <c r="M237" s="575"/>
      <c r="N237" s="576"/>
    </row>
    <row r="238" spans="1:14" ht="24" customHeight="1" thickBot="1">
      <c r="A238" s="86"/>
      <c r="B238" s="31"/>
      <c r="C238" s="180" t="s">
        <v>82</v>
      </c>
      <c r="D238" s="181">
        <f>A236</f>
        <v>1000</v>
      </c>
      <c r="E238" s="182">
        <f>E227</f>
        <v>0.0106</v>
      </c>
      <c r="F238" s="352">
        <f>D238*E238</f>
        <v>10.6</v>
      </c>
      <c r="G238" s="167"/>
      <c r="H238" s="180" t="s">
        <v>82</v>
      </c>
      <c r="I238" s="185">
        <f>D238</f>
        <v>1000</v>
      </c>
      <c r="J238" s="228">
        <f>+J227</f>
        <v>0.014856078887733954</v>
      </c>
      <c r="K238" s="186">
        <f>I238*J238</f>
        <v>14.856078887733954</v>
      </c>
      <c r="L238" s="179"/>
      <c r="M238" s="577"/>
      <c r="N238" s="578"/>
    </row>
    <row r="239" spans="1:14" ht="13.5" thickBot="1">
      <c r="A239" s="86"/>
      <c r="B239" s="31"/>
      <c r="C239" s="605"/>
      <c r="D239" s="607"/>
      <c r="E239" s="187" t="s">
        <v>52</v>
      </c>
      <c r="F239" s="373">
        <f>SUM(F237:F238)</f>
        <v>23.53</v>
      </c>
      <c r="G239" s="167"/>
      <c r="H239" s="610"/>
      <c r="I239" s="596"/>
      <c r="J239" s="187" t="s">
        <v>83</v>
      </c>
      <c r="K239" s="189">
        <f>SUM(K237:K238)</f>
        <v>27.185352223498796</v>
      </c>
      <c r="L239" s="179"/>
      <c r="M239" s="190">
        <f>K239-F239</f>
        <v>3.655352223498795</v>
      </c>
      <c r="N239" s="191">
        <f>M239/F239</f>
        <v>0.1553485857840542</v>
      </c>
    </row>
    <row r="240" spans="1:14" ht="25.5">
      <c r="A240" s="86"/>
      <c r="B240" s="31"/>
      <c r="C240" s="180" t="s">
        <v>84</v>
      </c>
      <c r="D240" s="181">
        <f>A236</f>
        <v>1000</v>
      </c>
      <c r="E240" s="192">
        <v>0.0239</v>
      </c>
      <c r="F240" s="374">
        <f>D240*E240</f>
        <v>23.900000000000002</v>
      </c>
      <c r="G240" s="167"/>
      <c r="H240" s="180" t="s">
        <v>84</v>
      </c>
      <c r="I240" s="185">
        <f>D240</f>
        <v>1000</v>
      </c>
      <c r="J240" s="194">
        <f>E240</f>
        <v>0.0239</v>
      </c>
      <c r="K240" s="195">
        <f>F240</f>
        <v>23.900000000000002</v>
      </c>
      <c r="L240" s="179"/>
      <c r="M240" s="575"/>
      <c r="N240" s="576"/>
    </row>
    <row r="241" spans="1:14" ht="25.5">
      <c r="A241" s="86"/>
      <c r="B241" s="31"/>
      <c r="C241" s="196" t="s">
        <v>85</v>
      </c>
      <c r="D241" s="181">
        <v>750</v>
      </c>
      <c r="E241" s="197">
        <v>0.047</v>
      </c>
      <c r="F241" s="352">
        <f>D241*E241</f>
        <v>35.25</v>
      </c>
      <c r="G241" s="167"/>
      <c r="H241" s="196" t="s">
        <v>85</v>
      </c>
      <c r="I241" s="181">
        <f>D241</f>
        <v>750</v>
      </c>
      <c r="J241" s="197">
        <v>0.047</v>
      </c>
      <c r="K241" s="352">
        <f>I241*J241</f>
        <v>35.25</v>
      </c>
      <c r="L241" s="179"/>
      <c r="M241" s="579"/>
      <c r="N241" s="580"/>
    </row>
    <row r="242" spans="1:14" ht="26.25" thickBot="1">
      <c r="A242" s="86"/>
      <c r="B242" s="31"/>
      <c r="C242" s="196" t="s">
        <v>85</v>
      </c>
      <c r="D242" s="235">
        <f>A236-D241</f>
        <v>250</v>
      </c>
      <c r="E242" s="197">
        <v>0.055</v>
      </c>
      <c r="F242" s="352">
        <f>D242*E242</f>
        <v>13.75</v>
      </c>
      <c r="G242" s="167"/>
      <c r="H242" s="353" t="s">
        <v>85</v>
      </c>
      <c r="I242" s="376">
        <f>D242</f>
        <v>250</v>
      </c>
      <c r="J242" s="354">
        <v>0.055</v>
      </c>
      <c r="K242" s="355">
        <f>I242*J242</f>
        <v>13.75</v>
      </c>
      <c r="L242" s="179"/>
      <c r="M242" s="579"/>
      <c r="N242" s="580"/>
    </row>
    <row r="243" spans="1:14" ht="13.5" thickBot="1">
      <c r="A243" s="86"/>
      <c r="B243" s="31"/>
      <c r="C243" s="597"/>
      <c r="D243" s="598"/>
      <c r="E243" s="598"/>
      <c r="F243" s="599"/>
      <c r="G243" s="167"/>
      <c r="H243" s="598"/>
      <c r="I243" s="598"/>
      <c r="J243" s="598"/>
      <c r="K243" s="599"/>
      <c r="L243" s="31"/>
      <c r="M243" s="86"/>
      <c r="N243" s="202"/>
    </row>
    <row r="244" spans="1:14" ht="13.5" thickBot="1">
      <c r="A244" s="94"/>
      <c r="B244" s="148"/>
      <c r="C244" s="203" t="s">
        <v>200</v>
      </c>
      <c r="D244" s="204"/>
      <c r="E244" s="204"/>
      <c r="F244" s="189">
        <f>SUM(F240:F242,F239)</f>
        <v>96.43</v>
      </c>
      <c r="G244" s="206"/>
      <c r="H244" s="604" t="s">
        <v>201</v>
      </c>
      <c r="I244" s="604"/>
      <c r="J244" s="604"/>
      <c r="K244" s="189">
        <f>SUM(K239:K242)</f>
        <v>100.0853522234988</v>
      </c>
      <c r="L244" s="207"/>
      <c r="M244" s="190">
        <f>K244-F244</f>
        <v>3.655352223498795</v>
      </c>
      <c r="N244" s="191">
        <f>M244/F244</f>
        <v>0.03790679480969403</v>
      </c>
    </row>
    <row r="245" spans="1:14" ht="12.75">
      <c r="A245" s="12"/>
      <c r="D245" s="212"/>
      <c r="E245" s="10"/>
      <c r="F245" s="209"/>
      <c r="I245" s="10"/>
      <c r="J245" s="10"/>
      <c r="K245" s="210"/>
      <c r="L245" s="12"/>
      <c r="M245" s="12"/>
      <c r="N245" s="213"/>
    </row>
    <row r="246" spans="1:13" ht="15.75" thickBot="1">
      <c r="A246" s="214"/>
      <c r="B246" s="31"/>
      <c r="C246" s="133"/>
      <c r="D246" s="30"/>
      <c r="E246" s="30"/>
      <c r="F246" s="215"/>
      <c r="H246" s="133"/>
      <c r="I246" s="30"/>
      <c r="J246" s="30"/>
      <c r="K246" s="216"/>
      <c r="L246" s="216"/>
      <c r="M246" s="216"/>
    </row>
    <row r="247" spans="1:14" ht="60.75" thickBot="1">
      <c r="A247" s="168" t="s">
        <v>78</v>
      </c>
      <c r="B247" s="169"/>
      <c r="C247" s="569"/>
      <c r="D247" s="581" t="s">
        <v>12</v>
      </c>
      <c r="E247" s="583" t="s">
        <v>79</v>
      </c>
      <c r="F247" s="585" t="s">
        <v>182</v>
      </c>
      <c r="G247" s="166"/>
      <c r="H247" s="170"/>
      <c r="I247" s="581" t="s">
        <v>12</v>
      </c>
      <c r="J247" s="583" t="s">
        <v>79</v>
      </c>
      <c r="K247" s="585" t="s">
        <v>182</v>
      </c>
      <c r="L247" s="169"/>
      <c r="M247" s="600" t="s">
        <v>181</v>
      </c>
      <c r="N247" s="602" t="s">
        <v>80</v>
      </c>
    </row>
    <row r="248" spans="1:14" ht="13.5" thickBot="1">
      <c r="A248" s="171">
        <v>1500</v>
      </c>
      <c r="B248" s="31"/>
      <c r="C248" s="570"/>
      <c r="D248" s="582"/>
      <c r="E248" s="584"/>
      <c r="F248" s="586"/>
      <c r="G248" s="167"/>
      <c r="H248" s="31"/>
      <c r="I248" s="587"/>
      <c r="J248" s="588"/>
      <c r="K248" s="586"/>
      <c r="L248" s="32"/>
      <c r="M248" s="601"/>
      <c r="N248" s="603"/>
    </row>
    <row r="249" spans="1:14" ht="27.75" customHeight="1">
      <c r="A249" s="172"/>
      <c r="B249" s="31"/>
      <c r="C249" s="173" t="s">
        <v>21</v>
      </c>
      <c r="D249" s="174" t="s">
        <v>81</v>
      </c>
      <c r="E249" s="175" t="s">
        <v>81</v>
      </c>
      <c r="F249" s="234">
        <f>F237</f>
        <v>12.93</v>
      </c>
      <c r="G249" s="167"/>
      <c r="H249" s="177" t="s">
        <v>21</v>
      </c>
      <c r="I249" s="208" t="str">
        <f>D249</f>
        <v>N/A</v>
      </c>
      <c r="J249" s="178" t="s">
        <v>81</v>
      </c>
      <c r="K249" s="227">
        <f>+K237</f>
        <v>12.32927333576484</v>
      </c>
      <c r="L249" s="179"/>
      <c r="M249" s="575"/>
      <c r="N249" s="576"/>
    </row>
    <row r="250" spans="1:14" ht="25.5" customHeight="1" thickBot="1">
      <c r="A250" s="86"/>
      <c r="B250" s="31"/>
      <c r="C250" s="180" t="s">
        <v>82</v>
      </c>
      <c r="D250" s="181">
        <f>A248</f>
        <v>1500</v>
      </c>
      <c r="E250" s="182">
        <f>E238</f>
        <v>0.0106</v>
      </c>
      <c r="F250" s="352">
        <f>D250*E250</f>
        <v>15.9</v>
      </c>
      <c r="G250" s="167"/>
      <c r="H250" s="184" t="s">
        <v>82</v>
      </c>
      <c r="I250" s="185">
        <f>D250</f>
        <v>1500</v>
      </c>
      <c r="J250" s="228">
        <f>+J238</f>
        <v>0.014856078887733954</v>
      </c>
      <c r="K250" s="186">
        <f>I250*J250</f>
        <v>22.284118331600933</v>
      </c>
      <c r="L250" s="179"/>
      <c r="M250" s="577"/>
      <c r="N250" s="578"/>
    </row>
    <row r="251" spans="1:14" ht="13.5" thickBot="1">
      <c r="A251" s="86"/>
      <c r="B251" s="31"/>
      <c r="C251" s="605"/>
      <c r="D251" s="607"/>
      <c r="E251" s="187" t="s">
        <v>52</v>
      </c>
      <c r="F251" s="373">
        <f>SUM(F249:F250)</f>
        <v>28.83</v>
      </c>
      <c r="G251" s="167"/>
      <c r="H251" s="595"/>
      <c r="I251" s="596"/>
      <c r="J251" s="187" t="s">
        <v>83</v>
      </c>
      <c r="K251" s="189">
        <f>SUM(K249:K250)</f>
        <v>34.613391667365775</v>
      </c>
      <c r="L251" s="179"/>
      <c r="M251" s="190">
        <f>K251-F251</f>
        <v>5.783391667365777</v>
      </c>
      <c r="N251" s="191">
        <f>M251/F251</f>
        <v>0.20060324895476161</v>
      </c>
    </row>
    <row r="252" spans="1:14" ht="25.5">
      <c r="A252" s="86"/>
      <c r="B252" s="31"/>
      <c r="C252" s="180" t="s">
        <v>84</v>
      </c>
      <c r="D252" s="181">
        <f>A248</f>
        <v>1500</v>
      </c>
      <c r="E252" s="192">
        <v>0.0239</v>
      </c>
      <c r="F252" s="374">
        <f>D252*E252</f>
        <v>35.85</v>
      </c>
      <c r="G252" s="167"/>
      <c r="H252" s="184" t="s">
        <v>84</v>
      </c>
      <c r="I252" s="185">
        <f>D252</f>
        <v>1500</v>
      </c>
      <c r="J252" s="194">
        <f>E252</f>
        <v>0.0239</v>
      </c>
      <c r="K252" s="195">
        <f>F252</f>
        <v>35.85</v>
      </c>
      <c r="L252" s="179"/>
      <c r="M252" s="575"/>
      <c r="N252" s="576"/>
    </row>
    <row r="253" spans="1:14" ht="25.5">
      <c r="A253" s="86"/>
      <c r="B253" s="31"/>
      <c r="C253" s="196" t="s">
        <v>85</v>
      </c>
      <c r="D253" s="181">
        <v>750</v>
      </c>
      <c r="E253" s="197">
        <v>0.047</v>
      </c>
      <c r="F253" s="352">
        <f>D253*E253</f>
        <v>35.25</v>
      </c>
      <c r="G253" s="167"/>
      <c r="H253" s="196" t="s">
        <v>85</v>
      </c>
      <c r="I253" s="185">
        <f>D253</f>
        <v>750</v>
      </c>
      <c r="J253" s="197">
        <v>0.047</v>
      </c>
      <c r="K253" s="352">
        <f>I253*J253</f>
        <v>35.25</v>
      </c>
      <c r="L253" s="179"/>
      <c r="M253" s="579"/>
      <c r="N253" s="580"/>
    </row>
    <row r="254" spans="1:14" ht="26.25" thickBot="1">
      <c r="A254" s="86"/>
      <c r="B254" s="31"/>
      <c r="C254" s="196" t="s">
        <v>85</v>
      </c>
      <c r="D254" s="235">
        <f>A248-D253</f>
        <v>750</v>
      </c>
      <c r="E254" s="197">
        <v>0.055</v>
      </c>
      <c r="F254" s="352">
        <f>D254*E254</f>
        <v>41.25</v>
      </c>
      <c r="G254" s="167"/>
      <c r="H254" s="353" t="s">
        <v>85</v>
      </c>
      <c r="I254" s="376">
        <f>D254</f>
        <v>750</v>
      </c>
      <c r="J254" s="354">
        <v>0.055</v>
      </c>
      <c r="K254" s="355">
        <f>I254*J254</f>
        <v>41.25</v>
      </c>
      <c r="L254" s="179"/>
      <c r="M254" s="579"/>
      <c r="N254" s="580"/>
    </row>
    <row r="255" spans="1:14" ht="13.5" thickBot="1">
      <c r="A255" s="86"/>
      <c r="B255" s="31"/>
      <c r="C255" s="597"/>
      <c r="D255" s="598"/>
      <c r="E255" s="598"/>
      <c r="F255" s="599"/>
      <c r="G255" s="167"/>
      <c r="H255" s="598"/>
      <c r="I255" s="598"/>
      <c r="J255" s="598"/>
      <c r="K255" s="599"/>
      <c r="L255" s="31"/>
      <c r="M255" s="86"/>
      <c r="N255" s="202"/>
    </row>
    <row r="256" spans="1:14" ht="13.5" thickBot="1">
      <c r="A256" s="94"/>
      <c r="B256" s="148"/>
      <c r="C256" s="203" t="s">
        <v>200</v>
      </c>
      <c r="D256" s="204"/>
      <c r="E256" s="204"/>
      <c r="F256" s="189">
        <f>SUM(F252:F254,F251)</f>
        <v>141.18</v>
      </c>
      <c r="G256" s="206"/>
      <c r="H256" s="604" t="s">
        <v>201</v>
      </c>
      <c r="I256" s="604"/>
      <c r="J256" s="604"/>
      <c r="K256" s="189">
        <f>SUM(K251:K254)</f>
        <v>146.96339166736578</v>
      </c>
      <c r="L256" s="207"/>
      <c r="M256" s="190">
        <f>K256-F256</f>
        <v>5.783391667365777</v>
      </c>
      <c r="N256" s="191">
        <f>M256/F256</f>
        <v>0.040964666860502735</v>
      </c>
    </row>
    <row r="257" spans="1:14" ht="9" customHeight="1">
      <c r="A257" s="12"/>
      <c r="D257" s="212"/>
      <c r="E257" s="10"/>
      <c r="F257" s="209"/>
      <c r="I257" s="10"/>
      <c r="J257" s="10"/>
      <c r="K257" s="210"/>
      <c r="L257" s="12"/>
      <c r="M257" s="12"/>
      <c r="N257" s="213"/>
    </row>
    <row r="258" spans="1:13" ht="9" customHeight="1" thickBot="1">
      <c r="A258" s="214"/>
      <c r="B258" s="31"/>
      <c r="C258" s="133"/>
      <c r="D258" s="30"/>
      <c r="E258" s="30"/>
      <c r="F258" s="215"/>
      <c r="H258" s="133"/>
      <c r="I258" s="30"/>
      <c r="J258" s="30"/>
      <c r="K258" s="216"/>
      <c r="L258" s="216"/>
      <c r="M258" s="216"/>
    </row>
    <row r="259" spans="1:14" ht="60.75" thickBot="1">
      <c r="A259" s="168" t="s">
        <v>78</v>
      </c>
      <c r="B259" s="169"/>
      <c r="C259" s="569"/>
      <c r="D259" s="581" t="s">
        <v>12</v>
      </c>
      <c r="E259" s="583" t="s">
        <v>79</v>
      </c>
      <c r="F259" s="585" t="s">
        <v>182</v>
      </c>
      <c r="G259" s="166"/>
      <c r="H259" s="170"/>
      <c r="I259" s="581" t="s">
        <v>12</v>
      </c>
      <c r="J259" s="583" t="s">
        <v>79</v>
      </c>
      <c r="K259" s="585" t="s">
        <v>182</v>
      </c>
      <c r="L259" s="169"/>
      <c r="M259" s="600" t="s">
        <v>181</v>
      </c>
      <c r="N259" s="602" t="s">
        <v>80</v>
      </c>
    </row>
    <row r="260" spans="1:14" ht="13.5" thickBot="1">
      <c r="A260" s="171">
        <v>2000</v>
      </c>
      <c r="B260" s="31"/>
      <c r="C260" s="570"/>
      <c r="D260" s="582"/>
      <c r="E260" s="584"/>
      <c r="F260" s="586"/>
      <c r="G260" s="167"/>
      <c r="H260" s="31"/>
      <c r="I260" s="587"/>
      <c r="J260" s="588"/>
      <c r="K260" s="586"/>
      <c r="L260" s="32"/>
      <c r="M260" s="601"/>
      <c r="N260" s="603"/>
    </row>
    <row r="261" spans="1:14" ht="27" customHeight="1">
      <c r="A261" s="172"/>
      <c r="B261" s="31"/>
      <c r="C261" s="173" t="s">
        <v>21</v>
      </c>
      <c r="D261" s="174" t="s">
        <v>81</v>
      </c>
      <c r="E261" s="175" t="s">
        <v>81</v>
      </c>
      <c r="F261" s="234">
        <f>F249</f>
        <v>12.93</v>
      </c>
      <c r="G261" s="167"/>
      <c r="H261" s="177" t="s">
        <v>21</v>
      </c>
      <c r="I261" s="208" t="str">
        <f>D261</f>
        <v>N/A</v>
      </c>
      <c r="J261" s="178" t="s">
        <v>81</v>
      </c>
      <c r="K261" s="227">
        <f>+K249</f>
        <v>12.32927333576484</v>
      </c>
      <c r="L261" s="179"/>
      <c r="M261" s="575"/>
      <c r="N261" s="576"/>
    </row>
    <row r="262" spans="1:14" ht="29.25" customHeight="1" thickBot="1">
      <c r="A262" s="86"/>
      <c r="B262" s="31"/>
      <c r="C262" s="180" t="s">
        <v>82</v>
      </c>
      <c r="D262" s="181">
        <f>A260</f>
        <v>2000</v>
      </c>
      <c r="E262" s="182">
        <f>E250</f>
        <v>0.0106</v>
      </c>
      <c r="F262" s="352">
        <f>D262*E262</f>
        <v>21.2</v>
      </c>
      <c r="G262" s="167"/>
      <c r="H262" s="184" t="s">
        <v>82</v>
      </c>
      <c r="I262" s="185">
        <f>D262</f>
        <v>2000</v>
      </c>
      <c r="J262" s="228">
        <f>+J250</f>
        <v>0.014856078887733954</v>
      </c>
      <c r="K262" s="186">
        <f>I262*J262</f>
        <v>29.712157775467908</v>
      </c>
      <c r="L262" s="179"/>
      <c r="M262" s="577"/>
      <c r="N262" s="578"/>
    </row>
    <row r="263" spans="1:14" ht="13.5" customHeight="1" thickBot="1">
      <c r="A263" s="86"/>
      <c r="B263" s="31"/>
      <c r="C263" s="605"/>
      <c r="D263" s="607"/>
      <c r="E263" s="187" t="s">
        <v>52</v>
      </c>
      <c r="F263" s="373">
        <f>SUM(F261:F262)</f>
        <v>34.129999999999995</v>
      </c>
      <c r="G263" s="167"/>
      <c r="H263" s="595"/>
      <c r="I263" s="596"/>
      <c r="J263" s="187" t="s">
        <v>83</v>
      </c>
      <c r="K263" s="189">
        <f>SUM(K261:K262)</f>
        <v>42.04143111123275</v>
      </c>
      <c r="L263" s="179"/>
      <c r="M263" s="190">
        <f>K263-F263</f>
        <v>7.911431111232751</v>
      </c>
      <c r="N263" s="191">
        <f>M263/F263</f>
        <v>0.23180284533351164</v>
      </c>
    </row>
    <row r="264" spans="1:14" ht="25.5">
      <c r="A264" s="86"/>
      <c r="B264" s="31"/>
      <c r="C264" s="180" t="s">
        <v>84</v>
      </c>
      <c r="D264" s="181">
        <f>A260</f>
        <v>2000</v>
      </c>
      <c r="E264" s="192">
        <v>0.0239</v>
      </c>
      <c r="F264" s="374">
        <f>D264*E264</f>
        <v>47.800000000000004</v>
      </c>
      <c r="G264" s="167"/>
      <c r="H264" s="184" t="s">
        <v>84</v>
      </c>
      <c r="I264" s="185">
        <f>D264</f>
        <v>2000</v>
      </c>
      <c r="J264" s="194">
        <f>E264</f>
        <v>0.0239</v>
      </c>
      <c r="K264" s="195">
        <f>F264</f>
        <v>47.800000000000004</v>
      </c>
      <c r="L264" s="179"/>
      <c r="M264" s="575"/>
      <c r="N264" s="576"/>
    </row>
    <row r="265" spans="1:14" ht="25.5">
      <c r="A265" s="86"/>
      <c r="B265" s="31"/>
      <c r="C265" s="196" t="s">
        <v>85</v>
      </c>
      <c r="D265" s="181">
        <v>750</v>
      </c>
      <c r="E265" s="197">
        <v>0.047</v>
      </c>
      <c r="F265" s="352">
        <f>D265*E265</f>
        <v>35.25</v>
      </c>
      <c r="G265" s="167"/>
      <c r="H265" s="196" t="s">
        <v>85</v>
      </c>
      <c r="I265" s="185">
        <f>D265</f>
        <v>750</v>
      </c>
      <c r="J265" s="197">
        <v>0.047</v>
      </c>
      <c r="K265" s="352">
        <f>I265*J265</f>
        <v>35.25</v>
      </c>
      <c r="L265" s="179"/>
      <c r="M265" s="579"/>
      <c r="N265" s="580"/>
    </row>
    <row r="266" spans="1:14" ht="26.25" thickBot="1">
      <c r="A266" s="86"/>
      <c r="B266" s="31"/>
      <c r="C266" s="196" t="s">
        <v>85</v>
      </c>
      <c r="D266" s="235">
        <f>A260-D265</f>
        <v>1250</v>
      </c>
      <c r="E266" s="197">
        <v>0.055</v>
      </c>
      <c r="F266" s="352">
        <f>D266*E266</f>
        <v>68.75</v>
      </c>
      <c r="G266" s="167"/>
      <c r="H266" s="353" t="s">
        <v>85</v>
      </c>
      <c r="I266" s="376">
        <f>D266</f>
        <v>1250</v>
      </c>
      <c r="J266" s="354">
        <v>0.055</v>
      </c>
      <c r="K266" s="355">
        <f>I266*J266</f>
        <v>68.75</v>
      </c>
      <c r="L266" s="179"/>
      <c r="M266" s="579"/>
      <c r="N266" s="580"/>
    </row>
    <row r="267" spans="1:14" ht="13.5" thickBot="1">
      <c r="A267" s="86"/>
      <c r="B267" s="31"/>
      <c r="C267" s="597"/>
      <c r="D267" s="598"/>
      <c r="E267" s="598"/>
      <c r="F267" s="599"/>
      <c r="G267" s="167"/>
      <c r="H267" s="598"/>
      <c r="I267" s="598"/>
      <c r="J267" s="598"/>
      <c r="K267" s="599"/>
      <c r="L267" s="31"/>
      <c r="M267" s="86"/>
      <c r="N267" s="202"/>
    </row>
    <row r="268" spans="1:14" ht="13.5" thickBot="1">
      <c r="A268" s="94"/>
      <c r="B268" s="148"/>
      <c r="C268" s="203" t="s">
        <v>200</v>
      </c>
      <c r="D268" s="204"/>
      <c r="E268" s="204"/>
      <c r="F268" s="189">
        <f>SUM(F264:F266,F263)</f>
        <v>185.93</v>
      </c>
      <c r="G268" s="206"/>
      <c r="H268" s="604" t="s">
        <v>201</v>
      </c>
      <c r="I268" s="604"/>
      <c r="J268" s="604"/>
      <c r="K268" s="189">
        <f>SUM(K263:K266)</f>
        <v>193.84143111123274</v>
      </c>
      <c r="L268" s="207"/>
      <c r="M268" s="190">
        <f>K268-F268</f>
        <v>7.91143111123273</v>
      </c>
      <c r="N268" s="191">
        <f>M268/F268</f>
        <v>0.04255058952956881</v>
      </c>
    </row>
    <row r="271" spans="3:11" ht="18.75" customHeight="1">
      <c r="C271" s="497" t="s">
        <v>245</v>
      </c>
      <c r="D271" s="484"/>
      <c r="E271" s="160"/>
      <c r="F271" s="160"/>
      <c r="G271" s="31"/>
      <c r="K271" s="161"/>
    </row>
    <row r="272" spans="5:11" ht="9" customHeight="1" thickBot="1">
      <c r="E272" s="160"/>
      <c r="F272" s="160"/>
      <c r="G272" s="31"/>
      <c r="K272" s="161"/>
    </row>
    <row r="273" spans="1:14" ht="15.75" customHeight="1">
      <c r="A273" s="47"/>
      <c r="C273" s="589" t="s">
        <v>95</v>
      </c>
      <c r="D273" s="590"/>
      <c r="E273" s="590"/>
      <c r="F273" s="591"/>
      <c r="G273" s="166"/>
      <c r="H273" s="589" t="s">
        <v>96</v>
      </c>
      <c r="I273" s="590"/>
      <c r="J273" s="590"/>
      <c r="K273" s="590"/>
      <c r="L273" s="590"/>
      <c r="M273" s="590"/>
      <c r="N273" s="591"/>
    </row>
    <row r="274" spans="1:15" ht="13.5" customHeight="1" thickBot="1">
      <c r="A274"/>
      <c r="C274" s="592"/>
      <c r="D274" s="593"/>
      <c r="E274" s="593"/>
      <c r="F274" s="594"/>
      <c r="G274" s="167"/>
      <c r="H274" s="592"/>
      <c r="I274" s="593"/>
      <c r="J274" s="593"/>
      <c r="K274" s="593"/>
      <c r="L274" s="593"/>
      <c r="M274" s="593"/>
      <c r="N274" s="594"/>
      <c r="O274" s="31"/>
    </row>
    <row r="275" spans="1:14" ht="48.75" customHeight="1" thickBot="1">
      <c r="A275" s="168" t="s">
        <v>78</v>
      </c>
      <c r="B275" s="169"/>
      <c r="C275" s="569"/>
      <c r="D275" s="581" t="s">
        <v>12</v>
      </c>
      <c r="E275" s="583" t="s">
        <v>79</v>
      </c>
      <c r="F275" s="585" t="s">
        <v>182</v>
      </c>
      <c r="G275" s="166"/>
      <c r="H275" s="170"/>
      <c r="I275" s="581" t="s">
        <v>12</v>
      </c>
      <c r="J275" s="583" t="s">
        <v>79</v>
      </c>
      <c r="K275" s="585" t="s">
        <v>182</v>
      </c>
      <c r="L275" s="169"/>
      <c r="M275" s="600" t="s">
        <v>181</v>
      </c>
      <c r="N275" s="602" t="s">
        <v>80</v>
      </c>
    </row>
    <row r="276" spans="1:14" ht="13.5" thickBot="1">
      <c r="A276" s="171">
        <v>100</v>
      </c>
      <c r="B276" s="31"/>
      <c r="C276" s="570"/>
      <c r="D276" s="582"/>
      <c r="E276" s="584"/>
      <c r="F276" s="586"/>
      <c r="G276" s="167"/>
      <c r="H276" s="31"/>
      <c r="I276" s="587"/>
      <c r="J276" s="588"/>
      <c r="K276" s="586"/>
      <c r="L276" s="32"/>
      <c r="M276" s="601"/>
      <c r="N276" s="603"/>
    </row>
    <row r="277" spans="1:14" ht="25.5">
      <c r="A277" s="172"/>
      <c r="B277" s="31"/>
      <c r="C277" s="449" t="s">
        <v>21</v>
      </c>
      <c r="D277" s="174" t="s">
        <v>81</v>
      </c>
      <c r="E277" s="175" t="s">
        <v>81</v>
      </c>
      <c r="F277" s="234">
        <f>+'12. Current Rates'!D39</f>
        <v>12.98</v>
      </c>
      <c r="G277" s="167"/>
      <c r="H277" s="452" t="s">
        <v>21</v>
      </c>
      <c r="I277" s="174" t="s">
        <v>81</v>
      </c>
      <c r="J277" s="174" t="s">
        <v>81</v>
      </c>
      <c r="K277" s="234">
        <f>+'11. 2005 Final Rate Schedule '!F247</f>
        <v>12.329782012300532</v>
      </c>
      <c r="L277" s="179"/>
      <c r="M277" s="575"/>
      <c r="N277" s="576"/>
    </row>
    <row r="278" spans="1:14" ht="26.25" thickBot="1">
      <c r="A278" s="86"/>
      <c r="B278" s="31"/>
      <c r="C278" s="450" t="s">
        <v>82</v>
      </c>
      <c r="D278" s="235">
        <f>A276</f>
        <v>100</v>
      </c>
      <c r="E278" s="438">
        <f>+'12. Current Rates'!D37</f>
        <v>0.0102</v>
      </c>
      <c r="F278" s="352">
        <f>D278*E278</f>
        <v>1.02</v>
      </c>
      <c r="G278" s="167"/>
      <c r="H278" s="453" t="s">
        <v>82</v>
      </c>
      <c r="I278" s="181">
        <f>D278</f>
        <v>100</v>
      </c>
      <c r="J278" s="444">
        <f>+'11. 2005 Final Rate Schedule '!F248</f>
        <v>0.01412564658497362</v>
      </c>
      <c r="K278" s="237">
        <f>I278*J278</f>
        <v>1.4125646584973621</v>
      </c>
      <c r="L278" s="179"/>
      <c r="M278" s="577"/>
      <c r="N278" s="578"/>
    </row>
    <row r="279" spans="1:14" ht="13.5" thickBot="1">
      <c r="A279" s="86"/>
      <c r="B279" s="31"/>
      <c r="C279" s="567"/>
      <c r="D279" s="568"/>
      <c r="E279" s="187" t="s">
        <v>52</v>
      </c>
      <c r="F279" s="373">
        <f>SUM(F277:F278)</f>
        <v>14</v>
      </c>
      <c r="G279" s="167"/>
      <c r="H279" s="595"/>
      <c r="I279" s="596"/>
      <c r="J279" s="187" t="s">
        <v>83</v>
      </c>
      <c r="K279" s="189">
        <f>SUM(K277:K278)</f>
        <v>13.742346670797893</v>
      </c>
      <c r="L279" s="179"/>
      <c r="M279" s="190">
        <f>K279-F279</f>
        <v>-0.2576533292021068</v>
      </c>
      <c r="N279" s="191">
        <f>M279/F279</f>
        <v>-0.018403809228721917</v>
      </c>
    </row>
    <row r="280" spans="1:14" ht="27" customHeight="1">
      <c r="A280" s="86"/>
      <c r="B280" s="31"/>
      <c r="C280" s="450" t="s">
        <v>84</v>
      </c>
      <c r="D280" s="181">
        <f>A276</f>
        <v>100</v>
      </c>
      <c r="E280" s="439">
        <v>0.0239</v>
      </c>
      <c r="F280" s="374">
        <f>D280*E280</f>
        <v>2.39</v>
      </c>
      <c r="G280" s="167"/>
      <c r="H280" s="453" t="s">
        <v>84</v>
      </c>
      <c r="I280" s="181">
        <f aca="true" t="shared" si="12" ref="I280:K281">D280</f>
        <v>100</v>
      </c>
      <c r="J280" s="445">
        <f t="shared" si="12"/>
        <v>0.0239</v>
      </c>
      <c r="K280" s="239">
        <f t="shared" si="12"/>
        <v>2.39</v>
      </c>
      <c r="L280" s="179"/>
      <c r="M280" s="575"/>
      <c r="N280" s="576"/>
    </row>
    <row r="281" spans="1:14" ht="25.5" customHeight="1" thickBot="1">
      <c r="A281" s="86"/>
      <c r="B281" s="31"/>
      <c r="C281" s="451" t="s">
        <v>85</v>
      </c>
      <c r="D281" s="181">
        <f>A276</f>
        <v>100</v>
      </c>
      <c r="E281" s="440">
        <v>0.047</v>
      </c>
      <c r="F281" s="352">
        <f>D281*E281</f>
        <v>4.7</v>
      </c>
      <c r="G281" s="167"/>
      <c r="H281" s="454" t="s">
        <v>85</v>
      </c>
      <c r="I281" s="446">
        <f t="shared" si="12"/>
        <v>100</v>
      </c>
      <c r="J281" s="447">
        <f t="shared" si="12"/>
        <v>0.047</v>
      </c>
      <c r="K281" s="243">
        <f t="shared" si="12"/>
        <v>4.7</v>
      </c>
      <c r="L281" s="179"/>
      <c r="M281" s="579"/>
      <c r="N281" s="580"/>
    </row>
    <row r="282" spans="1:14" ht="7.5" customHeight="1" thickBot="1">
      <c r="A282" s="86"/>
      <c r="B282" s="31"/>
      <c r="C282" s="597"/>
      <c r="D282" s="598"/>
      <c r="E282" s="598"/>
      <c r="F282" s="599"/>
      <c r="G282" s="167"/>
      <c r="H282" s="598"/>
      <c r="I282" s="598"/>
      <c r="J282" s="598"/>
      <c r="K282" s="599"/>
      <c r="L282" s="31"/>
      <c r="M282" s="86"/>
      <c r="N282" s="202"/>
    </row>
    <row r="283" spans="1:14" ht="13.5" thickBot="1">
      <c r="A283" s="94"/>
      <c r="B283" s="148"/>
      <c r="C283" s="203" t="s">
        <v>200</v>
      </c>
      <c r="D283" s="204"/>
      <c r="E283" s="204"/>
      <c r="F283" s="189">
        <f>SUM(F280:F281,F279)</f>
        <v>21.09</v>
      </c>
      <c r="G283" s="206"/>
      <c r="H283" s="604" t="s">
        <v>201</v>
      </c>
      <c r="I283" s="604"/>
      <c r="J283" s="604"/>
      <c r="K283" s="189">
        <f>SUM(K279:K281)</f>
        <v>20.832346670797893</v>
      </c>
      <c r="L283" s="207"/>
      <c r="M283" s="190">
        <f>K283-F283</f>
        <v>-0.2576533292021068</v>
      </c>
      <c r="N283" s="191">
        <f>M283/F283</f>
        <v>-0.012216848231489181</v>
      </c>
    </row>
    <row r="284" ht="12.75">
      <c r="K284" s="161"/>
    </row>
    <row r="285" spans="6:11" ht="13.5" thickBot="1">
      <c r="F285" s="161"/>
      <c r="K285" s="161"/>
    </row>
    <row r="286" spans="1:14" ht="60.75" thickBot="1">
      <c r="A286" s="168" t="s">
        <v>78</v>
      </c>
      <c r="B286" s="169"/>
      <c r="C286" s="569"/>
      <c r="D286" s="581" t="s">
        <v>12</v>
      </c>
      <c r="E286" s="583" t="s">
        <v>79</v>
      </c>
      <c r="F286" s="585" t="s">
        <v>182</v>
      </c>
      <c r="G286" s="166"/>
      <c r="H286" s="170"/>
      <c r="I286" s="581" t="s">
        <v>12</v>
      </c>
      <c r="J286" s="583" t="s">
        <v>79</v>
      </c>
      <c r="K286" s="585" t="s">
        <v>182</v>
      </c>
      <c r="L286" s="169"/>
      <c r="M286" s="600" t="s">
        <v>181</v>
      </c>
      <c r="N286" s="602" t="s">
        <v>80</v>
      </c>
    </row>
    <row r="287" spans="1:14" ht="13.5" thickBot="1">
      <c r="A287" s="171">
        <v>250</v>
      </c>
      <c r="B287" s="31"/>
      <c r="C287" s="570"/>
      <c r="D287" s="582"/>
      <c r="E287" s="584"/>
      <c r="F287" s="586"/>
      <c r="G287" s="167"/>
      <c r="H287" s="31"/>
      <c r="I287" s="587"/>
      <c r="J287" s="588"/>
      <c r="K287" s="586"/>
      <c r="L287" s="32"/>
      <c r="M287" s="601"/>
      <c r="N287" s="603"/>
    </row>
    <row r="288" spans="1:14" ht="25.5">
      <c r="A288" s="172"/>
      <c r="B288" s="31"/>
      <c r="C288" s="173" t="s">
        <v>21</v>
      </c>
      <c r="D288" s="174" t="s">
        <v>81</v>
      </c>
      <c r="E288" s="175" t="s">
        <v>81</v>
      </c>
      <c r="F288" s="234">
        <f>F277</f>
        <v>12.98</v>
      </c>
      <c r="G288" s="167"/>
      <c r="H288" s="177" t="s">
        <v>21</v>
      </c>
      <c r="I288" s="208" t="str">
        <f>D288</f>
        <v>N/A</v>
      </c>
      <c r="J288" s="178" t="s">
        <v>81</v>
      </c>
      <c r="K288" s="227">
        <f>+K277</f>
        <v>12.329782012300532</v>
      </c>
      <c r="L288" s="179"/>
      <c r="M288" s="575"/>
      <c r="N288" s="576"/>
    </row>
    <row r="289" spans="1:14" ht="26.25" thickBot="1">
      <c r="A289" s="86"/>
      <c r="B289" s="31"/>
      <c r="C289" s="180" t="s">
        <v>82</v>
      </c>
      <c r="D289" s="235">
        <f>A287</f>
        <v>250</v>
      </c>
      <c r="E289" s="182">
        <f>E278</f>
        <v>0.0102</v>
      </c>
      <c r="F289" s="352">
        <f>D289*E289</f>
        <v>2.5500000000000003</v>
      </c>
      <c r="G289" s="167"/>
      <c r="H289" s="184" t="s">
        <v>82</v>
      </c>
      <c r="I289" s="185">
        <f>D289</f>
        <v>250</v>
      </c>
      <c r="J289" s="443">
        <f>+J278</f>
        <v>0.01412564658497362</v>
      </c>
      <c r="K289" s="186">
        <f>I289*J289</f>
        <v>3.531411646243405</v>
      </c>
      <c r="L289" s="179"/>
      <c r="M289" s="577"/>
      <c r="N289" s="578"/>
    </row>
    <row r="290" spans="1:14" ht="24.75" customHeight="1" thickBot="1">
      <c r="A290" s="86"/>
      <c r="B290" s="31"/>
      <c r="C290" s="605"/>
      <c r="D290" s="607"/>
      <c r="E290" s="187" t="s">
        <v>52</v>
      </c>
      <c r="F290" s="373">
        <f>SUM(F288:F289)</f>
        <v>15.530000000000001</v>
      </c>
      <c r="G290" s="167"/>
      <c r="H290" s="595"/>
      <c r="I290" s="596"/>
      <c r="J290" s="187" t="s">
        <v>83</v>
      </c>
      <c r="K290" s="189">
        <f>SUM(K288:K289)</f>
        <v>15.861193658543936</v>
      </c>
      <c r="L290" s="179"/>
      <c r="M290" s="190">
        <f>K290-F290</f>
        <v>0.3311936585439348</v>
      </c>
      <c r="N290" s="191">
        <f>M290/F290</f>
        <v>0.02132605657076206</v>
      </c>
    </row>
    <row r="291" spans="1:14" ht="27" customHeight="1">
      <c r="A291" s="86"/>
      <c r="B291" s="31"/>
      <c r="C291" s="180" t="s">
        <v>84</v>
      </c>
      <c r="D291" s="181">
        <f>A287</f>
        <v>250</v>
      </c>
      <c r="E291" s="439">
        <v>0.0239</v>
      </c>
      <c r="F291" s="374">
        <f>D291*E291</f>
        <v>5.9750000000000005</v>
      </c>
      <c r="G291" s="167"/>
      <c r="H291" s="184" t="s">
        <v>84</v>
      </c>
      <c r="I291" s="185">
        <f aca="true" t="shared" si="13" ref="I291:K292">D291</f>
        <v>250</v>
      </c>
      <c r="J291" s="441">
        <f t="shared" si="13"/>
        <v>0.0239</v>
      </c>
      <c r="K291" s="195">
        <f t="shared" si="13"/>
        <v>5.9750000000000005</v>
      </c>
      <c r="L291" s="179"/>
      <c r="M291" s="575"/>
      <c r="N291" s="576"/>
    </row>
    <row r="292" spans="1:14" ht="26.25" thickBot="1">
      <c r="A292" s="86"/>
      <c r="B292" s="31"/>
      <c r="C292" s="196" t="s">
        <v>85</v>
      </c>
      <c r="D292" s="181">
        <f>A287</f>
        <v>250</v>
      </c>
      <c r="E292" s="440">
        <v>0.047</v>
      </c>
      <c r="F292" s="352">
        <f>D292*E292</f>
        <v>11.75</v>
      </c>
      <c r="G292" s="167"/>
      <c r="H292" s="198" t="s">
        <v>85</v>
      </c>
      <c r="I292" s="199">
        <f t="shared" si="13"/>
        <v>250</v>
      </c>
      <c r="J292" s="442">
        <f t="shared" si="13"/>
        <v>0.047</v>
      </c>
      <c r="K292" s="201">
        <f t="shared" si="13"/>
        <v>11.75</v>
      </c>
      <c r="L292" s="179"/>
      <c r="M292" s="579"/>
      <c r="N292" s="580"/>
    </row>
    <row r="293" spans="1:14" ht="13.5" thickBot="1">
      <c r="A293" s="86"/>
      <c r="B293" s="31"/>
      <c r="C293" s="597"/>
      <c r="D293" s="598"/>
      <c r="E293" s="598"/>
      <c r="F293" s="599"/>
      <c r="G293" s="167"/>
      <c r="H293" s="598"/>
      <c r="I293" s="598"/>
      <c r="J293" s="598"/>
      <c r="K293" s="599"/>
      <c r="L293" s="31"/>
      <c r="M293" s="86"/>
      <c r="N293" s="202"/>
    </row>
    <row r="294" spans="1:14" ht="13.5" thickBot="1">
      <c r="A294" s="94"/>
      <c r="B294" s="148"/>
      <c r="C294" s="203" t="s">
        <v>200</v>
      </c>
      <c r="D294" s="204"/>
      <c r="E294" s="204"/>
      <c r="F294" s="189">
        <f>SUM(F291:F292,F290)</f>
        <v>33.255</v>
      </c>
      <c r="G294" s="206"/>
      <c r="H294" s="604" t="s">
        <v>201</v>
      </c>
      <c r="I294" s="604"/>
      <c r="J294" s="604"/>
      <c r="K294" s="189">
        <f>SUM(K290:K292)</f>
        <v>33.586193658543934</v>
      </c>
      <c r="L294" s="207"/>
      <c r="M294" s="190">
        <f>K294-F294</f>
        <v>0.33119365854393124</v>
      </c>
      <c r="N294" s="191">
        <f>M294/F294</f>
        <v>0.009959213909004096</v>
      </c>
    </row>
    <row r="295" ht="12.75">
      <c r="K295" s="161"/>
    </row>
    <row r="296" spans="1:14" ht="11.25" customHeight="1" thickBot="1">
      <c r="A296" s="47"/>
      <c r="B296" s="12"/>
      <c r="D296" s="10"/>
      <c r="E296" s="10"/>
      <c r="F296" s="209"/>
      <c r="I296" s="10"/>
      <c r="J296" s="10"/>
      <c r="K296" s="210"/>
      <c r="L296" s="12"/>
      <c r="M296" s="12"/>
      <c r="N296" s="211"/>
    </row>
    <row r="297" spans="1:14" ht="60.75" thickBot="1">
      <c r="A297" s="168" t="s">
        <v>78</v>
      </c>
      <c r="B297" s="169"/>
      <c r="C297" s="608"/>
      <c r="D297" s="581" t="s">
        <v>12</v>
      </c>
      <c r="E297" s="583" t="s">
        <v>79</v>
      </c>
      <c r="F297" s="585" t="s">
        <v>182</v>
      </c>
      <c r="G297" s="166"/>
      <c r="H297" s="170"/>
      <c r="I297" s="581" t="s">
        <v>12</v>
      </c>
      <c r="J297" s="583" t="s">
        <v>79</v>
      </c>
      <c r="K297" s="585" t="s">
        <v>182</v>
      </c>
      <c r="L297" s="169"/>
      <c r="M297" s="600" t="s">
        <v>181</v>
      </c>
      <c r="N297" s="602" t="s">
        <v>80</v>
      </c>
    </row>
    <row r="298" spans="1:14" ht="13.5" thickBot="1">
      <c r="A298" s="171">
        <v>500</v>
      </c>
      <c r="B298" s="31"/>
      <c r="C298" s="609"/>
      <c r="D298" s="582"/>
      <c r="E298" s="584"/>
      <c r="F298" s="586"/>
      <c r="G298" s="167"/>
      <c r="H298" s="31"/>
      <c r="I298" s="587"/>
      <c r="J298" s="588"/>
      <c r="K298" s="586"/>
      <c r="L298" s="32"/>
      <c r="M298" s="601"/>
      <c r="N298" s="603"/>
    </row>
    <row r="299" spans="1:14" ht="25.5">
      <c r="A299" s="172"/>
      <c r="B299" s="31"/>
      <c r="C299" s="173" t="s">
        <v>21</v>
      </c>
      <c r="D299" s="174" t="s">
        <v>81</v>
      </c>
      <c r="E299" s="175" t="s">
        <v>81</v>
      </c>
      <c r="F299" s="234">
        <f>F288</f>
        <v>12.98</v>
      </c>
      <c r="G299" s="167"/>
      <c r="H299" s="177" t="s">
        <v>21</v>
      </c>
      <c r="I299" s="208" t="str">
        <f>D299</f>
        <v>N/A</v>
      </c>
      <c r="J299" s="178" t="s">
        <v>81</v>
      </c>
      <c r="K299" s="227">
        <f>+K288</f>
        <v>12.329782012300532</v>
      </c>
      <c r="L299" s="179"/>
      <c r="M299" s="575"/>
      <c r="N299" s="576"/>
    </row>
    <row r="300" spans="1:14" ht="25.5" customHeight="1" thickBot="1">
      <c r="A300" s="86"/>
      <c r="B300" s="31"/>
      <c r="C300" s="180" t="s">
        <v>82</v>
      </c>
      <c r="D300" s="235">
        <f>A298</f>
        <v>500</v>
      </c>
      <c r="E300" s="182">
        <f>E289</f>
        <v>0.0102</v>
      </c>
      <c r="F300" s="352">
        <f>D300*E300</f>
        <v>5.1000000000000005</v>
      </c>
      <c r="G300" s="167"/>
      <c r="H300" s="184" t="s">
        <v>82</v>
      </c>
      <c r="I300" s="375">
        <f>D300</f>
        <v>500</v>
      </c>
      <c r="J300" s="443">
        <f>+J289</f>
        <v>0.01412564658497362</v>
      </c>
      <c r="K300" s="186">
        <f>I300*J300</f>
        <v>7.06282329248681</v>
      </c>
      <c r="L300" s="179"/>
      <c r="M300" s="577"/>
      <c r="N300" s="578"/>
    </row>
    <row r="301" spans="1:14" ht="13.5" thickBot="1">
      <c r="A301" s="86"/>
      <c r="B301" s="31"/>
      <c r="C301" s="605"/>
      <c r="D301" s="606"/>
      <c r="E301" s="187" t="s">
        <v>52</v>
      </c>
      <c r="F301" s="373">
        <f>SUM(F299:F300)</f>
        <v>18.080000000000002</v>
      </c>
      <c r="G301" s="167"/>
      <c r="H301" s="595"/>
      <c r="I301" s="596"/>
      <c r="J301" s="187" t="s">
        <v>83</v>
      </c>
      <c r="K301" s="189">
        <f>SUM(K299:K300)</f>
        <v>19.39260530478734</v>
      </c>
      <c r="L301" s="179"/>
      <c r="M301" s="190">
        <f>K301-F301</f>
        <v>1.3126053047873398</v>
      </c>
      <c r="N301" s="191">
        <f>M301/F301</f>
        <v>0.0725998509285033</v>
      </c>
    </row>
    <row r="302" spans="1:14" ht="25.5">
      <c r="A302" s="86"/>
      <c r="B302" s="31"/>
      <c r="C302" s="180" t="s">
        <v>84</v>
      </c>
      <c r="D302" s="181">
        <f>A298</f>
        <v>500</v>
      </c>
      <c r="E302" s="439">
        <v>0.0239</v>
      </c>
      <c r="F302" s="374">
        <f>D302*E302</f>
        <v>11.950000000000001</v>
      </c>
      <c r="G302" s="167"/>
      <c r="H302" s="184" t="s">
        <v>84</v>
      </c>
      <c r="I302" s="185">
        <f aca="true" t="shared" si="14" ref="I302:K303">D302</f>
        <v>500</v>
      </c>
      <c r="J302" s="441">
        <f t="shared" si="14"/>
        <v>0.0239</v>
      </c>
      <c r="K302" s="195">
        <f t="shared" si="14"/>
        <v>11.950000000000001</v>
      </c>
      <c r="L302" s="179"/>
      <c r="M302" s="575"/>
      <c r="N302" s="576"/>
    </row>
    <row r="303" spans="1:14" ht="26.25" thickBot="1">
      <c r="A303" s="86"/>
      <c r="B303" s="31"/>
      <c r="C303" s="196" t="s">
        <v>85</v>
      </c>
      <c r="D303" s="181">
        <f>A298</f>
        <v>500</v>
      </c>
      <c r="E303" s="440">
        <v>0.047</v>
      </c>
      <c r="F303" s="352">
        <f>D303*E303</f>
        <v>23.5</v>
      </c>
      <c r="G303" s="167"/>
      <c r="H303" s="198" t="s">
        <v>85</v>
      </c>
      <c r="I303" s="199">
        <f t="shared" si="14"/>
        <v>500</v>
      </c>
      <c r="J303" s="442">
        <f t="shared" si="14"/>
        <v>0.047</v>
      </c>
      <c r="K303" s="201">
        <f t="shared" si="14"/>
        <v>23.5</v>
      </c>
      <c r="L303" s="179"/>
      <c r="M303" s="579"/>
      <c r="N303" s="580"/>
    </row>
    <row r="304" spans="1:14" ht="13.5" thickBot="1">
      <c r="A304" s="86"/>
      <c r="B304" s="31"/>
      <c r="C304" s="597"/>
      <c r="D304" s="598"/>
      <c r="E304" s="598"/>
      <c r="F304" s="599"/>
      <c r="G304" s="167"/>
      <c r="H304" s="598"/>
      <c r="I304" s="598"/>
      <c r="J304" s="598"/>
      <c r="K304" s="599"/>
      <c r="L304" s="31"/>
      <c r="M304" s="86"/>
      <c r="N304" s="202"/>
    </row>
    <row r="305" spans="1:14" ht="13.5" thickBot="1">
      <c r="A305" s="94"/>
      <c r="B305" s="148"/>
      <c r="C305" s="203" t="s">
        <v>200</v>
      </c>
      <c r="D305" s="204"/>
      <c r="E305" s="204"/>
      <c r="F305" s="189">
        <f>SUM(F302:F303,F301)</f>
        <v>53.53</v>
      </c>
      <c r="G305" s="206"/>
      <c r="H305" s="604" t="s">
        <v>201</v>
      </c>
      <c r="I305" s="604"/>
      <c r="J305" s="604"/>
      <c r="K305" s="189">
        <f>SUM(K301:K303)</f>
        <v>54.84260530478734</v>
      </c>
      <c r="L305" s="207"/>
      <c r="M305" s="190">
        <f>K305-F305</f>
        <v>1.3126053047873398</v>
      </c>
      <c r="N305" s="191">
        <f>M305/F305</f>
        <v>0.02452092854076854</v>
      </c>
    </row>
    <row r="306" spans="1:14" ht="15">
      <c r="A306" s="47"/>
      <c r="B306" s="12"/>
      <c r="D306" s="10"/>
      <c r="E306" s="10"/>
      <c r="F306" s="209"/>
      <c r="I306" s="10"/>
      <c r="J306" s="10"/>
      <c r="K306" s="210"/>
      <c r="L306" s="12"/>
      <c r="M306" s="12"/>
      <c r="N306" s="211"/>
    </row>
    <row r="307" spans="1:14" ht="13.5" thickBot="1">
      <c r="A307" s="12"/>
      <c r="C307" s="497" t="s">
        <v>245</v>
      </c>
      <c r="D307" s="484"/>
      <c r="E307" s="10"/>
      <c r="F307" s="209"/>
      <c r="I307" s="10"/>
      <c r="J307" s="10"/>
      <c r="K307" s="210"/>
      <c r="L307" s="12"/>
      <c r="M307" s="12"/>
      <c r="N307" s="213"/>
    </row>
    <row r="308" spans="1:14" ht="60.75" thickBot="1">
      <c r="A308" s="168" t="s">
        <v>78</v>
      </c>
      <c r="B308" s="169"/>
      <c r="C308" s="569"/>
      <c r="D308" s="581" t="s">
        <v>12</v>
      </c>
      <c r="E308" s="583" t="s">
        <v>79</v>
      </c>
      <c r="F308" s="585" t="s">
        <v>182</v>
      </c>
      <c r="G308" s="166"/>
      <c r="H308" s="170"/>
      <c r="I308" s="581" t="s">
        <v>12</v>
      </c>
      <c r="J308" s="583" t="s">
        <v>79</v>
      </c>
      <c r="K308" s="585" t="s">
        <v>182</v>
      </c>
      <c r="L308" s="169"/>
      <c r="M308" s="600" t="s">
        <v>181</v>
      </c>
      <c r="N308" s="602" t="s">
        <v>80</v>
      </c>
    </row>
    <row r="309" spans="1:14" ht="13.5" thickBot="1">
      <c r="A309" s="171">
        <v>750</v>
      </c>
      <c r="B309" s="31"/>
      <c r="C309" s="570"/>
      <c r="D309" s="582"/>
      <c r="E309" s="584"/>
      <c r="F309" s="586"/>
      <c r="G309" s="167"/>
      <c r="H309" s="31"/>
      <c r="I309" s="587"/>
      <c r="J309" s="588"/>
      <c r="K309" s="586"/>
      <c r="L309" s="32"/>
      <c r="M309" s="601"/>
      <c r="N309" s="603"/>
    </row>
    <row r="310" spans="1:14" ht="26.25" customHeight="1">
      <c r="A310" s="172"/>
      <c r="B310" s="31"/>
      <c r="C310" s="173" t="s">
        <v>21</v>
      </c>
      <c r="D310" s="174" t="s">
        <v>81</v>
      </c>
      <c r="E310" s="175" t="s">
        <v>81</v>
      </c>
      <c r="F310" s="234">
        <f>F299</f>
        <v>12.98</v>
      </c>
      <c r="G310" s="167"/>
      <c r="H310" s="177" t="s">
        <v>21</v>
      </c>
      <c r="I310" s="208" t="str">
        <f>D310</f>
        <v>N/A</v>
      </c>
      <c r="J310" s="178" t="s">
        <v>81</v>
      </c>
      <c r="K310" s="227">
        <f>+K299</f>
        <v>12.329782012300532</v>
      </c>
      <c r="L310" s="179"/>
      <c r="M310" s="575"/>
      <c r="N310" s="576"/>
    </row>
    <row r="311" spans="1:14" ht="26.25" customHeight="1" thickBot="1">
      <c r="A311" s="86"/>
      <c r="B311" s="31"/>
      <c r="C311" s="180" t="s">
        <v>82</v>
      </c>
      <c r="D311" s="235">
        <f>A309</f>
        <v>750</v>
      </c>
      <c r="E311" s="182">
        <f>E300</f>
        <v>0.0102</v>
      </c>
      <c r="F311" s="352">
        <f>D311*E311</f>
        <v>7.65</v>
      </c>
      <c r="G311" s="167"/>
      <c r="H311" s="184" t="s">
        <v>82</v>
      </c>
      <c r="I311" s="375">
        <f>D311</f>
        <v>750</v>
      </c>
      <c r="J311" s="228">
        <f>+J300</f>
        <v>0.01412564658497362</v>
      </c>
      <c r="K311" s="186">
        <f>I311*J311</f>
        <v>10.594234938730215</v>
      </c>
      <c r="L311" s="179"/>
      <c r="M311" s="577"/>
      <c r="N311" s="578"/>
    </row>
    <row r="312" spans="1:14" ht="13.5" thickBot="1">
      <c r="A312" s="86"/>
      <c r="B312" s="31"/>
      <c r="C312" s="605"/>
      <c r="D312" s="607"/>
      <c r="E312" s="187" t="s">
        <v>52</v>
      </c>
      <c r="F312" s="373">
        <f>SUM(F310:F311)</f>
        <v>20.630000000000003</v>
      </c>
      <c r="G312" s="167"/>
      <c r="H312" s="595"/>
      <c r="I312" s="596"/>
      <c r="J312" s="187" t="s">
        <v>83</v>
      </c>
      <c r="K312" s="189">
        <f>SUM(K310:K311)</f>
        <v>22.924016951030747</v>
      </c>
      <c r="L312" s="179"/>
      <c r="M312" s="190">
        <f>K312-F312</f>
        <v>2.294016951030745</v>
      </c>
      <c r="N312" s="191">
        <f>M312/F312</f>
        <v>0.11119810717550871</v>
      </c>
    </row>
    <row r="313" spans="1:14" ht="25.5">
      <c r="A313" s="86"/>
      <c r="B313" s="31"/>
      <c r="C313" s="180" t="s">
        <v>84</v>
      </c>
      <c r="D313" s="181">
        <f>A309</f>
        <v>750</v>
      </c>
      <c r="E313" s="192">
        <v>0.0239</v>
      </c>
      <c r="F313" s="374">
        <f>D313*E313</f>
        <v>17.925</v>
      </c>
      <c r="G313" s="167"/>
      <c r="H313" s="184" t="s">
        <v>84</v>
      </c>
      <c r="I313" s="185">
        <f aca="true" t="shared" si="15" ref="I313:K314">D313</f>
        <v>750</v>
      </c>
      <c r="J313" s="194">
        <f t="shared" si="15"/>
        <v>0.0239</v>
      </c>
      <c r="K313" s="195">
        <f t="shared" si="15"/>
        <v>17.925</v>
      </c>
      <c r="L313" s="179"/>
      <c r="M313" s="575"/>
      <c r="N313" s="576"/>
    </row>
    <row r="314" spans="1:14" ht="26.25" thickBot="1">
      <c r="A314" s="86"/>
      <c r="B314" s="31"/>
      <c r="C314" s="196" t="s">
        <v>85</v>
      </c>
      <c r="D314" s="181">
        <f>A309</f>
        <v>750</v>
      </c>
      <c r="E314" s="197">
        <v>0.047</v>
      </c>
      <c r="F314" s="352">
        <f>D314*E314</f>
        <v>35.25</v>
      </c>
      <c r="G314" s="167"/>
      <c r="H314" s="198" t="s">
        <v>85</v>
      </c>
      <c r="I314" s="199">
        <f t="shared" si="15"/>
        <v>750</v>
      </c>
      <c r="J314" s="200">
        <f t="shared" si="15"/>
        <v>0.047</v>
      </c>
      <c r="K314" s="201">
        <f t="shared" si="15"/>
        <v>35.25</v>
      </c>
      <c r="L314" s="179"/>
      <c r="M314" s="579"/>
      <c r="N314" s="580"/>
    </row>
    <row r="315" spans="1:14" ht="13.5" thickBot="1">
      <c r="A315" s="86"/>
      <c r="B315" s="31"/>
      <c r="C315" s="597"/>
      <c r="D315" s="598"/>
      <c r="E315" s="598"/>
      <c r="F315" s="599"/>
      <c r="G315" s="167"/>
      <c r="H315" s="598"/>
      <c r="I315" s="598"/>
      <c r="J315" s="598"/>
      <c r="K315" s="599"/>
      <c r="L315" s="31"/>
      <c r="M315" s="86"/>
      <c r="N315" s="202"/>
    </row>
    <row r="316" spans="1:14" ht="13.5" thickBot="1">
      <c r="A316" s="94"/>
      <c r="B316" s="148"/>
      <c r="C316" s="203" t="s">
        <v>200</v>
      </c>
      <c r="D316" s="204"/>
      <c r="E316" s="204"/>
      <c r="F316" s="189">
        <f>SUM(F313:F314,F312)</f>
        <v>73.805</v>
      </c>
      <c r="G316" s="206"/>
      <c r="H316" s="604" t="s">
        <v>201</v>
      </c>
      <c r="I316" s="604"/>
      <c r="J316" s="604"/>
      <c r="K316" s="189">
        <f>SUM(K312:K314)</f>
        <v>76.09901695103075</v>
      </c>
      <c r="L316" s="207"/>
      <c r="M316" s="190">
        <f>K316-F316</f>
        <v>2.2940169510307413</v>
      </c>
      <c r="N316" s="191">
        <f>M316/F316</f>
        <v>0.03108213469318801</v>
      </c>
    </row>
    <row r="317" spans="1:14" ht="10.5" customHeight="1">
      <c r="A317" s="12"/>
      <c r="D317" s="212"/>
      <c r="E317" s="10"/>
      <c r="F317" s="209"/>
      <c r="I317" s="10"/>
      <c r="J317" s="10"/>
      <c r="K317" s="210"/>
      <c r="L317" s="12"/>
      <c r="M317" s="12"/>
      <c r="N317" s="213"/>
    </row>
    <row r="318" spans="1:13" ht="10.5" customHeight="1" thickBot="1">
      <c r="A318" s="214"/>
      <c r="B318" s="31"/>
      <c r="C318" s="133"/>
      <c r="D318" s="30"/>
      <c r="E318" s="30"/>
      <c r="F318" s="215"/>
      <c r="H318" s="133"/>
      <c r="I318" s="30"/>
      <c r="J318" s="30"/>
      <c r="K318" s="216"/>
      <c r="L318" s="216"/>
      <c r="M318" s="216"/>
    </row>
    <row r="319" spans="1:14" ht="60.75" thickBot="1">
      <c r="A319" s="168" t="s">
        <v>78</v>
      </c>
      <c r="B319" s="169"/>
      <c r="C319" s="569"/>
      <c r="D319" s="581" t="s">
        <v>12</v>
      </c>
      <c r="E319" s="583" t="s">
        <v>79</v>
      </c>
      <c r="F319" s="585" t="s">
        <v>182</v>
      </c>
      <c r="G319" s="166"/>
      <c r="H319" s="170"/>
      <c r="I319" s="581" t="s">
        <v>12</v>
      </c>
      <c r="J319" s="583" t="s">
        <v>79</v>
      </c>
      <c r="K319" s="585" t="s">
        <v>182</v>
      </c>
      <c r="L319" s="169"/>
      <c r="M319" s="600" t="s">
        <v>181</v>
      </c>
      <c r="N319" s="602" t="s">
        <v>80</v>
      </c>
    </row>
    <row r="320" spans="1:14" ht="13.5" thickBot="1">
      <c r="A320" s="171">
        <v>1000</v>
      </c>
      <c r="B320" s="31"/>
      <c r="C320" s="570"/>
      <c r="D320" s="582"/>
      <c r="E320" s="584"/>
      <c r="F320" s="586"/>
      <c r="G320" s="167"/>
      <c r="H320" s="31"/>
      <c r="I320" s="587"/>
      <c r="J320" s="588"/>
      <c r="K320" s="586"/>
      <c r="L320" s="32"/>
      <c r="M320" s="601"/>
      <c r="N320" s="603"/>
    </row>
    <row r="321" spans="1:14" ht="26.25" customHeight="1">
      <c r="A321" s="172"/>
      <c r="B321" s="31"/>
      <c r="C321" s="173" t="s">
        <v>21</v>
      </c>
      <c r="D321" s="174" t="s">
        <v>81</v>
      </c>
      <c r="E321" s="175" t="s">
        <v>81</v>
      </c>
      <c r="F321" s="234">
        <f>F310</f>
        <v>12.98</v>
      </c>
      <c r="G321" s="167"/>
      <c r="H321" s="173" t="s">
        <v>21</v>
      </c>
      <c r="I321" s="208" t="str">
        <f>D321</f>
        <v>N/A</v>
      </c>
      <c r="J321" s="178" t="s">
        <v>81</v>
      </c>
      <c r="K321" s="227">
        <f>+K310</f>
        <v>12.329782012300532</v>
      </c>
      <c r="L321" s="179"/>
      <c r="M321" s="575"/>
      <c r="N321" s="576"/>
    </row>
    <row r="322" spans="1:14" ht="24" customHeight="1" thickBot="1">
      <c r="A322" s="86"/>
      <c r="B322" s="31"/>
      <c r="C322" s="180" t="s">
        <v>82</v>
      </c>
      <c r="D322" s="181">
        <f>A320</f>
        <v>1000</v>
      </c>
      <c r="E322" s="182">
        <f>E311</f>
        <v>0.0102</v>
      </c>
      <c r="F322" s="352">
        <f>D322*E322</f>
        <v>10.200000000000001</v>
      </c>
      <c r="G322" s="167"/>
      <c r="H322" s="180" t="s">
        <v>82</v>
      </c>
      <c r="I322" s="185">
        <f>D322</f>
        <v>1000</v>
      </c>
      <c r="J322" s="228">
        <f>+J311</f>
        <v>0.01412564658497362</v>
      </c>
      <c r="K322" s="186">
        <f>I322*J322</f>
        <v>14.12564658497362</v>
      </c>
      <c r="L322" s="179"/>
      <c r="M322" s="577"/>
      <c r="N322" s="578"/>
    </row>
    <row r="323" spans="1:14" ht="13.5" thickBot="1">
      <c r="A323" s="86"/>
      <c r="B323" s="31"/>
      <c r="C323" s="605"/>
      <c r="D323" s="607"/>
      <c r="E323" s="187" t="s">
        <v>52</v>
      </c>
      <c r="F323" s="373">
        <f>SUM(F321:F322)</f>
        <v>23.18</v>
      </c>
      <c r="G323" s="167"/>
      <c r="H323" s="610"/>
      <c r="I323" s="596"/>
      <c r="J323" s="187" t="s">
        <v>83</v>
      </c>
      <c r="K323" s="189">
        <f>SUM(K321:K322)</f>
        <v>26.45542859727415</v>
      </c>
      <c r="L323" s="179"/>
      <c r="M323" s="190">
        <f>K323-F323</f>
        <v>3.27542859727415</v>
      </c>
      <c r="N323" s="191">
        <f>M323/F323</f>
        <v>0.14130408098680544</v>
      </c>
    </row>
    <row r="324" spans="1:14" ht="25.5">
      <c r="A324" s="86"/>
      <c r="B324" s="31"/>
      <c r="C324" s="180" t="s">
        <v>84</v>
      </c>
      <c r="D324" s="181">
        <f>A320</f>
        <v>1000</v>
      </c>
      <c r="E324" s="192">
        <v>0.0239</v>
      </c>
      <c r="F324" s="374">
        <f>D324*E324</f>
        <v>23.900000000000002</v>
      </c>
      <c r="G324" s="167"/>
      <c r="H324" s="180" t="s">
        <v>84</v>
      </c>
      <c r="I324" s="185">
        <f>D324</f>
        <v>1000</v>
      </c>
      <c r="J324" s="194">
        <f>E324</f>
        <v>0.0239</v>
      </c>
      <c r="K324" s="195">
        <f>F324</f>
        <v>23.900000000000002</v>
      </c>
      <c r="L324" s="179"/>
      <c r="M324" s="575"/>
      <c r="N324" s="576"/>
    </row>
    <row r="325" spans="1:14" ht="25.5">
      <c r="A325" s="86"/>
      <c r="B325" s="31"/>
      <c r="C325" s="196" t="s">
        <v>85</v>
      </c>
      <c r="D325" s="181">
        <v>750</v>
      </c>
      <c r="E325" s="197">
        <v>0.047</v>
      </c>
      <c r="F325" s="352">
        <f>D325*E325</f>
        <v>35.25</v>
      </c>
      <c r="G325" s="167"/>
      <c r="H325" s="196" t="s">
        <v>85</v>
      </c>
      <c r="I325" s="181">
        <f>D325</f>
        <v>750</v>
      </c>
      <c r="J325" s="197">
        <v>0.047</v>
      </c>
      <c r="K325" s="352">
        <f>I325*J325</f>
        <v>35.25</v>
      </c>
      <c r="L325" s="179"/>
      <c r="M325" s="579"/>
      <c r="N325" s="580"/>
    </row>
    <row r="326" spans="1:14" ht="26.25" thickBot="1">
      <c r="A326" s="86"/>
      <c r="B326" s="31"/>
      <c r="C326" s="196" t="s">
        <v>85</v>
      </c>
      <c r="D326" s="235">
        <f>A320-D325</f>
        <v>250</v>
      </c>
      <c r="E326" s="197">
        <v>0.055</v>
      </c>
      <c r="F326" s="352">
        <f>D326*E326</f>
        <v>13.75</v>
      </c>
      <c r="G326" s="167"/>
      <c r="H326" s="353" t="s">
        <v>85</v>
      </c>
      <c r="I326" s="376">
        <f>D326</f>
        <v>250</v>
      </c>
      <c r="J326" s="354">
        <v>0.055</v>
      </c>
      <c r="K326" s="355">
        <f>I326*J326</f>
        <v>13.75</v>
      </c>
      <c r="L326" s="179"/>
      <c r="M326" s="579"/>
      <c r="N326" s="580"/>
    </row>
    <row r="327" spans="1:14" ht="13.5" thickBot="1">
      <c r="A327" s="86"/>
      <c r="B327" s="31"/>
      <c r="C327" s="597"/>
      <c r="D327" s="598"/>
      <c r="E327" s="598"/>
      <c r="F327" s="599"/>
      <c r="G327" s="167"/>
      <c r="H327" s="598"/>
      <c r="I327" s="598"/>
      <c r="J327" s="598"/>
      <c r="K327" s="599"/>
      <c r="L327" s="31"/>
      <c r="M327" s="86"/>
      <c r="N327" s="202"/>
    </row>
    <row r="328" spans="1:14" ht="13.5" thickBot="1">
      <c r="A328" s="94"/>
      <c r="B328" s="148"/>
      <c r="C328" s="203" t="s">
        <v>200</v>
      </c>
      <c r="D328" s="204"/>
      <c r="E328" s="204"/>
      <c r="F328" s="189">
        <f>SUM(F324:F326,F323)</f>
        <v>96.08000000000001</v>
      </c>
      <c r="G328" s="206"/>
      <c r="H328" s="604" t="s">
        <v>201</v>
      </c>
      <c r="I328" s="604"/>
      <c r="J328" s="604"/>
      <c r="K328" s="189">
        <f>SUM(K323:K326)</f>
        <v>99.35542859727416</v>
      </c>
      <c r="L328" s="207"/>
      <c r="M328" s="190">
        <f>K328-F328</f>
        <v>3.275428597274143</v>
      </c>
      <c r="N328" s="191">
        <f>M328/F328</f>
        <v>0.0340906390224203</v>
      </c>
    </row>
    <row r="329" spans="1:14" ht="12.75">
      <c r="A329" s="12"/>
      <c r="D329" s="212"/>
      <c r="E329" s="10"/>
      <c r="F329" s="209"/>
      <c r="I329" s="10"/>
      <c r="J329" s="10"/>
      <c r="K329" s="210"/>
      <c r="L329" s="12"/>
      <c r="M329" s="12"/>
      <c r="N329" s="213"/>
    </row>
    <row r="330" spans="1:13" ht="15.75" thickBot="1">
      <c r="A330" s="214"/>
      <c r="B330" s="31"/>
      <c r="C330" s="133"/>
      <c r="D330" s="30"/>
      <c r="E330" s="30"/>
      <c r="F330" s="215"/>
      <c r="H330" s="133"/>
      <c r="I330" s="30"/>
      <c r="J330" s="30"/>
      <c r="K330" s="216"/>
      <c r="L330" s="216"/>
      <c r="M330" s="216"/>
    </row>
    <row r="331" spans="1:14" ht="60.75" thickBot="1">
      <c r="A331" s="168" t="s">
        <v>78</v>
      </c>
      <c r="B331" s="169"/>
      <c r="C331" s="569"/>
      <c r="D331" s="581" t="s">
        <v>12</v>
      </c>
      <c r="E331" s="583" t="s">
        <v>79</v>
      </c>
      <c r="F331" s="585" t="s">
        <v>182</v>
      </c>
      <c r="G331" s="166"/>
      <c r="H331" s="170"/>
      <c r="I331" s="581" t="s">
        <v>12</v>
      </c>
      <c r="J331" s="583" t="s">
        <v>79</v>
      </c>
      <c r="K331" s="585" t="s">
        <v>182</v>
      </c>
      <c r="L331" s="169"/>
      <c r="M331" s="600" t="s">
        <v>181</v>
      </c>
      <c r="N331" s="602" t="s">
        <v>80</v>
      </c>
    </row>
    <row r="332" spans="1:14" ht="13.5" thickBot="1">
      <c r="A332" s="171">
        <v>1500</v>
      </c>
      <c r="B332" s="31"/>
      <c r="C332" s="570"/>
      <c r="D332" s="582"/>
      <c r="E332" s="584"/>
      <c r="F332" s="586"/>
      <c r="G332" s="167"/>
      <c r="H332" s="31"/>
      <c r="I332" s="587"/>
      <c r="J332" s="588"/>
      <c r="K332" s="586"/>
      <c r="L332" s="32"/>
      <c r="M332" s="601"/>
      <c r="N332" s="603"/>
    </row>
    <row r="333" spans="1:14" ht="27.75" customHeight="1">
      <c r="A333" s="172"/>
      <c r="B333" s="31"/>
      <c r="C333" s="173" t="s">
        <v>21</v>
      </c>
      <c r="D333" s="174" t="s">
        <v>81</v>
      </c>
      <c r="E333" s="175" t="s">
        <v>81</v>
      </c>
      <c r="F333" s="234">
        <f>F321</f>
        <v>12.98</v>
      </c>
      <c r="G333" s="167"/>
      <c r="H333" s="177" t="s">
        <v>21</v>
      </c>
      <c r="I333" s="208" t="str">
        <f>D333</f>
        <v>N/A</v>
      </c>
      <c r="J333" s="178" t="s">
        <v>81</v>
      </c>
      <c r="K333" s="227">
        <f>+K321</f>
        <v>12.329782012300532</v>
      </c>
      <c r="L333" s="179"/>
      <c r="M333" s="575"/>
      <c r="N333" s="576"/>
    </row>
    <row r="334" spans="1:14" ht="25.5" customHeight="1" thickBot="1">
      <c r="A334" s="86"/>
      <c r="B334" s="31"/>
      <c r="C334" s="180" t="s">
        <v>82</v>
      </c>
      <c r="D334" s="181">
        <f>A332</f>
        <v>1500</v>
      </c>
      <c r="E334" s="182">
        <f>E322</f>
        <v>0.0102</v>
      </c>
      <c r="F334" s="352">
        <f>D334*E334</f>
        <v>15.3</v>
      </c>
      <c r="G334" s="167"/>
      <c r="H334" s="184" t="s">
        <v>82</v>
      </c>
      <c r="I334" s="185">
        <f>D334</f>
        <v>1500</v>
      </c>
      <c r="J334" s="228">
        <f>+J322</f>
        <v>0.01412564658497362</v>
      </c>
      <c r="K334" s="186">
        <f>I334*J334</f>
        <v>21.18846987746043</v>
      </c>
      <c r="L334" s="179"/>
      <c r="M334" s="577"/>
      <c r="N334" s="578"/>
    </row>
    <row r="335" spans="1:14" ht="13.5" thickBot="1">
      <c r="A335" s="86"/>
      <c r="B335" s="31"/>
      <c r="C335" s="605"/>
      <c r="D335" s="607"/>
      <c r="E335" s="187" t="s">
        <v>52</v>
      </c>
      <c r="F335" s="373">
        <f>SUM(F333:F334)</f>
        <v>28.28</v>
      </c>
      <c r="G335" s="167"/>
      <c r="H335" s="595"/>
      <c r="I335" s="596"/>
      <c r="J335" s="187" t="s">
        <v>83</v>
      </c>
      <c r="K335" s="189">
        <f>SUM(K333:K334)</f>
        <v>33.51825188976096</v>
      </c>
      <c r="L335" s="179"/>
      <c r="M335" s="190">
        <f>K335-F335</f>
        <v>5.23825188976096</v>
      </c>
      <c r="N335" s="191">
        <f>M335/F335</f>
        <v>0.18522814320229702</v>
      </c>
    </row>
    <row r="336" spans="1:14" ht="25.5">
      <c r="A336" s="86"/>
      <c r="B336" s="31"/>
      <c r="C336" s="180" t="s">
        <v>84</v>
      </c>
      <c r="D336" s="181">
        <f>A332</f>
        <v>1500</v>
      </c>
      <c r="E336" s="192">
        <v>0.0239</v>
      </c>
      <c r="F336" s="374">
        <f>D336*E336</f>
        <v>35.85</v>
      </c>
      <c r="G336" s="167"/>
      <c r="H336" s="184" t="s">
        <v>84</v>
      </c>
      <c r="I336" s="185">
        <f>D336</f>
        <v>1500</v>
      </c>
      <c r="J336" s="194">
        <f>E336</f>
        <v>0.0239</v>
      </c>
      <c r="K336" s="195">
        <f>F336</f>
        <v>35.85</v>
      </c>
      <c r="L336" s="179"/>
      <c r="M336" s="575"/>
      <c r="N336" s="576"/>
    </row>
    <row r="337" spans="1:14" ht="25.5">
      <c r="A337" s="86"/>
      <c r="B337" s="31"/>
      <c r="C337" s="196" t="s">
        <v>85</v>
      </c>
      <c r="D337" s="181">
        <v>750</v>
      </c>
      <c r="E337" s="197">
        <v>0.047</v>
      </c>
      <c r="F337" s="352">
        <f>D337*E337</f>
        <v>35.25</v>
      </c>
      <c r="G337" s="167"/>
      <c r="H337" s="196" t="s">
        <v>85</v>
      </c>
      <c r="I337" s="185">
        <f>D337</f>
        <v>750</v>
      </c>
      <c r="J337" s="197">
        <v>0.047</v>
      </c>
      <c r="K337" s="352">
        <f>I337*J337</f>
        <v>35.25</v>
      </c>
      <c r="L337" s="179"/>
      <c r="M337" s="579"/>
      <c r="N337" s="580"/>
    </row>
    <row r="338" spans="1:14" ht="26.25" thickBot="1">
      <c r="A338" s="86"/>
      <c r="B338" s="31"/>
      <c r="C338" s="196" t="s">
        <v>85</v>
      </c>
      <c r="D338" s="235">
        <f>A332-D337</f>
        <v>750</v>
      </c>
      <c r="E338" s="197">
        <v>0.055</v>
      </c>
      <c r="F338" s="352">
        <f>D338*E338</f>
        <v>41.25</v>
      </c>
      <c r="G338" s="167"/>
      <c r="H338" s="353" t="s">
        <v>85</v>
      </c>
      <c r="I338" s="376">
        <f>D338</f>
        <v>750</v>
      </c>
      <c r="J338" s="354">
        <v>0.055</v>
      </c>
      <c r="K338" s="355">
        <f>I338*J338</f>
        <v>41.25</v>
      </c>
      <c r="L338" s="179"/>
      <c r="M338" s="579"/>
      <c r="N338" s="580"/>
    </row>
    <row r="339" spans="1:14" ht="13.5" thickBot="1">
      <c r="A339" s="86"/>
      <c r="B339" s="31"/>
      <c r="C339" s="597"/>
      <c r="D339" s="598"/>
      <c r="E339" s="598"/>
      <c r="F339" s="599"/>
      <c r="G339" s="167"/>
      <c r="H339" s="598"/>
      <c r="I339" s="598"/>
      <c r="J339" s="598"/>
      <c r="K339" s="599"/>
      <c r="L339" s="31"/>
      <c r="M339" s="86"/>
      <c r="N339" s="202"/>
    </row>
    <row r="340" spans="1:14" ht="13.5" thickBot="1">
      <c r="A340" s="94"/>
      <c r="B340" s="148"/>
      <c r="C340" s="203" t="s">
        <v>200</v>
      </c>
      <c r="D340" s="204"/>
      <c r="E340" s="204"/>
      <c r="F340" s="189">
        <f>SUM(F336:F338,F335)</f>
        <v>140.63</v>
      </c>
      <c r="G340" s="206"/>
      <c r="H340" s="604" t="s">
        <v>201</v>
      </c>
      <c r="I340" s="604"/>
      <c r="J340" s="604"/>
      <c r="K340" s="189">
        <f>SUM(K335:K338)</f>
        <v>145.86825188976096</v>
      </c>
      <c r="L340" s="207"/>
      <c r="M340" s="190">
        <f>K340-F340</f>
        <v>5.23825188976096</v>
      </c>
      <c r="N340" s="191">
        <f>M340/F340</f>
        <v>0.03724846682614634</v>
      </c>
    </row>
    <row r="341" spans="1:14" ht="9" customHeight="1">
      <c r="A341" s="12"/>
      <c r="D341" s="212"/>
      <c r="E341" s="10"/>
      <c r="F341" s="209"/>
      <c r="I341" s="10"/>
      <c r="J341" s="10"/>
      <c r="K341" s="210"/>
      <c r="L341" s="12"/>
      <c r="M341" s="12"/>
      <c r="N341" s="213"/>
    </row>
    <row r="342" spans="1:13" ht="9" customHeight="1" thickBot="1">
      <c r="A342" s="214"/>
      <c r="B342" s="31"/>
      <c r="C342" s="133"/>
      <c r="D342" s="30"/>
      <c r="E342" s="30"/>
      <c r="F342" s="215"/>
      <c r="H342" s="133"/>
      <c r="I342" s="30"/>
      <c r="J342" s="30"/>
      <c r="K342" s="216"/>
      <c r="L342" s="216"/>
      <c r="M342" s="216"/>
    </row>
    <row r="343" spans="1:14" ht="60.75" thickBot="1">
      <c r="A343" s="168" t="s">
        <v>78</v>
      </c>
      <c r="B343" s="169"/>
      <c r="C343" s="569"/>
      <c r="D343" s="581" t="s">
        <v>12</v>
      </c>
      <c r="E343" s="583" t="s">
        <v>79</v>
      </c>
      <c r="F343" s="585" t="s">
        <v>182</v>
      </c>
      <c r="G343" s="166"/>
      <c r="H343" s="170"/>
      <c r="I343" s="581" t="s">
        <v>12</v>
      </c>
      <c r="J343" s="583" t="s">
        <v>79</v>
      </c>
      <c r="K343" s="585" t="s">
        <v>182</v>
      </c>
      <c r="L343" s="169"/>
      <c r="M343" s="600" t="s">
        <v>181</v>
      </c>
      <c r="N343" s="602" t="s">
        <v>80</v>
      </c>
    </row>
    <row r="344" spans="1:14" ht="13.5" thickBot="1">
      <c r="A344" s="171">
        <v>2000</v>
      </c>
      <c r="B344" s="31"/>
      <c r="C344" s="570"/>
      <c r="D344" s="582"/>
      <c r="E344" s="584"/>
      <c r="F344" s="586"/>
      <c r="G344" s="167"/>
      <c r="H344" s="31"/>
      <c r="I344" s="587"/>
      <c r="J344" s="588"/>
      <c r="K344" s="586"/>
      <c r="L344" s="32"/>
      <c r="M344" s="601"/>
      <c r="N344" s="603"/>
    </row>
    <row r="345" spans="1:14" ht="27" customHeight="1">
      <c r="A345" s="172"/>
      <c r="B345" s="31"/>
      <c r="C345" s="173" t="s">
        <v>21</v>
      </c>
      <c r="D345" s="174" t="s">
        <v>81</v>
      </c>
      <c r="E345" s="175" t="s">
        <v>81</v>
      </c>
      <c r="F345" s="234">
        <f>F333</f>
        <v>12.98</v>
      </c>
      <c r="G345" s="167"/>
      <c r="H345" s="177" t="s">
        <v>21</v>
      </c>
      <c r="I345" s="208" t="str">
        <f>D345</f>
        <v>N/A</v>
      </c>
      <c r="J345" s="178" t="s">
        <v>81</v>
      </c>
      <c r="K345" s="227">
        <f>+K333</f>
        <v>12.329782012300532</v>
      </c>
      <c r="L345" s="179"/>
      <c r="M345" s="575"/>
      <c r="N345" s="576"/>
    </row>
    <row r="346" spans="1:14" ht="29.25" customHeight="1" thickBot="1">
      <c r="A346" s="86"/>
      <c r="B346" s="31"/>
      <c r="C346" s="180" t="s">
        <v>82</v>
      </c>
      <c r="D346" s="181">
        <f>A344</f>
        <v>2000</v>
      </c>
      <c r="E346" s="182">
        <f>E334</f>
        <v>0.0102</v>
      </c>
      <c r="F346" s="352">
        <f>D346*E346</f>
        <v>20.400000000000002</v>
      </c>
      <c r="G346" s="167"/>
      <c r="H346" s="184" t="s">
        <v>82</v>
      </c>
      <c r="I346" s="185">
        <f>D346</f>
        <v>2000</v>
      </c>
      <c r="J346" s="228">
        <f>+J334</f>
        <v>0.01412564658497362</v>
      </c>
      <c r="K346" s="186">
        <f>I346*J346</f>
        <v>28.25129316994724</v>
      </c>
      <c r="L346" s="179"/>
      <c r="M346" s="577"/>
      <c r="N346" s="578"/>
    </row>
    <row r="347" spans="1:14" ht="13.5" customHeight="1" thickBot="1">
      <c r="A347" s="86"/>
      <c r="B347" s="31"/>
      <c r="C347" s="605"/>
      <c r="D347" s="607"/>
      <c r="E347" s="187" t="s">
        <v>52</v>
      </c>
      <c r="F347" s="373">
        <f>SUM(F345:F346)</f>
        <v>33.38</v>
      </c>
      <c r="G347" s="167"/>
      <c r="H347" s="595"/>
      <c r="I347" s="596"/>
      <c r="J347" s="187" t="s">
        <v>83</v>
      </c>
      <c r="K347" s="189">
        <f>SUM(K345:K346)</f>
        <v>40.58107518224777</v>
      </c>
      <c r="L347" s="179"/>
      <c r="M347" s="190">
        <f>K347-F347</f>
        <v>7.20107518224777</v>
      </c>
      <c r="N347" s="191">
        <f>M347/F347</f>
        <v>0.21573023314103565</v>
      </c>
    </row>
    <row r="348" spans="1:14" ht="25.5">
      <c r="A348" s="86"/>
      <c r="B348" s="31"/>
      <c r="C348" s="180" t="s">
        <v>84</v>
      </c>
      <c r="D348" s="181">
        <f>A344</f>
        <v>2000</v>
      </c>
      <c r="E348" s="192">
        <v>0.0239</v>
      </c>
      <c r="F348" s="374">
        <f>D348*E348</f>
        <v>47.800000000000004</v>
      </c>
      <c r="G348" s="167"/>
      <c r="H348" s="184" t="s">
        <v>84</v>
      </c>
      <c r="I348" s="185">
        <f>D348</f>
        <v>2000</v>
      </c>
      <c r="J348" s="194">
        <f>E348</f>
        <v>0.0239</v>
      </c>
      <c r="K348" s="195">
        <f>F348</f>
        <v>47.800000000000004</v>
      </c>
      <c r="L348" s="179"/>
      <c r="M348" s="575"/>
      <c r="N348" s="576"/>
    </row>
    <row r="349" spans="1:14" ht="25.5">
      <c r="A349" s="86"/>
      <c r="B349" s="31"/>
      <c r="C349" s="196" t="s">
        <v>85</v>
      </c>
      <c r="D349" s="181">
        <v>750</v>
      </c>
      <c r="E349" s="197">
        <v>0.047</v>
      </c>
      <c r="F349" s="352">
        <f>D349*E349</f>
        <v>35.25</v>
      </c>
      <c r="G349" s="167"/>
      <c r="H349" s="196" t="s">
        <v>85</v>
      </c>
      <c r="I349" s="185">
        <f>D349</f>
        <v>750</v>
      </c>
      <c r="J349" s="197">
        <v>0.047</v>
      </c>
      <c r="K349" s="352">
        <f>I349*J349</f>
        <v>35.25</v>
      </c>
      <c r="L349" s="179"/>
      <c r="M349" s="579"/>
      <c r="N349" s="580"/>
    </row>
    <row r="350" spans="1:14" ht="26.25" thickBot="1">
      <c r="A350" s="86"/>
      <c r="B350" s="31"/>
      <c r="C350" s="196" t="s">
        <v>85</v>
      </c>
      <c r="D350" s="235">
        <f>A344-D349</f>
        <v>1250</v>
      </c>
      <c r="E350" s="197">
        <v>0.055</v>
      </c>
      <c r="F350" s="352">
        <f>D350*E350</f>
        <v>68.75</v>
      </c>
      <c r="G350" s="167"/>
      <c r="H350" s="353" t="s">
        <v>85</v>
      </c>
      <c r="I350" s="376">
        <f>D350</f>
        <v>1250</v>
      </c>
      <c r="J350" s="354">
        <v>0.055</v>
      </c>
      <c r="K350" s="355">
        <f>I350*J350</f>
        <v>68.75</v>
      </c>
      <c r="L350" s="179"/>
      <c r="M350" s="579"/>
      <c r="N350" s="580"/>
    </row>
    <row r="351" spans="1:14" ht="13.5" thickBot="1">
      <c r="A351" s="86"/>
      <c r="B351" s="31"/>
      <c r="C351" s="597"/>
      <c r="D351" s="598"/>
      <c r="E351" s="598"/>
      <c r="F351" s="599"/>
      <c r="G351" s="167"/>
      <c r="H351" s="598"/>
      <c r="I351" s="598"/>
      <c r="J351" s="598"/>
      <c r="K351" s="599"/>
      <c r="L351" s="31"/>
      <c r="M351" s="86"/>
      <c r="N351" s="202"/>
    </row>
    <row r="352" spans="1:14" ht="13.5" thickBot="1">
      <c r="A352" s="94"/>
      <c r="B352" s="148"/>
      <c r="C352" s="203" t="s">
        <v>200</v>
      </c>
      <c r="D352" s="204"/>
      <c r="E352" s="204"/>
      <c r="F352" s="189">
        <f>SUM(F348:F350,F347)</f>
        <v>185.18</v>
      </c>
      <c r="G352" s="206"/>
      <c r="H352" s="604" t="s">
        <v>201</v>
      </c>
      <c r="I352" s="604"/>
      <c r="J352" s="604"/>
      <c r="K352" s="189">
        <f>SUM(K347:K350)</f>
        <v>192.38107518224777</v>
      </c>
      <c r="L352" s="207"/>
      <c r="M352" s="190">
        <f>K352-F352</f>
        <v>7.201075182247763</v>
      </c>
      <c r="N352" s="191">
        <f>M352/F352</f>
        <v>0.0388868948171928</v>
      </c>
    </row>
    <row r="355" spans="3:11" ht="18.75" customHeight="1">
      <c r="C355" s="497" t="s">
        <v>246</v>
      </c>
      <c r="D355" s="484"/>
      <c r="E355" s="160"/>
      <c r="F355" s="160"/>
      <c r="G355" s="31"/>
      <c r="K355" s="161"/>
    </row>
    <row r="356" spans="5:11" ht="9" customHeight="1" thickBot="1">
      <c r="E356" s="160"/>
      <c r="F356" s="160"/>
      <c r="G356" s="31"/>
      <c r="K356" s="161"/>
    </row>
    <row r="357" spans="1:14" ht="15.75" customHeight="1">
      <c r="A357" s="47"/>
      <c r="C357" s="589" t="s">
        <v>95</v>
      </c>
      <c r="D357" s="590"/>
      <c r="E357" s="590"/>
      <c r="F357" s="591"/>
      <c r="G357" s="166"/>
      <c r="H357" s="589" t="s">
        <v>96</v>
      </c>
      <c r="I357" s="590"/>
      <c r="J357" s="590"/>
      <c r="K357" s="590"/>
      <c r="L357" s="590"/>
      <c r="M357" s="590"/>
      <c r="N357" s="591"/>
    </row>
    <row r="358" spans="1:15" ht="13.5" customHeight="1" thickBot="1">
      <c r="A358"/>
      <c r="C358" s="592"/>
      <c r="D358" s="593"/>
      <c r="E358" s="593"/>
      <c r="F358" s="594"/>
      <c r="G358" s="167"/>
      <c r="H358" s="592"/>
      <c r="I358" s="593"/>
      <c r="J358" s="593"/>
      <c r="K358" s="593"/>
      <c r="L358" s="593"/>
      <c r="M358" s="593"/>
      <c r="N358" s="594"/>
      <c r="O358" s="31"/>
    </row>
    <row r="359" spans="1:14" ht="48.75" customHeight="1" thickBot="1">
      <c r="A359" s="168" t="s">
        <v>78</v>
      </c>
      <c r="B359" s="169"/>
      <c r="C359" s="569"/>
      <c r="D359" s="581" t="s">
        <v>12</v>
      </c>
      <c r="E359" s="583" t="s">
        <v>79</v>
      </c>
      <c r="F359" s="585" t="s">
        <v>182</v>
      </c>
      <c r="G359" s="166"/>
      <c r="H359" s="170"/>
      <c r="I359" s="581" t="s">
        <v>12</v>
      </c>
      <c r="J359" s="583" t="s">
        <v>79</v>
      </c>
      <c r="K359" s="585" t="s">
        <v>182</v>
      </c>
      <c r="L359" s="169"/>
      <c r="M359" s="600" t="s">
        <v>181</v>
      </c>
      <c r="N359" s="602" t="s">
        <v>80</v>
      </c>
    </row>
    <row r="360" spans="1:14" ht="13.5" thickBot="1">
      <c r="A360" s="171">
        <v>100</v>
      </c>
      <c r="B360" s="31"/>
      <c r="C360" s="570"/>
      <c r="D360" s="582"/>
      <c r="E360" s="584"/>
      <c r="F360" s="586"/>
      <c r="G360" s="167"/>
      <c r="H360" s="31"/>
      <c r="I360" s="587"/>
      <c r="J360" s="588"/>
      <c r="K360" s="586"/>
      <c r="L360" s="32"/>
      <c r="M360" s="601"/>
      <c r="N360" s="603"/>
    </row>
    <row r="361" spans="1:14" ht="25.5">
      <c r="A361" s="172"/>
      <c r="B361" s="31"/>
      <c r="C361" s="449" t="s">
        <v>21</v>
      </c>
      <c r="D361" s="174" t="s">
        <v>81</v>
      </c>
      <c r="E361" s="175" t="s">
        <v>81</v>
      </c>
      <c r="F361" s="234">
        <f>+'12. Current Rates'!D45</f>
        <v>10.2</v>
      </c>
      <c r="G361" s="167"/>
      <c r="H361" s="452" t="s">
        <v>21</v>
      </c>
      <c r="I361" s="174" t="s">
        <v>81</v>
      </c>
      <c r="J361" s="174" t="s">
        <v>81</v>
      </c>
      <c r="K361" s="234">
        <f>+'11. 2005 Final Rate Schedule '!F324</f>
        <v>9.742855983694888</v>
      </c>
      <c r="L361" s="179"/>
      <c r="M361" s="575"/>
      <c r="N361" s="576"/>
    </row>
    <row r="362" spans="1:14" ht="26.25" thickBot="1">
      <c r="A362" s="86"/>
      <c r="B362" s="31"/>
      <c r="C362" s="450" t="s">
        <v>82</v>
      </c>
      <c r="D362" s="235">
        <f>A360</f>
        <v>100</v>
      </c>
      <c r="E362" s="438">
        <f>+'12. Current Rates'!D43</f>
        <v>0.0098</v>
      </c>
      <c r="F362" s="352">
        <f>D362*E362</f>
        <v>0.98</v>
      </c>
      <c r="G362" s="167"/>
      <c r="H362" s="453" t="s">
        <v>82</v>
      </c>
      <c r="I362" s="181">
        <f>D362</f>
        <v>100</v>
      </c>
      <c r="J362" s="444">
        <f>+'11. 2005 Final Rate Schedule '!F325</f>
        <v>0.012202412737308639</v>
      </c>
      <c r="K362" s="237">
        <f>I362*J362</f>
        <v>1.2202412737308639</v>
      </c>
      <c r="L362" s="179"/>
      <c r="M362" s="577"/>
      <c r="N362" s="578"/>
    </row>
    <row r="363" spans="1:14" ht="13.5" thickBot="1">
      <c r="A363" s="86"/>
      <c r="B363" s="31"/>
      <c r="C363" s="567"/>
      <c r="D363" s="568"/>
      <c r="E363" s="187" t="s">
        <v>52</v>
      </c>
      <c r="F363" s="373">
        <f>SUM(F361:F362)</f>
        <v>11.18</v>
      </c>
      <c r="G363" s="167"/>
      <c r="H363" s="595"/>
      <c r="I363" s="596"/>
      <c r="J363" s="187" t="s">
        <v>83</v>
      </c>
      <c r="K363" s="189">
        <f>SUM(K361:K362)</f>
        <v>10.963097257425751</v>
      </c>
      <c r="L363" s="179"/>
      <c r="M363" s="190">
        <f>K363-F363</f>
        <v>-0.21690274257424846</v>
      </c>
      <c r="N363" s="191">
        <f>M363/F363</f>
        <v>-0.01940096087426194</v>
      </c>
    </row>
    <row r="364" spans="1:14" ht="27" customHeight="1">
      <c r="A364" s="86"/>
      <c r="B364" s="31"/>
      <c r="C364" s="450" t="s">
        <v>84</v>
      </c>
      <c r="D364" s="181">
        <f>A360</f>
        <v>100</v>
      </c>
      <c r="E364" s="439">
        <v>0.0239</v>
      </c>
      <c r="F364" s="374">
        <f>D364*E364</f>
        <v>2.39</v>
      </c>
      <c r="G364" s="167"/>
      <c r="H364" s="453" t="s">
        <v>84</v>
      </c>
      <c r="I364" s="181">
        <f aca="true" t="shared" si="16" ref="I364:K365">D364</f>
        <v>100</v>
      </c>
      <c r="J364" s="445">
        <f t="shared" si="16"/>
        <v>0.0239</v>
      </c>
      <c r="K364" s="239">
        <f t="shared" si="16"/>
        <v>2.39</v>
      </c>
      <c r="L364" s="179"/>
      <c r="M364" s="575"/>
      <c r="N364" s="576"/>
    </row>
    <row r="365" spans="1:14" ht="25.5" customHeight="1" thickBot="1">
      <c r="A365" s="86"/>
      <c r="B365" s="31"/>
      <c r="C365" s="451" t="s">
        <v>85</v>
      </c>
      <c r="D365" s="181">
        <f>A360</f>
        <v>100</v>
      </c>
      <c r="E365" s="440">
        <v>0.047</v>
      </c>
      <c r="F365" s="352">
        <f>D365*E365</f>
        <v>4.7</v>
      </c>
      <c r="G365" s="167"/>
      <c r="H365" s="454" t="s">
        <v>85</v>
      </c>
      <c r="I365" s="446">
        <f t="shared" si="16"/>
        <v>100</v>
      </c>
      <c r="J365" s="447">
        <f t="shared" si="16"/>
        <v>0.047</v>
      </c>
      <c r="K365" s="243">
        <f t="shared" si="16"/>
        <v>4.7</v>
      </c>
      <c r="L365" s="179"/>
      <c r="M365" s="579"/>
      <c r="N365" s="580"/>
    </row>
    <row r="366" spans="1:14" ht="7.5" customHeight="1" thickBot="1">
      <c r="A366" s="86"/>
      <c r="B366" s="31"/>
      <c r="C366" s="597"/>
      <c r="D366" s="598"/>
      <c r="E366" s="598"/>
      <c r="F366" s="599"/>
      <c r="G366" s="167"/>
      <c r="H366" s="598"/>
      <c r="I366" s="598"/>
      <c r="J366" s="598"/>
      <c r="K366" s="599"/>
      <c r="L366" s="31"/>
      <c r="M366" s="86"/>
      <c r="N366" s="202"/>
    </row>
    <row r="367" spans="1:14" ht="13.5" thickBot="1">
      <c r="A367" s="94"/>
      <c r="B367" s="148"/>
      <c r="C367" s="203" t="s">
        <v>200</v>
      </c>
      <c r="D367" s="204"/>
      <c r="E367" s="204"/>
      <c r="F367" s="189">
        <f>SUM(F364:F365,F363)</f>
        <v>18.27</v>
      </c>
      <c r="G367" s="206"/>
      <c r="H367" s="604" t="s">
        <v>201</v>
      </c>
      <c r="I367" s="604"/>
      <c r="J367" s="604"/>
      <c r="K367" s="189">
        <f>SUM(K363:K365)</f>
        <v>18.05309725742575</v>
      </c>
      <c r="L367" s="207"/>
      <c r="M367" s="190">
        <f>K367-F367</f>
        <v>-0.21690274257424846</v>
      </c>
      <c r="N367" s="191">
        <f>M367/F367</f>
        <v>-0.011872071295799041</v>
      </c>
    </row>
    <row r="368" ht="12.75">
      <c r="K368" s="161"/>
    </row>
    <row r="369" spans="6:11" ht="13.5" thickBot="1">
      <c r="F369" s="161"/>
      <c r="K369" s="161"/>
    </row>
    <row r="370" spans="1:14" ht="60.75" thickBot="1">
      <c r="A370" s="168" t="s">
        <v>78</v>
      </c>
      <c r="B370" s="169"/>
      <c r="C370" s="569"/>
      <c r="D370" s="581" t="s">
        <v>12</v>
      </c>
      <c r="E370" s="583" t="s">
        <v>79</v>
      </c>
      <c r="F370" s="585" t="s">
        <v>182</v>
      </c>
      <c r="G370" s="166"/>
      <c r="H370" s="170"/>
      <c r="I370" s="581" t="s">
        <v>12</v>
      </c>
      <c r="J370" s="583" t="s">
        <v>79</v>
      </c>
      <c r="K370" s="585" t="s">
        <v>182</v>
      </c>
      <c r="L370" s="169"/>
      <c r="M370" s="600" t="s">
        <v>181</v>
      </c>
      <c r="N370" s="602" t="s">
        <v>80</v>
      </c>
    </row>
    <row r="371" spans="1:14" ht="13.5" thickBot="1">
      <c r="A371" s="171">
        <v>250</v>
      </c>
      <c r="B371" s="31"/>
      <c r="C371" s="570"/>
      <c r="D371" s="582"/>
      <c r="E371" s="584"/>
      <c r="F371" s="586"/>
      <c r="G371" s="167"/>
      <c r="H371" s="31"/>
      <c r="I371" s="587"/>
      <c r="J371" s="588"/>
      <c r="K371" s="586"/>
      <c r="L371" s="32"/>
      <c r="M371" s="601"/>
      <c r="N371" s="603"/>
    </row>
    <row r="372" spans="1:14" ht="25.5">
      <c r="A372" s="172"/>
      <c r="B372" s="31"/>
      <c r="C372" s="173" t="s">
        <v>21</v>
      </c>
      <c r="D372" s="174" t="s">
        <v>81</v>
      </c>
      <c r="E372" s="175" t="s">
        <v>81</v>
      </c>
      <c r="F372" s="234">
        <f>F361</f>
        <v>10.2</v>
      </c>
      <c r="G372" s="167"/>
      <c r="H372" s="177" t="s">
        <v>21</v>
      </c>
      <c r="I372" s="208" t="str">
        <f>D372</f>
        <v>N/A</v>
      </c>
      <c r="J372" s="178" t="s">
        <v>81</v>
      </c>
      <c r="K372" s="227">
        <f>+K361</f>
        <v>9.742855983694888</v>
      </c>
      <c r="L372" s="179"/>
      <c r="M372" s="575"/>
      <c r="N372" s="576"/>
    </row>
    <row r="373" spans="1:14" ht="26.25" thickBot="1">
      <c r="A373" s="86"/>
      <c r="B373" s="31"/>
      <c r="C373" s="180" t="s">
        <v>82</v>
      </c>
      <c r="D373" s="235">
        <f>A371</f>
        <v>250</v>
      </c>
      <c r="E373" s="182">
        <f>E362</f>
        <v>0.0098</v>
      </c>
      <c r="F373" s="352">
        <f>D373*E373</f>
        <v>2.4499999999999997</v>
      </c>
      <c r="G373" s="167"/>
      <c r="H373" s="184" t="s">
        <v>82</v>
      </c>
      <c r="I373" s="185">
        <f>D373</f>
        <v>250</v>
      </c>
      <c r="J373" s="443">
        <f>+J362</f>
        <v>0.012202412737308639</v>
      </c>
      <c r="K373" s="186">
        <f>I373*J373</f>
        <v>3.0506031843271595</v>
      </c>
      <c r="L373" s="179"/>
      <c r="M373" s="577"/>
      <c r="N373" s="578"/>
    </row>
    <row r="374" spans="1:14" ht="24.75" customHeight="1" thickBot="1">
      <c r="A374" s="86"/>
      <c r="B374" s="31"/>
      <c r="C374" s="605"/>
      <c r="D374" s="607"/>
      <c r="E374" s="187" t="s">
        <v>52</v>
      </c>
      <c r="F374" s="373">
        <f>SUM(F372:F373)</f>
        <v>12.649999999999999</v>
      </c>
      <c r="G374" s="167"/>
      <c r="H374" s="595"/>
      <c r="I374" s="596"/>
      <c r="J374" s="187" t="s">
        <v>83</v>
      </c>
      <c r="K374" s="189">
        <f>SUM(K372:K373)</f>
        <v>12.793459168022046</v>
      </c>
      <c r="L374" s="179"/>
      <c r="M374" s="190">
        <f>K374-F374</f>
        <v>0.14345916802204783</v>
      </c>
      <c r="N374" s="191">
        <f>M374/F374</f>
        <v>0.011340645693442519</v>
      </c>
    </row>
    <row r="375" spans="1:14" ht="27" customHeight="1">
      <c r="A375" s="86"/>
      <c r="B375" s="31"/>
      <c r="C375" s="180" t="s">
        <v>84</v>
      </c>
      <c r="D375" s="181">
        <f>A371</f>
        <v>250</v>
      </c>
      <c r="E375" s="439">
        <v>0.0239</v>
      </c>
      <c r="F375" s="374">
        <f>D375*E375</f>
        <v>5.9750000000000005</v>
      </c>
      <c r="G375" s="167"/>
      <c r="H375" s="184" t="s">
        <v>84</v>
      </c>
      <c r="I375" s="185">
        <f aca="true" t="shared" si="17" ref="I375:K376">D375</f>
        <v>250</v>
      </c>
      <c r="J375" s="441">
        <f t="shared" si="17"/>
        <v>0.0239</v>
      </c>
      <c r="K375" s="195">
        <f t="shared" si="17"/>
        <v>5.9750000000000005</v>
      </c>
      <c r="L375" s="179"/>
      <c r="M375" s="575"/>
      <c r="N375" s="576"/>
    </row>
    <row r="376" spans="1:14" ht="26.25" thickBot="1">
      <c r="A376" s="86"/>
      <c r="B376" s="31"/>
      <c r="C376" s="196" t="s">
        <v>85</v>
      </c>
      <c r="D376" s="181">
        <f>A371</f>
        <v>250</v>
      </c>
      <c r="E376" s="440">
        <v>0.047</v>
      </c>
      <c r="F376" s="352">
        <f>D376*E376</f>
        <v>11.75</v>
      </c>
      <c r="G376" s="167"/>
      <c r="H376" s="198" t="s">
        <v>85</v>
      </c>
      <c r="I376" s="199">
        <f t="shared" si="17"/>
        <v>250</v>
      </c>
      <c r="J376" s="442">
        <f t="shared" si="17"/>
        <v>0.047</v>
      </c>
      <c r="K376" s="201">
        <f t="shared" si="17"/>
        <v>11.75</v>
      </c>
      <c r="L376" s="179"/>
      <c r="M376" s="579"/>
      <c r="N376" s="580"/>
    </row>
    <row r="377" spans="1:14" ht="13.5" thickBot="1">
      <c r="A377" s="86"/>
      <c r="B377" s="31"/>
      <c r="C377" s="597"/>
      <c r="D377" s="598"/>
      <c r="E377" s="598"/>
      <c r="F377" s="599"/>
      <c r="G377" s="167"/>
      <c r="H377" s="598"/>
      <c r="I377" s="598"/>
      <c r="J377" s="598"/>
      <c r="K377" s="599"/>
      <c r="L377" s="31"/>
      <c r="M377" s="86"/>
      <c r="N377" s="202"/>
    </row>
    <row r="378" spans="1:14" ht="13.5" thickBot="1">
      <c r="A378" s="94"/>
      <c r="B378" s="148"/>
      <c r="C378" s="203" t="s">
        <v>200</v>
      </c>
      <c r="D378" s="204"/>
      <c r="E378" s="204"/>
      <c r="F378" s="189">
        <f>SUM(F375:F376,F374)</f>
        <v>30.375</v>
      </c>
      <c r="G378" s="206"/>
      <c r="H378" s="604" t="s">
        <v>201</v>
      </c>
      <c r="I378" s="604"/>
      <c r="J378" s="604"/>
      <c r="K378" s="189">
        <f>SUM(K374:K376)</f>
        <v>30.518459168022048</v>
      </c>
      <c r="L378" s="207"/>
      <c r="M378" s="190">
        <f>K378-F378</f>
        <v>0.14345916802204783</v>
      </c>
      <c r="N378" s="191">
        <f>M378/F378</f>
        <v>0.0047229355727423155</v>
      </c>
    </row>
    <row r="379" ht="12.75">
      <c r="K379" s="161"/>
    </row>
    <row r="380" spans="1:14" ht="11.25" customHeight="1" thickBot="1">
      <c r="A380" s="47"/>
      <c r="B380" s="12"/>
      <c r="D380" s="10"/>
      <c r="E380" s="10"/>
      <c r="F380" s="209"/>
      <c r="I380" s="10"/>
      <c r="J380" s="10"/>
      <c r="K380" s="210"/>
      <c r="L380" s="12"/>
      <c r="M380" s="12"/>
      <c r="N380" s="211"/>
    </row>
    <row r="381" spans="1:14" ht="60.75" thickBot="1">
      <c r="A381" s="168" t="s">
        <v>78</v>
      </c>
      <c r="B381" s="169"/>
      <c r="C381" s="608"/>
      <c r="D381" s="581" t="s">
        <v>12</v>
      </c>
      <c r="E381" s="583" t="s">
        <v>79</v>
      </c>
      <c r="F381" s="585" t="s">
        <v>182</v>
      </c>
      <c r="G381" s="166"/>
      <c r="H381" s="170"/>
      <c r="I381" s="581" t="s">
        <v>12</v>
      </c>
      <c r="J381" s="583" t="s">
        <v>79</v>
      </c>
      <c r="K381" s="585" t="s">
        <v>182</v>
      </c>
      <c r="L381" s="169"/>
      <c r="M381" s="600" t="s">
        <v>181</v>
      </c>
      <c r="N381" s="602" t="s">
        <v>80</v>
      </c>
    </row>
    <row r="382" spans="1:14" ht="13.5" thickBot="1">
      <c r="A382" s="171">
        <v>500</v>
      </c>
      <c r="B382" s="31"/>
      <c r="C382" s="609"/>
      <c r="D382" s="582"/>
      <c r="E382" s="584"/>
      <c r="F382" s="586"/>
      <c r="G382" s="167"/>
      <c r="H382" s="31"/>
      <c r="I382" s="587"/>
      <c r="J382" s="588"/>
      <c r="K382" s="586"/>
      <c r="L382" s="32"/>
      <c r="M382" s="601"/>
      <c r="N382" s="603"/>
    </row>
    <row r="383" spans="1:14" ht="25.5">
      <c r="A383" s="172"/>
      <c r="B383" s="31"/>
      <c r="C383" s="173" t="s">
        <v>21</v>
      </c>
      <c r="D383" s="174" t="s">
        <v>81</v>
      </c>
      <c r="E383" s="175" t="s">
        <v>81</v>
      </c>
      <c r="F383" s="234">
        <f>F372</f>
        <v>10.2</v>
      </c>
      <c r="G383" s="167"/>
      <c r="H383" s="177" t="s">
        <v>21</v>
      </c>
      <c r="I383" s="208" t="str">
        <f>D383</f>
        <v>N/A</v>
      </c>
      <c r="J383" s="178" t="s">
        <v>81</v>
      </c>
      <c r="K383" s="227">
        <f>+K372</f>
        <v>9.742855983694888</v>
      </c>
      <c r="L383" s="179"/>
      <c r="M383" s="575"/>
      <c r="N383" s="576"/>
    </row>
    <row r="384" spans="1:14" ht="25.5" customHeight="1" thickBot="1">
      <c r="A384" s="86"/>
      <c r="B384" s="31"/>
      <c r="C384" s="180" t="s">
        <v>82</v>
      </c>
      <c r="D384" s="235">
        <f>A382</f>
        <v>500</v>
      </c>
      <c r="E384" s="182">
        <f>E373</f>
        <v>0.0098</v>
      </c>
      <c r="F384" s="352">
        <f>D384*E384</f>
        <v>4.8999999999999995</v>
      </c>
      <c r="G384" s="167"/>
      <c r="H384" s="184" t="s">
        <v>82</v>
      </c>
      <c r="I384" s="375">
        <f>D384</f>
        <v>500</v>
      </c>
      <c r="J384" s="443">
        <f>+J373</f>
        <v>0.012202412737308639</v>
      </c>
      <c r="K384" s="186">
        <f>I384*J384</f>
        <v>6.101206368654319</v>
      </c>
      <c r="L384" s="179"/>
      <c r="M384" s="577"/>
      <c r="N384" s="578"/>
    </row>
    <row r="385" spans="1:14" ht="13.5" thickBot="1">
      <c r="A385" s="86"/>
      <c r="B385" s="31"/>
      <c r="C385" s="605"/>
      <c r="D385" s="606"/>
      <c r="E385" s="187" t="s">
        <v>52</v>
      </c>
      <c r="F385" s="373">
        <f>SUM(F383:F384)</f>
        <v>15.099999999999998</v>
      </c>
      <c r="G385" s="167"/>
      <c r="H385" s="595"/>
      <c r="I385" s="596"/>
      <c r="J385" s="187" t="s">
        <v>83</v>
      </c>
      <c r="K385" s="189">
        <f>SUM(K383:K384)</f>
        <v>15.844062352349207</v>
      </c>
      <c r="L385" s="179"/>
      <c r="M385" s="190">
        <f>K385-F385</f>
        <v>0.7440623523492089</v>
      </c>
      <c r="N385" s="191">
        <f>M385/F385</f>
        <v>0.049275652473457554</v>
      </c>
    </row>
    <row r="386" spans="1:14" ht="25.5">
      <c r="A386" s="86"/>
      <c r="B386" s="31"/>
      <c r="C386" s="180" t="s">
        <v>84</v>
      </c>
      <c r="D386" s="181">
        <f>A382</f>
        <v>500</v>
      </c>
      <c r="E386" s="439">
        <v>0.0239</v>
      </c>
      <c r="F386" s="374">
        <f>D386*E386</f>
        <v>11.950000000000001</v>
      </c>
      <c r="G386" s="167"/>
      <c r="H386" s="184" t="s">
        <v>84</v>
      </c>
      <c r="I386" s="185">
        <f aca="true" t="shared" si="18" ref="I386:K387">D386</f>
        <v>500</v>
      </c>
      <c r="J386" s="441">
        <f t="shared" si="18"/>
        <v>0.0239</v>
      </c>
      <c r="K386" s="195">
        <f t="shared" si="18"/>
        <v>11.950000000000001</v>
      </c>
      <c r="L386" s="179"/>
      <c r="M386" s="575"/>
      <c r="N386" s="576"/>
    </row>
    <row r="387" spans="1:14" ht="26.25" thickBot="1">
      <c r="A387" s="86"/>
      <c r="B387" s="31"/>
      <c r="C387" s="196" t="s">
        <v>85</v>
      </c>
      <c r="D387" s="181">
        <f>A382</f>
        <v>500</v>
      </c>
      <c r="E387" s="440">
        <v>0.047</v>
      </c>
      <c r="F387" s="352">
        <f>D387*E387</f>
        <v>23.5</v>
      </c>
      <c r="G387" s="167"/>
      <c r="H387" s="198" t="s">
        <v>85</v>
      </c>
      <c r="I387" s="199">
        <f t="shared" si="18"/>
        <v>500</v>
      </c>
      <c r="J387" s="442">
        <f t="shared" si="18"/>
        <v>0.047</v>
      </c>
      <c r="K387" s="201">
        <f t="shared" si="18"/>
        <v>23.5</v>
      </c>
      <c r="L387" s="179"/>
      <c r="M387" s="579"/>
      <c r="N387" s="580"/>
    </row>
    <row r="388" spans="1:14" ht="13.5" thickBot="1">
      <c r="A388" s="86"/>
      <c r="B388" s="31"/>
      <c r="C388" s="597"/>
      <c r="D388" s="598"/>
      <c r="E388" s="598"/>
      <c r="F388" s="599"/>
      <c r="G388" s="167"/>
      <c r="H388" s="598"/>
      <c r="I388" s="598"/>
      <c r="J388" s="598"/>
      <c r="K388" s="599"/>
      <c r="L388" s="31"/>
      <c r="M388" s="86"/>
      <c r="N388" s="202"/>
    </row>
    <row r="389" spans="1:14" ht="13.5" thickBot="1">
      <c r="A389" s="94"/>
      <c r="B389" s="148"/>
      <c r="C389" s="203" t="s">
        <v>200</v>
      </c>
      <c r="D389" s="204"/>
      <c r="E389" s="204"/>
      <c r="F389" s="189">
        <f>SUM(F386:F387,F385)</f>
        <v>50.55</v>
      </c>
      <c r="G389" s="206"/>
      <c r="H389" s="604" t="s">
        <v>201</v>
      </c>
      <c r="I389" s="604"/>
      <c r="J389" s="604"/>
      <c r="K389" s="189">
        <f>SUM(K385:K387)</f>
        <v>51.29406235234921</v>
      </c>
      <c r="L389" s="207"/>
      <c r="M389" s="190">
        <f>K389-F389</f>
        <v>0.7440623523492107</v>
      </c>
      <c r="N389" s="191">
        <f>M389/F389</f>
        <v>0.01471933436892603</v>
      </c>
    </row>
    <row r="390" spans="1:14" ht="15">
      <c r="A390" s="47"/>
      <c r="B390" s="12"/>
      <c r="D390" s="10"/>
      <c r="E390" s="10"/>
      <c r="F390" s="209"/>
      <c r="I390" s="10"/>
      <c r="J390" s="10"/>
      <c r="K390" s="210"/>
      <c r="L390" s="12"/>
      <c r="M390" s="12"/>
      <c r="N390" s="211"/>
    </row>
    <row r="391" spans="1:14" ht="13.5" thickBot="1">
      <c r="A391" s="12"/>
      <c r="C391" s="497" t="s">
        <v>246</v>
      </c>
      <c r="D391" s="484"/>
      <c r="E391" s="10"/>
      <c r="F391" s="209"/>
      <c r="I391" s="10"/>
      <c r="J391" s="10"/>
      <c r="K391" s="210"/>
      <c r="L391" s="12"/>
      <c r="M391" s="12"/>
      <c r="N391" s="213"/>
    </row>
    <row r="392" spans="1:14" ht="60.75" thickBot="1">
      <c r="A392" s="168" t="s">
        <v>78</v>
      </c>
      <c r="B392" s="169"/>
      <c r="C392" s="569"/>
      <c r="D392" s="581" t="s">
        <v>12</v>
      </c>
      <c r="E392" s="583" t="s">
        <v>79</v>
      </c>
      <c r="F392" s="585" t="s">
        <v>182</v>
      </c>
      <c r="G392" s="166"/>
      <c r="H392" s="170"/>
      <c r="I392" s="581" t="s">
        <v>12</v>
      </c>
      <c r="J392" s="583" t="s">
        <v>79</v>
      </c>
      <c r="K392" s="585" t="s">
        <v>182</v>
      </c>
      <c r="L392" s="169"/>
      <c r="M392" s="600" t="s">
        <v>181</v>
      </c>
      <c r="N392" s="602" t="s">
        <v>80</v>
      </c>
    </row>
    <row r="393" spans="1:14" ht="13.5" thickBot="1">
      <c r="A393" s="171">
        <v>750</v>
      </c>
      <c r="B393" s="31"/>
      <c r="C393" s="570"/>
      <c r="D393" s="582"/>
      <c r="E393" s="584"/>
      <c r="F393" s="586"/>
      <c r="G393" s="167"/>
      <c r="H393" s="31"/>
      <c r="I393" s="587"/>
      <c r="J393" s="588"/>
      <c r="K393" s="586"/>
      <c r="L393" s="32"/>
      <c r="M393" s="601"/>
      <c r="N393" s="603"/>
    </row>
    <row r="394" spans="1:14" ht="26.25" customHeight="1">
      <c r="A394" s="172"/>
      <c r="B394" s="31"/>
      <c r="C394" s="173" t="s">
        <v>21</v>
      </c>
      <c r="D394" s="174" t="s">
        <v>81</v>
      </c>
      <c r="E394" s="175" t="s">
        <v>81</v>
      </c>
      <c r="F394" s="234">
        <f>F383</f>
        <v>10.2</v>
      </c>
      <c r="G394" s="167"/>
      <c r="H394" s="177" t="s">
        <v>21</v>
      </c>
      <c r="I394" s="208" t="str">
        <f>D394</f>
        <v>N/A</v>
      </c>
      <c r="J394" s="178" t="s">
        <v>81</v>
      </c>
      <c r="K394" s="227">
        <f>+K383</f>
        <v>9.742855983694888</v>
      </c>
      <c r="L394" s="179"/>
      <c r="M394" s="575"/>
      <c r="N394" s="576"/>
    </row>
    <row r="395" spans="1:14" ht="26.25" customHeight="1" thickBot="1">
      <c r="A395" s="86"/>
      <c r="B395" s="31"/>
      <c r="C395" s="180" t="s">
        <v>82</v>
      </c>
      <c r="D395" s="235">
        <f>A393</f>
        <v>750</v>
      </c>
      <c r="E395" s="182">
        <f>E384</f>
        <v>0.0098</v>
      </c>
      <c r="F395" s="352">
        <f>D395*E395</f>
        <v>7.35</v>
      </c>
      <c r="G395" s="167"/>
      <c r="H395" s="184" t="s">
        <v>82</v>
      </c>
      <c r="I395" s="375">
        <f>D395</f>
        <v>750</v>
      </c>
      <c r="J395" s="228">
        <f>+J384</f>
        <v>0.012202412737308639</v>
      </c>
      <c r="K395" s="186">
        <f>I395*J395</f>
        <v>9.15180955298148</v>
      </c>
      <c r="L395" s="179"/>
      <c r="M395" s="577"/>
      <c r="N395" s="578"/>
    </row>
    <row r="396" spans="1:14" ht="13.5" thickBot="1">
      <c r="A396" s="86"/>
      <c r="B396" s="31"/>
      <c r="C396" s="605"/>
      <c r="D396" s="607"/>
      <c r="E396" s="187" t="s">
        <v>52</v>
      </c>
      <c r="F396" s="373">
        <f>SUM(F394:F395)</f>
        <v>17.549999999999997</v>
      </c>
      <c r="G396" s="167"/>
      <c r="H396" s="595"/>
      <c r="I396" s="596"/>
      <c r="J396" s="187" t="s">
        <v>83</v>
      </c>
      <c r="K396" s="189">
        <f>SUM(K394:K395)</f>
        <v>18.894665536676367</v>
      </c>
      <c r="L396" s="179"/>
      <c r="M396" s="190">
        <f>K396-F396</f>
        <v>1.34466553667637</v>
      </c>
      <c r="N396" s="191">
        <f>M396/F396</f>
        <v>0.07661911889893848</v>
      </c>
    </row>
    <row r="397" spans="1:14" ht="25.5">
      <c r="A397" s="86"/>
      <c r="B397" s="31"/>
      <c r="C397" s="180" t="s">
        <v>84</v>
      </c>
      <c r="D397" s="181">
        <f>A393</f>
        <v>750</v>
      </c>
      <c r="E397" s="192">
        <v>0.0239</v>
      </c>
      <c r="F397" s="374">
        <f>D397*E397</f>
        <v>17.925</v>
      </c>
      <c r="G397" s="167"/>
      <c r="H397" s="184" t="s">
        <v>84</v>
      </c>
      <c r="I397" s="185">
        <f aca="true" t="shared" si="19" ref="I397:K398">D397</f>
        <v>750</v>
      </c>
      <c r="J397" s="194">
        <f t="shared" si="19"/>
        <v>0.0239</v>
      </c>
      <c r="K397" s="195">
        <f t="shared" si="19"/>
        <v>17.925</v>
      </c>
      <c r="L397" s="179"/>
      <c r="M397" s="575"/>
      <c r="N397" s="576"/>
    </row>
    <row r="398" spans="1:14" ht="26.25" thickBot="1">
      <c r="A398" s="86"/>
      <c r="B398" s="31"/>
      <c r="C398" s="196" t="s">
        <v>85</v>
      </c>
      <c r="D398" s="181">
        <f>A393</f>
        <v>750</v>
      </c>
      <c r="E398" s="197">
        <v>0.047</v>
      </c>
      <c r="F398" s="352">
        <f>D398*E398</f>
        <v>35.25</v>
      </c>
      <c r="G398" s="167"/>
      <c r="H398" s="198" t="s">
        <v>85</v>
      </c>
      <c r="I398" s="199">
        <f t="shared" si="19"/>
        <v>750</v>
      </c>
      <c r="J398" s="200">
        <f t="shared" si="19"/>
        <v>0.047</v>
      </c>
      <c r="K398" s="201">
        <f t="shared" si="19"/>
        <v>35.25</v>
      </c>
      <c r="L398" s="179"/>
      <c r="M398" s="579"/>
      <c r="N398" s="580"/>
    </row>
    <row r="399" spans="1:14" ht="13.5" thickBot="1">
      <c r="A399" s="86"/>
      <c r="B399" s="31"/>
      <c r="C399" s="597"/>
      <c r="D399" s="598"/>
      <c r="E399" s="598"/>
      <c r="F399" s="599"/>
      <c r="G399" s="167"/>
      <c r="H399" s="598"/>
      <c r="I399" s="598"/>
      <c r="J399" s="598"/>
      <c r="K399" s="599"/>
      <c r="L399" s="31"/>
      <c r="M399" s="86"/>
      <c r="N399" s="202"/>
    </row>
    <row r="400" spans="1:14" ht="13.5" thickBot="1">
      <c r="A400" s="94"/>
      <c r="B400" s="148"/>
      <c r="C400" s="203" t="s">
        <v>200</v>
      </c>
      <c r="D400" s="204"/>
      <c r="E400" s="204"/>
      <c r="F400" s="189">
        <f>SUM(F397:F398,F396)</f>
        <v>70.725</v>
      </c>
      <c r="G400" s="206"/>
      <c r="H400" s="604" t="s">
        <v>201</v>
      </c>
      <c r="I400" s="604"/>
      <c r="J400" s="604"/>
      <c r="K400" s="189">
        <f>SUM(K396:K398)</f>
        <v>72.06966553667637</v>
      </c>
      <c r="L400" s="207"/>
      <c r="M400" s="190">
        <f>K400-F400</f>
        <v>1.3446655366763736</v>
      </c>
      <c r="N400" s="191">
        <f>M400/F400</f>
        <v>0.019012591540139605</v>
      </c>
    </row>
    <row r="401" spans="1:14" ht="10.5" customHeight="1">
      <c r="A401" s="12"/>
      <c r="D401" s="212"/>
      <c r="E401" s="10"/>
      <c r="F401" s="209"/>
      <c r="I401" s="10"/>
      <c r="J401" s="10"/>
      <c r="K401" s="210"/>
      <c r="L401" s="12"/>
      <c r="M401" s="12"/>
      <c r="N401" s="213"/>
    </row>
    <row r="402" spans="1:13" ht="10.5" customHeight="1" thickBot="1">
      <c r="A402" s="214"/>
      <c r="B402" s="31"/>
      <c r="C402" s="133"/>
      <c r="D402" s="30"/>
      <c r="E402" s="30"/>
      <c r="F402" s="215"/>
      <c r="H402" s="133"/>
      <c r="I402" s="30"/>
      <c r="J402" s="30"/>
      <c r="K402" s="216"/>
      <c r="L402" s="216"/>
      <c r="M402" s="216"/>
    </row>
    <row r="403" spans="1:14" ht="60.75" thickBot="1">
      <c r="A403" s="168" t="s">
        <v>78</v>
      </c>
      <c r="B403" s="169"/>
      <c r="C403" s="569"/>
      <c r="D403" s="581" t="s">
        <v>12</v>
      </c>
      <c r="E403" s="583" t="s">
        <v>79</v>
      </c>
      <c r="F403" s="585" t="s">
        <v>182</v>
      </c>
      <c r="G403" s="166"/>
      <c r="H403" s="170"/>
      <c r="I403" s="581" t="s">
        <v>12</v>
      </c>
      <c r="J403" s="583" t="s">
        <v>79</v>
      </c>
      <c r="K403" s="585" t="s">
        <v>182</v>
      </c>
      <c r="L403" s="169"/>
      <c r="M403" s="600" t="s">
        <v>181</v>
      </c>
      <c r="N403" s="602" t="s">
        <v>80</v>
      </c>
    </row>
    <row r="404" spans="1:14" ht="13.5" thickBot="1">
      <c r="A404" s="171">
        <v>1000</v>
      </c>
      <c r="B404" s="31"/>
      <c r="C404" s="570"/>
      <c r="D404" s="582"/>
      <c r="E404" s="584"/>
      <c r="F404" s="586"/>
      <c r="G404" s="167"/>
      <c r="H404" s="31"/>
      <c r="I404" s="587"/>
      <c r="J404" s="588"/>
      <c r="K404" s="586"/>
      <c r="L404" s="32"/>
      <c r="M404" s="601"/>
      <c r="N404" s="603"/>
    </row>
    <row r="405" spans="1:14" ht="26.25" customHeight="1">
      <c r="A405" s="172"/>
      <c r="B405" s="31"/>
      <c r="C405" s="173" t="s">
        <v>21</v>
      </c>
      <c r="D405" s="174" t="s">
        <v>81</v>
      </c>
      <c r="E405" s="175" t="s">
        <v>81</v>
      </c>
      <c r="F405" s="234">
        <f>F394</f>
        <v>10.2</v>
      </c>
      <c r="G405" s="167"/>
      <c r="H405" s="173" t="s">
        <v>21</v>
      </c>
      <c r="I405" s="208" t="str">
        <f>D405</f>
        <v>N/A</v>
      </c>
      <c r="J405" s="178" t="s">
        <v>81</v>
      </c>
      <c r="K405" s="227">
        <f>+K394</f>
        <v>9.742855983694888</v>
      </c>
      <c r="L405" s="179"/>
      <c r="M405" s="575"/>
      <c r="N405" s="576"/>
    </row>
    <row r="406" spans="1:14" ht="24" customHeight="1" thickBot="1">
      <c r="A406" s="86"/>
      <c r="B406" s="31"/>
      <c r="C406" s="180" t="s">
        <v>82</v>
      </c>
      <c r="D406" s="181">
        <f>A404</f>
        <v>1000</v>
      </c>
      <c r="E406" s="182">
        <f>E395</f>
        <v>0.0098</v>
      </c>
      <c r="F406" s="352">
        <f>D406*E406</f>
        <v>9.799999999999999</v>
      </c>
      <c r="G406" s="167"/>
      <c r="H406" s="180" t="s">
        <v>82</v>
      </c>
      <c r="I406" s="185">
        <f>D406</f>
        <v>1000</v>
      </c>
      <c r="J406" s="228">
        <f>+J395</f>
        <v>0.012202412737308639</v>
      </c>
      <c r="K406" s="186">
        <f>I406*J406</f>
        <v>12.202412737308638</v>
      </c>
      <c r="L406" s="179"/>
      <c r="M406" s="577"/>
      <c r="N406" s="578"/>
    </row>
    <row r="407" spans="1:14" ht="13.5" thickBot="1">
      <c r="A407" s="86"/>
      <c r="B407" s="31"/>
      <c r="C407" s="605"/>
      <c r="D407" s="607"/>
      <c r="E407" s="187" t="s">
        <v>52</v>
      </c>
      <c r="F407" s="373">
        <f>SUM(F405:F406)</f>
        <v>20</v>
      </c>
      <c r="G407" s="167"/>
      <c r="H407" s="610"/>
      <c r="I407" s="596"/>
      <c r="J407" s="187" t="s">
        <v>83</v>
      </c>
      <c r="K407" s="189">
        <f>SUM(K405:K406)</f>
        <v>21.945268721003526</v>
      </c>
      <c r="L407" s="179"/>
      <c r="M407" s="190">
        <f>K407-F407</f>
        <v>1.9452687210035258</v>
      </c>
      <c r="N407" s="191">
        <f>M407/F407</f>
        <v>0.09726343605017629</v>
      </c>
    </row>
    <row r="408" spans="1:14" ht="25.5">
      <c r="A408" s="86"/>
      <c r="B408" s="31"/>
      <c r="C408" s="180" t="s">
        <v>84</v>
      </c>
      <c r="D408" s="181">
        <f>A404</f>
        <v>1000</v>
      </c>
      <c r="E408" s="192">
        <v>0.0239</v>
      </c>
      <c r="F408" s="374">
        <f>D408*E408</f>
        <v>23.900000000000002</v>
      </c>
      <c r="G408" s="167"/>
      <c r="H408" s="180" t="s">
        <v>84</v>
      </c>
      <c r="I408" s="185">
        <f>D408</f>
        <v>1000</v>
      </c>
      <c r="J408" s="194">
        <f>E408</f>
        <v>0.0239</v>
      </c>
      <c r="K408" s="195">
        <f>F408</f>
        <v>23.900000000000002</v>
      </c>
      <c r="L408" s="179"/>
      <c r="M408" s="575"/>
      <c r="N408" s="576"/>
    </row>
    <row r="409" spans="1:14" ht="25.5">
      <c r="A409" s="86"/>
      <c r="B409" s="31"/>
      <c r="C409" s="196" t="s">
        <v>85</v>
      </c>
      <c r="D409" s="181">
        <v>750</v>
      </c>
      <c r="E409" s="197">
        <v>0.047</v>
      </c>
      <c r="F409" s="352">
        <f>D409*E409</f>
        <v>35.25</v>
      </c>
      <c r="G409" s="167"/>
      <c r="H409" s="196" t="s">
        <v>85</v>
      </c>
      <c r="I409" s="181">
        <f>D409</f>
        <v>750</v>
      </c>
      <c r="J409" s="197">
        <v>0.047</v>
      </c>
      <c r="K409" s="352">
        <f>I409*J409</f>
        <v>35.25</v>
      </c>
      <c r="L409" s="179"/>
      <c r="M409" s="579"/>
      <c r="N409" s="580"/>
    </row>
    <row r="410" spans="1:14" ht="26.25" thickBot="1">
      <c r="A410" s="86"/>
      <c r="B410" s="31"/>
      <c r="C410" s="196" t="s">
        <v>85</v>
      </c>
      <c r="D410" s="235">
        <f>A404-D409</f>
        <v>250</v>
      </c>
      <c r="E410" s="197">
        <v>0.055</v>
      </c>
      <c r="F410" s="352">
        <f>D410*E410</f>
        <v>13.75</v>
      </c>
      <c r="G410" s="167"/>
      <c r="H410" s="353" t="s">
        <v>85</v>
      </c>
      <c r="I410" s="376">
        <f>D410</f>
        <v>250</v>
      </c>
      <c r="J410" s="354">
        <v>0.055</v>
      </c>
      <c r="K410" s="355">
        <f>I410*J410</f>
        <v>13.75</v>
      </c>
      <c r="L410" s="179"/>
      <c r="M410" s="579"/>
      <c r="N410" s="580"/>
    </row>
    <row r="411" spans="1:14" ht="13.5" thickBot="1">
      <c r="A411" s="86"/>
      <c r="B411" s="31"/>
      <c r="C411" s="597"/>
      <c r="D411" s="598"/>
      <c r="E411" s="598"/>
      <c r="F411" s="599"/>
      <c r="G411" s="167"/>
      <c r="H411" s="598"/>
      <c r="I411" s="598"/>
      <c r="J411" s="598"/>
      <c r="K411" s="599"/>
      <c r="L411" s="31"/>
      <c r="M411" s="86"/>
      <c r="N411" s="202"/>
    </row>
    <row r="412" spans="1:14" ht="13.5" thickBot="1">
      <c r="A412" s="94"/>
      <c r="B412" s="148"/>
      <c r="C412" s="203" t="s">
        <v>200</v>
      </c>
      <c r="D412" s="204"/>
      <c r="E412" s="204"/>
      <c r="F412" s="189">
        <f>SUM(F408:F410,F407)</f>
        <v>92.9</v>
      </c>
      <c r="G412" s="206"/>
      <c r="H412" s="604" t="s">
        <v>201</v>
      </c>
      <c r="I412" s="604"/>
      <c r="J412" s="604"/>
      <c r="K412" s="189">
        <f>SUM(K407:K410)</f>
        <v>94.84526872100352</v>
      </c>
      <c r="L412" s="207"/>
      <c r="M412" s="190">
        <f>K412-F412</f>
        <v>1.9452687210035151</v>
      </c>
      <c r="N412" s="191">
        <f>M412/F412</f>
        <v>0.02093938343383762</v>
      </c>
    </row>
    <row r="413" spans="1:14" ht="12.75">
      <c r="A413" s="12"/>
      <c r="D413" s="212"/>
      <c r="E413" s="10"/>
      <c r="F413" s="209"/>
      <c r="I413" s="10"/>
      <c r="J413" s="10"/>
      <c r="K413" s="210"/>
      <c r="L413" s="12"/>
      <c r="M413" s="12"/>
      <c r="N413" s="213"/>
    </row>
    <row r="414" spans="1:13" ht="15.75" thickBot="1">
      <c r="A414" s="214"/>
      <c r="B414" s="31"/>
      <c r="C414" s="133"/>
      <c r="D414" s="30"/>
      <c r="E414" s="30"/>
      <c r="F414" s="215"/>
      <c r="H414" s="133"/>
      <c r="I414" s="30"/>
      <c r="J414" s="30"/>
      <c r="K414" s="216"/>
      <c r="L414" s="216"/>
      <c r="M414" s="216"/>
    </row>
    <row r="415" spans="1:14" ht="60.75" thickBot="1">
      <c r="A415" s="168" t="s">
        <v>78</v>
      </c>
      <c r="B415" s="169"/>
      <c r="C415" s="569"/>
      <c r="D415" s="581" t="s">
        <v>12</v>
      </c>
      <c r="E415" s="583" t="s">
        <v>79</v>
      </c>
      <c r="F415" s="585" t="s">
        <v>182</v>
      </c>
      <c r="G415" s="166"/>
      <c r="H415" s="170"/>
      <c r="I415" s="581" t="s">
        <v>12</v>
      </c>
      <c r="J415" s="583" t="s">
        <v>79</v>
      </c>
      <c r="K415" s="585" t="s">
        <v>182</v>
      </c>
      <c r="L415" s="169"/>
      <c r="M415" s="600" t="s">
        <v>181</v>
      </c>
      <c r="N415" s="602" t="s">
        <v>80</v>
      </c>
    </row>
    <row r="416" spans="1:14" ht="13.5" thickBot="1">
      <c r="A416" s="171">
        <v>1500</v>
      </c>
      <c r="B416" s="31"/>
      <c r="C416" s="570"/>
      <c r="D416" s="582"/>
      <c r="E416" s="584"/>
      <c r="F416" s="586"/>
      <c r="G416" s="167"/>
      <c r="H416" s="31"/>
      <c r="I416" s="587"/>
      <c r="J416" s="588"/>
      <c r="K416" s="586"/>
      <c r="L416" s="32"/>
      <c r="M416" s="601"/>
      <c r="N416" s="603"/>
    </row>
    <row r="417" spans="1:14" ht="27.75" customHeight="1">
      <c r="A417" s="172"/>
      <c r="B417" s="31"/>
      <c r="C417" s="173" t="s">
        <v>21</v>
      </c>
      <c r="D417" s="174" t="s">
        <v>81</v>
      </c>
      <c r="E417" s="175" t="s">
        <v>81</v>
      </c>
      <c r="F417" s="234">
        <f>F405</f>
        <v>10.2</v>
      </c>
      <c r="G417" s="167"/>
      <c r="H417" s="177" t="s">
        <v>21</v>
      </c>
      <c r="I417" s="208" t="str">
        <f>D417</f>
        <v>N/A</v>
      </c>
      <c r="J417" s="178" t="s">
        <v>81</v>
      </c>
      <c r="K417" s="227">
        <f>+K405</f>
        <v>9.742855983694888</v>
      </c>
      <c r="L417" s="179"/>
      <c r="M417" s="575"/>
      <c r="N417" s="576"/>
    </row>
    <row r="418" spans="1:14" ht="25.5" customHeight="1" thickBot="1">
      <c r="A418" s="86"/>
      <c r="B418" s="31"/>
      <c r="C418" s="180" t="s">
        <v>82</v>
      </c>
      <c r="D418" s="181">
        <f>A416</f>
        <v>1500</v>
      </c>
      <c r="E418" s="182">
        <f>E406</f>
        <v>0.0098</v>
      </c>
      <c r="F418" s="352">
        <f>D418*E418</f>
        <v>14.7</v>
      </c>
      <c r="G418" s="167"/>
      <c r="H418" s="184" t="s">
        <v>82</v>
      </c>
      <c r="I418" s="185">
        <f>D418</f>
        <v>1500</v>
      </c>
      <c r="J418" s="228">
        <f>+J406</f>
        <v>0.012202412737308639</v>
      </c>
      <c r="K418" s="186">
        <f>I418*J418</f>
        <v>18.30361910596296</v>
      </c>
      <c r="L418" s="179"/>
      <c r="M418" s="577"/>
      <c r="N418" s="578"/>
    </row>
    <row r="419" spans="1:14" ht="13.5" thickBot="1">
      <c r="A419" s="86"/>
      <c r="B419" s="31"/>
      <c r="C419" s="605"/>
      <c r="D419" s="607"/>
      <c r="E419" s="187" t="s">
        <v>52</v>
      </c>
      <c r="F419" s="373">
        <f>SUM(F417:F418)</f>
        <v>24.9</v>
      </c>
      <c r="G419" s="167"/>
      <c r="H419" s="595"/>
      <c r="I419" s="596"/>
      <c r="J419" s="187" t="s">
        <v>83</v>
      </c>
      <c r="K419" s="189">
        <f>SUM(K417:K418)</f>
        <v>28.046475089657847</v>
      </c>
      <c r="L419" s="179"/>
      <c r="M419" s="190">
        <f>K419-F419</f>
        <v>3.146475089657848</v>
      </c>
      <c r="N419" s="191">
        <f>M419/F419</f>
        <v>0.12636446143204208</v>
      </c>
    </row>
    <row r="420" spans="1:14" ht="25.5">
      <c r="A420" s="86"/>
      <c r="B420" s="31"/>
      <c r="C420" s="180" t="s">
        <v>84</v>
      </c>
      <c r="D420" s="181">
        <f>A416</f>
        <v>1500</v>
      </c>
      <c r="E420" s="192">
        <v>0.0239</v>
      </c>
      <c r="F420" s="374">
        <f>D420*E420</f>
        <v>35.85</v>
      </c>
      <c r="G420" s="167"/>
      <c r="H420" s="184" t="s">
        <v>84</v>
      </c>
      <c r="I420" s="185">
        <f>D420</f>
        <v>1500</v>
      </c>
      <c r="J420" s="194">
        <f>E420</f>
        <v>0.0239</v>
      </c>
      <c r="K420" s="195">
        <f>F420</f>
        <v>35.85</v>
      </c>
      <c r="L420" s="179"/>
      <c r="M420" s="575"/>
      <c r="N420" s="576"/>
    </row>
    <row r="421" spans="1:14" ht="25.5">
      <c r="A421" s="86"/>
      <c r="B421" s="31"/>
      <c r="C421" s="196" t="s">
        <v>85</v>
      </c>
      <c r="D421" s="181">
        <v>750</v>
      </c>
      <c r="E421" s="197">
        <v>0.047</v>
      </c>
      <c r="F421" s="352">
        <f>D421*E421</f>
        <v>35.25</v>
      </c>
      <c r="G421" s="167"/>
      <c r="H421" s="196" t="s">
        <v>85</v>
      </c>
      <c r="I421" s="185">
        <f>D421</f>
        <v>750</v>
      </c>
      <c r="J421" s="197">
        <v>0.047</v>
      </c>
      <c r="K421" s="352">
        <f>I421*J421</f>
        <v>35.25</v>
      </c>
      <c r="L421" s="179"/>
      <c r="M421" s="579"/>
      <c r="N421" s="580"/>
    </row>
    <row r="422" spans="1:14" ht="26.25" thickBot="1">
      <c r="A422" s="86"/>
      <c r="B422" s="31"/>
      <c r="C422" s="196" t="s">
        <v>85</v>
      </c>
      <c r="D422" s="235">
        <f>A416-D421</f>
        <v>750</v>
      </c>
      <c r="E422" s="197">
        <v>0.055</v>
      </c>
      <c r="F422" s="352">
        <f>D422*E422</f>
        <v>41.25</v>
      </c>
      <c r="G422" s="167"/>
      <c r="H422" s="353" t="s">
        <v>85</v>
      </c>
      <c r="I422" s="376">
        <f>D422</f>
        <v>750</v>
      </c>
      <c r="J422" s="354">
        <v>0.055</v>
      </c>
      <c r="K422" s="355">
        <f>I422*J422</f>
        <v>41.25</v>
      </c>
      <c r="L422" s="179"/>
      <c r="M422" s="579"/>
      <c r="N422" s="580"/>
    </row>
    <row r="423" spans="1:14" ht="13.5" thickBot="1">
      <c r="A423" s="86"/>
      <c r="B423" s="31"/>
      <c r="C423" s="597"/>
      <c r="D423" s="598"/>
      <c r="E423" s="598"/>
      <c r="F423" s="599"/>
      <c r="G423" s="167"/>
      <c r="H423" s="598"/>
      <c r="I423" s="598"/>
      <c r="J423" s="598"/>
      <c r="K423" s="599"/>
      <c r="L423" s="31"/>
      <c r="M423" s="86"/>
      <c r="N423" s="202"/>
    </row>
    <row r="424" spans="1:14" ht="13.5" thickBot="1">
      <c r="A424" s="94"/>
      <c r="B424" s="148"/>
      <c r="C424" s="203" t="s">
        <v>200</v>
      </c>
      <c r="D424" s="204"/>
      <c r="E424" s="204"/>
      <c r="F424" s="189">
        <f>SUM(F420:F422,F419)</f>
        <v>137.25</v>
      </c>
      <c r="G424" s="206"/>
      <c r="H424" s="604" t="s">
        <v>201</v>
      </c>
      <c r="I424" s="604"/>
      <c r="J424" s="604"/>
      <c r="K424" s="189">
        <f>SUM(K419:K422)</f>
        <v>140.39647508965786</v>
      </c>
      <c r="L424" s="207"/>
      <c r="M424" s="190">
        <f>K424-F424</f>
        <v>3.146475089657855</v>
      </c>
      <c r="N424" s="191">
        <f>M424/F424</f>
        <v>0.022925137265266703</v>
      </c>
    </row>
    <row r="425" spans="1:14" ht="9" customHeight="1">
      <c r="A425" s="12"/>
      <c r="D425" s="212"/>
      <c r="E425" s="10"/>
      <c r="F425" s="209"/>
      <c r="I425" s="10"/>
      <c r="J425" s="10"/>
      <c r="K425" s="210"/>
      <c r="L425" s="12"/>
      <c r="M425" s="12"/>
      <c r="N425" s="213"/>
    </row>
    <row r="426" spans="1:13" ht="9" customHeight="1" thickBot="1">
      <c r="A426" s="214"/>
      <c r="B426" s="31"/>
      <c r="C426" s="133"/>
      <c r="D426" s="30"/>
      <c r="E426" s="30"/>
      <c r="F426" s="215"/>
      <c r="H426" s="133"/>
      <c r="I426" s="30"/>
      <c r="J426" s="30"/>
      <c r="K426" s="216"/>
      <c r="L426" s="216"/>
      <c r="M426" s="216"/>
    </row>
    <row r="427" spans="1:14" ht="60.75" thickBot="1">
      <c r="A427" s="168" t="s">
        <v>78</v>
      </c>
      <c r="B427" s="169"/>
      <c r="C427" s="569"/>
      <c r="D427" s="581" t="s">
        <v>12</v>
      </c>
      <c r="E427" s="583" t="s">
        <v>79</v>
      </c>
      <c r="F427" s="585" t="s">
        <v>182</v>
      </c>
      <c r="G427" s="166"/>
      <c r="H427" s="170"/>
      <c r="I427" s="581" t="s">
        <v>12</v>
      </c>
      <c r="J427" s="583" t="s">
        <v>79</v>
      </c>
      <c r="K427" s="585" t="s">
        <v>182</v>
      </c>
      <c r="L427" s="169"/>
      <c r="M427" s="600" t="s">
        <v>181</v>
      </c>
      <c r="N427" s="602" t="s">
        <v>80</v>
      </c>
    </row>
    <row r="428" spans="1:14" ht="13.5" thickBot="1">
      <c r="A428" s="171">
        <v>2000</v>
      </c>
      <c r="B428" s="31"/>
      <c r="C428" s="570"/>
      <c r="D428" s="582"/>
      <c r="E428" s="584"/>
      <c r="F428" s="586"/>
      <c r="G428" s="167"/>
      <c r="H428" s="31"/>
      <c r="I428" s="587"/>
      <c r="J428" s="588"/>
      <c r="K428" s="586"/>
      <c r="L428" s="32"/>
      <c r="M428" s="601"/>
      <c r="N428" s="603"/>
    </row>
    <row r="429" spans="1:14" ht="27" customHeight="1">
      <c r="A429" s="172"/>
      <c r="B429" s="31"/>
      <c r="C429" s="173" t="s">
        <v>21</v>
      </c>
      <c r="D429" s="174" t="s">
        <v>81</v>
      </c>
      <c r="E429" s="175" t="s">
        <v>81</v>
      </c>
      <c r="F429" s="234">
        <f>F417</f>
        <v>10.2</v>
      </c>
      <c r="G429" s="167"/>
      <c r="H429" s="177" t="s">
        <v>21</v>
      </c>
      <c r="I429" s="208" t="str">
        <f>D429</f>
        <v>N/A</v>
      </c>
      <c r="J429" s="178" t="s">
        <v>81</v>
      </c>
      <c r="K429" s="227">
        <f>+K417</f>
        <v>9.742855983694888</v>
      </c>
      <c r="L429" s="179"/>
      <c r="M429" s="575"/>
      <c r="N429" s="576"/>
    </row>
    <row r="430" spans="1:14" ht="29.25" customHeight="1" thickBot="1">
      <c r="A430" s="86"/>
      <c r="B430" s="31"/>
      <c r="C430" s="180" t="s">
        <v>82</v>
      </c>
      <c r="D430" s="181">
        <f>A428</f>
        <v>2000</v>
      </c>
      <c r="E430" s="182">
        <f>E418</f>
        <v>0.0098</v>
      </c>
      <c r="F430" s="352">
        <f>D430*E430</f>
        <v>19.599999999999998</v>
      </c>
      <c r="G430" s="167"/>
      <c r="H430" s="184" t="s">
        <v>82</v>
      </c>
      <c r="I430" s="185">
        <f>D430</f>
        <v>2000</v>
      </c>
      <c r="J430" s="228">
        <f>+J418</f>
        <v>0.012202412737308639</v>
      </c>
      <c r="K430" s="186">
        <f>I430*J430</f>
        <v>24.404825474617276</v>
      </c>
      <c r="L430" s="179"/>
      <c r="M430" s="577"/>
      <c r="N430" s="578"/>
    </row>
    <row r="431" spans="1:14" ht="13.5" customHeight="1" thickBot="1">
      <c r="A431" s="86"/>
      <c r="B431" s="31"/>
      <c r="C431" s="605"/>
      <c r="D431" s="607"/>
      <c r="E431" s="187" t="s">
        <v>52</v>
      </c>
      <c r="F431" s="373">
        <f>SUM(F429:F430)</f>
        <v>29.799999999999997</v>
      </c>
      <c r="G431" s="167"/>
      <c r="H431" s="595"/>
      <c r="I431" s="596"/>
      <c r="J431" s="187" t="s">
        <v>83</v>
      </c>
      <c r="K431" s="189">
        <f>SUM(K429:K430)</f>
        <v>34.147681458312164</v>
      </c>
      <c r="L431" s="179"/>
      <c r="M431" s="190">
        <f>K431-F431</f>
        <v>4.347681458312167</v>
      </c>
      <c r="N431" s="191">
        <f>M431/F431</f>
        <v>0.14589535095007272</v>
      </c>
    </row>
    <row r="432" spans="1:14" ht="25.5">
      <c r="A432" s="86"/>
      <c r="B432" s="31"/>
      <c r="C432" s="180" t="s">
        <v>84</v>
      </c>
      <c r="D432" s="181">
        <f>A428</f>
        <v>2000</v>
      </c>
      <c r="E432" s="192">
        <v>0.0239</v>
      </c>
      <c r="F432" s="374">
        <f>D432*E432</f>
        <v>47.800000000000004</v>
      </c>
      <c r="G432" s="167"/>
      <c r="H432" s="184" t="s">
        <v>84</v>
      </c>
      <c r="I432" s="185">
        <f>D432</f>
        <v>2000</v>
      </c>
      <c r="J432" s="194">
        <f>E432</f>
        <v>0.0239</v>
      </c>
      <c r="K432" s="195">
        <f>F432</f>
        <v>47.800000000000004</v>
      </c>
      <c r="L432" s="179"/>
      <c r="M432" s="575"/>
      <c r="N432" s="576"/>
    </row>
    <row r="433" spans="1:14" ht="25.5">
      <c r="A433" s="86"/>
      <c r="B433" s="31"/>
      <c r="C433" s="196" t="s">
        <v>85</v>
      </c>
      <c r="D433" s="181">
        <v>750</v>
      </c>
      <c r="E433" s="197">
        <v>0.047</v>
      </c>
      <c r="F433" s="352">
        <f>D433*E433</f>
        <v>35.25</v>
      </c>
      <c r="G433" s="167"/>
      <c r="H433" s="196" t="s">
        <v>85</v>
      </c>
      <c r="I433" s="185">
        <f>D433</f>
        <v>750</v>
      </c>
      <c r="J433" s="197">
        <v>0.047</v>
      </c>
      <c r="K433" s="352">
        <f>I433*J433</f>
        <v>35.25</v>
      </c>
      <c r="L433" s="179"/>
      <c r="M433" s="579"/>
      <c r="N433" s="580"/>
    </row>
    <row r="434" spans="1:14" ht="26.25" thickBot="1">
      <c r="A434" s="86"/>
      <c r="B434" s="31"/>
      <c r="C434" s="196" t="s">
        <v>85</v>
      </c>
      <c r="D434" s="235">
        <f>A428-D433</f>
        <v>1250</v>
      </c>
      <c r="E434" s="197">
        <v>0.055</v>
      </c>
      <c r="F434" s="352">
        <f>D434*E434</f>
        <v>68.75</v>
      </c>
      <c r="G434" s="167"/>
      <c r="H434" s="353" t="s">
        <v>85</v>
      </c>
      <c r="I434" s="376">
        <f>D434</f>
        <v>1250</v>
      </c>
      <c r="J434" s="354">
        <v>0.055</v>
      </c>
      <c r="K434" s="355">
        <f>I434*J434</f>
        <v>68.75</v>
      </c>
      <c r="L434" s="179"/>
      <c r="M434" s="579"/>
      <c r="N434" s="580"/>
    </row>
    <row r="435" spans="1:14" ht="13.5" thickBot="1">
      <c r="A435" s="86"/>
      <c r="B435" s="31"/>
      <c r="C435" s="597"/>
      <c r="D435" s="598"/>
      <c r="E435" s="598"/>
      <c r="F435" s="599"/>
      <c r="G435" s="167"/>
      <c r="H435" s="598"/>
      <c r="I435" s="598"/>
      <c r="J435" s="598"/>
      <c r="K435" s="599"/>
      <c r="L435" s="31"/>
      <c r="M435" s="86"/>
      <c r="N435" s="202"/>
    </row>
    <row r="436" spans="1:14" ht="13.5" thickBot="1">
      <c r="A436" s="94"/>
      <c r="B436" s="148"/>
      <c r="C436" s="203" t="s">
        <v>200</v>
      </c>
      <c r="D436" s="204"/>
      <c r="E436" s="204"/>
      <c r="F436" s="189">
        <f>SUM(F432:F434,F431)</f>
        <v>181.60000000000002</v>
      </c>
      <c r="G436" s="206"/>
      <c r="H436" s="604" t="s">
        <v>201</v>
      </c>
      <c r="I436" s="604"/>
      <c r="J436" s="604"/>
      <c r="K436" s="189">
        <f>SUM(K431:K434)</f>
        <v>185.94768145831216</v>
      </c>
      <c r="L436" s="207"/>
      <c r="M436" s="190">
        <f>K436-F436</f>
        <v>4.347681458312138</v>
      </c>
      <c r="N436" s="191">
        <f>M436/F436</f>
        <v>0.023940977193348777</v>
      </c>
    </row>
    <row r="439" spans="3:11" ht="18.75" customHeight="1">
      <c r="C439" s="497" t="s">
        <v>247</v>
      </c>
      <c r="D439" s="484"/>
      <c r="E439" s="160"/>
      <c r="F439" s="160"/>
      <c r="G439" s="31"/>
      <c r="K439" s="161"/>
    </row>
    <row r="440" spans="5:11" ht="9" customHeight="1" thickBot="1">
      <c r="E440" s="160"/>
      <c r="F440" s="160"/>
      <c r="G440" s="31"/>
      <c r="K440" s="161"/>
    </row>
    <row r="441" spans="1:14" ht="15.75" customHeight="1">
      <c r="A441" s="47"/>
      <c r="C441" s="589" t="s">
        <v>95</v>
      </c>
      <c r="D441" s="590"/>
      <c r="E441" s="590"/>
      <c r="F441" s="591"/>
      <c r="G441" s="166"/>
      <c r="H441" s="589" t="s">
        <v>96</v>
      </c>
      <c r="I441" s="590"/>
      <c r="J441" s="590"/>
      <c r="K441" s="590"/>
      <c r="L441" s="590"/>
      <c r="M441" s="590"/>
      <c r="N441" s="591"/>
    </row>
    <row r="442" spans="1:15" ht="13.5" customHeight="1" thickBot="1">
      <c r="A442"/>
      <c r="C442" s="592"/>
      <c r="D442" s="593"/>
      <c r="E442" s="593"/>
      <c r="F442" s="594"/>
      <c r="G442" s="167"/>
      <c r="H442" s="592"/>
      <c r="I442" s="593"/>
      <c r="J442" s="593"/>
      <c r="K442" s="593"/>
      <c r="L442" s="593"/>
      <c r="M442" s="593"/>
      <c r="N442" s="594"/>
      <c r="O442" s="31"/>
    </row>
    <row r="443" spans="1:14" ht="48.75" customHeight="1" thickBot="1">
      <c r="A443" s="168" t="s">
        <v>78</v>
      </c>
      <c r="B443" s="169"/>
      <c r="C443" s="569"/>
      <c r="D443" s="581" t="s">
        <v>12</v>
      </c>
      <c r="E443" s="583" t="s">
        <v>79</v>
      </c>
      <c r="F443" s="585" t="s">
        <v>182</v>
      </c>
      <c r="G443" s="166"/>
      <c r="H443" s="170"/>
      <c r="I443" s="581" t="s">
        <v>12</v>
      </c>
      <c r="J443" s="583" t="s">
        <v>79</v>
      </c>
      <c r="K443" s="585" t="s">
        <v>182</v>
      </c>
      <c r="L443" s="169"/>
      <c r="M443" s="600" t="s">
        <v>181</v>
      </c>
      <c r="N443" s="602" t="s">
        <v>80</v>
      </c>
    </row>
    <row r="444" spans="1:14" ht="13.5" thickBot="1">
      <c r="A444" s="171">
        <v>100</v>
      </c>
      <c r="B444" s="31"/>
      <c r="C444" s="570"/>
      <c r="D444" s="582"/>
      <c r="E444" s="584"/>
      <c r="F444" s="586"/>
      <c r="G444" s="167"/>
      <c r="H444" s="31"/>
      <c r="I444" s="587"/>
      <c r="J444" s="588"/>
      <c r="K444" s="586"/>
      <c r="L444" s="32"/>
      <c r="M444" s="601"/>
      <c r="N444" s="603"/>
    </row>
    <row r="445" spans="1:14" ht="25.5">
      <c r="A445" s="172"/>
      <c r="B445" s="31"/>
      <c r="C445" s="449" t="s">
        <v>21</v>
      </c>
      <c r="D445" s="174" t="s">
        <v>81</v>
      </c>
      <c r="E445" s="175" t="s">
        <v>81</v>
      </c>
      <c r="F445" s="234">
        <f>+'12. Current Rates'!D51</f>
        <v>14.25</v>
      </c>
      <c r="G445" s="167"/>
      <c r="H445" s="452" t="s">
        <v>21</v>
      </c>
      <c r="I445" s="174" t="s">
        <v>81</v>
      </c>
      <c r="J445" s="174" t="s">
        <v>81</v>
      </c>
      <c r="K445" s="234">
        <f>+'11. 2005 Final Rate Schedule '!F402</f>
        <v>13.580287018663661</v>
      </c>
      <c r="L445" s="179"/>
      <c r="M445" s="575"/>
      <c r="N445" s="576"/>
    </row>
    <row r="446" spans="1:14" ht="26.25" thickBot="1">
      <c r="A446" s="86"/>
      <c r="B446" s="31"/>
      <c r="C446" s="450" t="s">
        <v>82</v>
      </c>
      <c r="D446" s="235">
        <f>A444</f>
        <v>100</v>
      </c>
      <c r="E446" s="438">
        <f>+'12. Current Rates'!D49</f>
        <v>0.0098</v>
      </c>
      <c r="F446" s="352">
        <f>D446*E446</f>
        <v>0.98</v>
      </c>
      <c r="G446" s="167"/>
      <c r="H446" s="453" t="s">
        <v>82</v>
      </c>
      <c r="I446" s="181">
        <f>D446</f>
        <v>100</v>
      </c>
      <c r="J446" s="444">
        <f>+'11. 2005 Final Rate Schedule '!F403</f>
        <v>0.01431968993944357</v>
      </c>
      <c r="K446" s="237">
        <f>I446*J446</f>
        <v>1.431968993944357</v>
      </c>
      <c r="L446" s="179"/>
      <c r="M446" s="577"/>
      <c r="N446" s="578"/>
    </row>
    <row r="447" spans="1:14" ht="13.5" thickBot="1">
      <c r="A447" s="86"/>
      <c r="B447" s="31"/>
      <c r="C447" s="567"/>
      <c r="D447" s="568"/>
      <c r="E447" s="187" t="s">
        <v>52</v>
      </c>
      <c r="F447" s="373">
        <f>SUM(F445:F446)</f>
        <v>15.23</v>
      </c>
      <c r="G447" s="167"/>
      <c r="H447" s="595"/>
      <c r="I447" s="596"/>
      <c r="J447" s="187" t="s">
        <v>83</v>
      </c>
      <c r="K447" s="189">
        <f>SUM(K445:K446)</f>
        <v>15.012256012608018</v>
      </c>
      <c r="L447" s="179"/>
      <c r="M447" s="190">
        <f>K447-F447</f>
        <v>-0.21774398739198197</v>
      </c>
      <c r="N447" s="191">
        <f>M447/F447</f>
        <v>-0.014297044477477476</v>
      </c>
    </row>
    <row r="448" spans="1:14" ht="27" customHeight="1">
      <c r="A448" s="86"/>
      <c r="B448" s="31"/>
      <c r="C448" s="450" t="s">
        <v>84</v>
      </c>
      <c r="D448" s="181">
        <f>A444</f>
        <v>100</v>
      </c>
      <c r="E448" s="439">
        <v>0.0239</v>
      </c>
      <c r="F448" s="374">
        <f>D448*E448</f>
        <v>2.39</v>
      </c>
      <c r="G448" s="167"/>
      <c r="H448" s="453" t="s">
        <v>84</v>
      </c>
      <c r="I448" s="181">
        <f aca="true" t="shared" si="20" ref="I448:K449">D448</f>
        <v>100</v>
      </c>
      <c r="J448" s="445">
        <f t="shared" si="20"/>
        <v>0.0239</v>
      </c>
      <c r="K448" s="239">
        <f t="shared" si="20"/>
        <v>2.39</v>
      </c>
      <c r="L448" s="179"/>
      <c r="M448" s="575"/>
      <c r="N448" s="576"/>
    </row>
    <row r="449" spans="1:14" ht="25.5" customHeight="1" thickBot="1">
      <c r="A449" s="86"/>
      <c r="B449" s="31"/>
      <c r="C449" s="451" t="s">
        <v>85</v>
      </c>
      <c r="D449" s="181">
        <f>A444</f>
        <v>100</v>
      </c>
      <c r="E449" s="440">
        <v>0.047</v>
      </c>
      <c r="F449" s="352">
        <f>D449*E449</f>
        <v>4.7</v>
      </c>
      <c r="G449" s="167"/>
      <c r="H449" s="454" t="s">
        <v>85</v>
      </c>
      <c r="I449" s="446">
        <f t="shared" si="20"/>
        <v>100</v>
      </c>
      <c r="J449" s="447">
        <f t="shared" si="20"/>
        <v>0.047</v>
      </c>
      <c r="K449" s="243">
        <f t="shared" si="20"/>
        <v>4.7</v>
      </c>
      <c r="L449" s="179"/>
      <c r="M449" s="579"/>
      <c r="N449" s="580"/>
    </row>
    <row r="450" spans="1:14" ht="7.5" customHeight="1" thickBot="1">
      <c r="A450" s="86"/>
      <c r="B450" s="31"/>
      <c r="C450" s="597"/>
      <c r="D450" s="598"/>
      <c r="E450" s="598"/>
      <c r="F450" s="599"/>
      <c r="G450" s="167"/>
      <c r="H450" s="598"/>
      <c r="I450" s="598"/>
      <c r="J450" s="598"/>
      <c r="K450" s="599"/>
      <c r="L450" s="31"/>
      <c r="M450" s="86"/>
      <c r="N450" s="202"/>
    </row>
    <row r="451" spans="1:14" ht="13.5" thickBot="1">
      <c r="A451" s="94"/>
      <c r="B451" s="148"/>
      <c r="C451" s="203" t="s">
        <v>200</v>
      </c>
      <c r="D451" s="204"/>
      <c r="E451" s="204"/>
      <c r="F451" s="189">
        <f>SUM(F448:F449,F447)</f>
        <v>22.32</v>
      </c>
      <c r="G451" s="206"/>
      <c r="H451" s="604" t="s">
        <v>201</v>
      </c>
      <c r="I451" s="604"/>
      <c r="J451" s="604"/>
      <c r="K451" s="189">
        <f>SUM(K447:K449)</f>
        <v>22.102256012608017</v>
      </c>
      <c r="L451" s="207"/>
      <c r="M451" s="190">
        <f>K451-F451</f>
        <v>-0.21774398739198375</v>
      </c>
      <c r="N451" s="191">
        <f>M451/F451</f>
        <v>-0.009755554990680275</v>
      </c>
    </row>
    <row r="452" ht="12.75">
      <c r="K452" s="161"/>
    </row>
    <row r="453" spans="6:11" ht="13.5" thickBot="1">
      <c r="F453" s="161"/>
      <c r="K453" s="161"/>
    </row>
    <row r="454" spans="1:14" ht="60.75" thickBot="1">
      <c r="A454" s="168" t="s">
        <v>78</v>
      </c>
      <c r="B454" s="169"/>
      <c r="C454" s="569"/>
      <c r="D454" s="581" t="s">
        <v>12</v>
      </c>
      <c r="E454" s="583" t="s">
        <v>79</v>
      </c>
      <c r="F454" s="585" t="s">
        <v>182</v>
      </c>
      <c r="G454" s="166"/>
      <c r="H454" s="170"/>
      <c r="I454" s="581" t="s">
        <v>12</v>
      </c>
      <c r="J454" s="583" t="s">
        <v>79</v>
      </c>
      <c r="K454" s="585" t="s">
        <v>182</v>
      </c>
      <c r="L454" s="169"/>
      <c r="M454" s="600" t="s">
        <v>181</v>
      </c>
      <c r="N454" s="602" t="s">
        <v>80</v>
      </c>
    </row>
    <row r="455" spans="1:14" ht="13.5" thickBot="1">
      <c r="A455" s="171">
        <v>250</v>
      </c>
      <c r="B455" s="31"/>
      <c r="C455" s="570"/>
      <c r="D455" s="582"/>
      <c r="E455" s="584"/>
      <c r="F455" s="586"/>
      <c r="G455" s="167"/>
      <c r="H455" s="31"/>
      <c r="I455" s="587"/>
      <c r="J455" s="588"/>
      <c r="K455" s="586"/>
      <c r="L455" s="32"/>
      <c r="M455" s="601"/>
      <c r="N455" s="603"/>
    </row>
    <row r="456" spans="1:14" ht="25.5">
      <c r="A456" s="172"/>
      <c r="B456" s="31"/>
      <c r="C456" s="173" t="s">
        <v>21</v>
      </c>
      <c r="D456" s="174" t="s">
        <v>81</v>
      </c>
      <c r="E456" s="175" t="s">
        <v>81</v>
      </c>
      <c r="F456" s="234">
        <f>F445</f>
        <v>14.25</v>
      </c>
      <c r="G456" s="167"/>
      <c r="H456" s="177" t="s">
        <v>21</v>
      </c>
      <c r="I456" s="208" t="str">
        <f>D456</f>
        <v>N/A</v>
      </c>
      <c r="J456" s="178" t="s">
        <v>81</v>
      </c>
      <c r="K456" s="227">
        <f>+K445</f>
        <v>13.580287018663661</v>
      </c>
      <c r="L456" s="179"/>
      <c r="M456" s="575"/>
      <c r="N456" s="576"/>
    </row>
    <row r="457" spans="1:14" ht="26.25" thickBot="1">
      <c r="A457" s="86"/>
      <c r="B457" s="31"/>
      <c r="C457" s="180" t="s">
        <v>82</v>
      </c>
      <c r="D457" s="235">
        <f>A455</f>
        <v>250</v>
      </c>
      <c r="E457" s="182">
        <f>E446</f>
        <v>0.0098</v>
      </c>
      <c r="F457" s="352">
        <f>D457*E457</f>
        <v>2.4499999999999997</v>
      </c>
      <c r="G457" s="167"/>
      <c r="H457" s="184" t="s">
        <v>82</v>
      </c>
      <c r="I457" s="185">
        <f>D457</f>
        <v>250</v>
      </c>
      <c r="J457" s="443">
        <f>+J446</f>
        <v>0.01431968993944357</v>
      </c>
      <c r="K457" s="186">
        <f>I457*J457</f>
        <v>3.5799224848608926</v>
      </c>
      <c r="L457" s="179"/>
      <c r="M457" s="577"/>
      <c r="N457" s="578"/>
    </row>
    <row r="458" spans="1:14" ht="24.75" customHeight="1" thickBot="1">
      <c r="A458" s="86"/>
      <c r="B458" s="31"/>
      <c r="C458" s="605"/>
      <c r="D458" s="607"/>
      <c r="E458" s="187" t="s">
        <v>52</v>
      </c>
      <c r="F458" s="373">
        <f>SUM(F456:F457)</f>
        <v>16.7</v>
      </c>
      <c r="G458" s="167"/>
      <c r="H458" s="595"/>
      <c r="I458" s="596"/>
      <c r="J458" s="187" t="s">
        <v>83</v>
      </c>
      <c r="K458" s="189">
        <f>SUM(K456:K457)</f>
        <v>17.160209503524555</v>
      </c>
      <c r="L458" s="179"/>
      <c r="M458" s="190">
        <f>K458-F458</f>
        <v>0.46020950352455614</v>
      </c>
      <c r="N458" s="191">
        <f>M458/F458</f>
        <v>0.027557455300871628</v>
      </c>
    </row>
    <row r="459" spans="1:14" ht="27" customHeight="1">
      <c r="A459" s="86"/>
      <c r="B459" s="31"/>
      <c r="C459" s="180" t="s">
        <v>84</v>
      </c>
      <c r="D459" s="181">
        <f>A455</f>
        <v>250</v>
      </c>
      <c r="E459" s="439">
        <v>0.0239</v>
      </c>
      <c r="F459" s="374">
        <f>D459*E459</f>
        <v>5.9750000000000005</v>
      </c>
      <c r="G459" s="167"/>
      <c r="H459" s="184" t="s">
        <v>84</v>
      </c>
      <c r="I459" s="185">
        <f aca="true" t="shared" si="21" ref="I459:K460">D459</f>
        <v>250</v>
      </c>
      <c r="J459" s="441">
        <f t="shared" si="21"/>
        <v>0.0239</v>
      </c>
      <c r="K459" s="195">
        <f t="shared" si="21"/>
        <v>5.9750000000000005</v>
      </c>
      <c r="L459" s="179"/>
      <c r="M459" s="575"/>
      <c r="N459" s="576"/>
    </row>
    <row r="460" spans="1:14" ht="26.25" thickBot="1">
      <c r="A460" s="86"/>
      <c r="B460" s="31"/>
      <c r="C460" s="196" t="s">
        <v>85</v>
      </c>
      <c r="D460" s="181">
        <f>A455</f>
        <v>250</v>
      </c>
      <c r="E460" s="440">
        <v>0.047</v>
      </c>
      <c r="F460" s="352">
        <f>D460*E460</f>
        <v>11.75</v>
      </c>
      <c r="G460" s="167"/>
      <c r="H460" s="198" t="s">
        <v>85</v>
      </c>
      <c r="I460" s="199">
        <f t="shared" si="21"/>
        <v>250</v>
      </c>
      <c r="J460" s="442">
        <f t="shared" si="21"/>
        <v>0.047</v>
      </c>
      <c r="K460" s="201">
        <f t="shared" si="21"/>
        <v>11.75</v>
      </c>
      <c r="L460" s="179"/>
      <c r="M460" s="579"/>
      <c r="N460" s="580"/>
    </row>
    <row r="461" spans="1:14" ht="13.5" thickBot="1">
      <c r="A461" s="86"/>
      <c r="B461" s="31"/>
      <c r="C461" s="597"/>
      <c r="D461" s="598"/>
      <c r="E461" s="598"/>
      <c r="F461" s="599"/>
      <c r="G461" s="167"/>
      <c r="H461" s="598"/>
      <c r="I461" s="598"/>
      <c r="J461" s="598"/>
      <c r="K461" s="599"/>
      <c r="L461" s="31"/>
      <c r="M461" s="86"/>
      <c r="N461" s="202"/>
    </row>
    <row r="462" spans="1:14" ht="13.5" thickBot="1">
      <c r="A462" s="94"/>
      <c r="B462" s="148"/>
      <c r="C462" s="203" t="s">
        <v>200</v>
      </c>
      <c r="D462" s="204"/>
      <c r="E462" s="204"/>
      <c r="F462" s="189">
        <f>SUM(F459:F460,F458)</f>
        <v>34.425</v>
      </c>
      <c r="G462" s="206"/>
      <c r="H462" s="604" t="s">
        <v>201</v>
      </c>
      <c r="I462" s="604"/>
      <c r="J462" s="604"/>
      <c r="K462" s="189">
        <f>SUM(K458:K460)</f>
        <v>34.88520950352456</v>
      </c>
      <c r="L462" s="207"/>
      <c r="M462" s="190">
        <f>K462-F462</f>
        <v>0.4602095035245597</v>
      </c>
      <c r="N462" s="191">
        <f>M462/F462</f>
        <v>0.013368467785753369</v>
      </c>
    </row>
    <row r="463" ht="12.75">
      <c r="K463" s="161"/>
    </row>
    <row r="464" spans="1:14" ht="11.25" customHeight="1" thickBot="1">
      <c r="A464" s="47"/>
      <c r="B464" s="12"/>
      <c r="D464" s="10"/>
      <c r="E464" s="10"/>
      <c r="F464" s="209"/>
      <c r="I464" s="10"/>
      <c r="J464" s="10"/>
      <c r="K464" s="210"/>
      <c r="L464" s="12"/>
      <c r="M464" s="12"/>
      <c r="N464" s="211"/>
    </row>
    <row r="465" spans="1:14" ht="60.75" thickBot="1">
      <c r="A465" s="168" t="s">
        <v>78</v>
      </c>
      <c r="B465" s="169"/>
      <c r="C465" s="608"/>
      <c r="D465" s="581" t="s">
        <v>12</v>
      </c>
      <c r="E465" s="583" t="s">
        <v>79</v>
      </c>
      <c r="F465" s="585" t="s">
        <v>182</v>
      </c>
      <c r="G465" s="166"/>
      <c r="H465" s="170"/>
      <c r="I465" s="581" t="s">
        <v>12</v>
      </c>
      <c r="J465" s="583" t="s">
        <v>79</v>
      </c>
      <c r="K465" s="585" t="s">
        <v>182</v>
      </c>
      <c r="L465" s="169"/>
      <c r="M465" s="600" t="s">
        <v>181</v>
      </c>
      <c r="N465" s="602" t="s">
        <v>80</v>
      </c>
    </row>
    <row r="466" spans="1:14" ht="13.5" thickBot="1">
      <c r="A466" s="171">
        <v>500</v>
      </c>
      <c r="B466" s="31"/>
      <c r="C466" s="609"/>
      <c r="D466" s="582"/>
      <c r="E466" s="584"/>
      <c r="F466" s="586"/>
      <c r="G466" s="167"/>
      <c r="H466" s="31"/>
      <c r="I466" s="587"/>
      <c r="J466" s="588"/>
      <c r="K466" s="586"/>
      <c r="L466" s="32"/>
      <c r="M466" s="601"/>
      <c r="N466" s="603"/>
    </row>
    <row r="467" spans="1:14" ht="25.5">
      <c r="A467" s="172"/>
      <c r="B467" s="31"/>
      <c r="C467" s="173" t="s">
        <v>21</v>
      </c>
      <c r="D467" s="174" t="s">
        <v>81</v>
      </c>
      <c r="E467" s="175" t="s">
        <v>81</v>
      </c>
      <c r="F467" s="234">
        <f>F456</f>
        <v>14.25</v>
      </c>
      <c r="G467" s="167"/>
      <c r="H467" s="177" t="s">
        <v>21</v>
      </c>
      <c r="I467" s="208" t="str">
        <f>D467</f>
        <v>N/A</v>
      </c>
      <c r="J467" s="178" t="s">
        <v>81</v>
      </c>
      <c r="K467" s="227">
        <f>+K456</f>
        <v>13.580287018663661</v>
      </c>
      <c r="L467" s="179"/>
      <c r="M467" s="575"/>
      <c r="N467" s="576"/>
    </row>
    <row r="468" spans="1:14" ht="25.5" customHeight="1" thickBot="1">
      <c r="A468" s="86"/>
      <c r="B468" s="31"/>
      <c r="C468" s="180" t="s">
        <v>82</v>
      </c>
      <c r="D468" s="235">
        <f>A466</f>
        <v>500</v>
      </c>
      <c r="E468" s="182">
        <f>E457</f>
        <v>0.0098</v>
      </c>
      <c r="F468" s="352">
        <f>D468*E468</f>
        <v>4.8999999999999995</v>
      </c>
      <c r="G468" s="167"/>
      <c r="H468" s="184" t="s">
        <v>82</v>
      </c>
      <c r="I468" s="375">
        <f>D468</f>
        <v>500</v>
      </c>
      <c r="J468" s="443">
        <f>+J457</f>
        <v>0.01431968993944357</v>
      </c>
      <c r="K468" s="186">
        <f>I468*J468</f>
        <v>7.159844969721785</v>
      </c>
      <c r="L468" s="179"/>
      <c r="M468" s="577"/>
      <c r="N468" s="578"/>
    </row>
    <row r="469" spans="1:14" ht="13.5" thickBot="1">
      <c r="A469" s="86"/>
      <c r="B469" s="31"/>
      <c r="C469" s="605"/>
      <c r="D469" s="606"/>
      <c r="E469" s="187" t="s">
        <v>52</v>
      </c>
      <c r="F469" s="373">
        <f>SUM(F467:F468)</f>
        <v>19.15</v>
      </c>
      <c r="G469" s="167"/>
      <c r="H469" s="595"/>
      <c r="I469" s="596"/>
      <c r="J469" s="187" t="s">
        <v>83</v>
      </c>
      <c r="K469" s="189">
        <f>SUM(K467:K468)</f>
        <v>20.740131988385446</v>
      </c>
      <c r="L469" s="179"/>
      <c r="M469" s="190">
        <f>K469-F469</f>
        <v>1.5901319883854477</v>
      </c>
      <c r="N469" s="191">
        <f>M469/F469</f>
        <v>0.08303561297051947</v>
      </c>
    </row>
    <row r="470" spans="1:14" ht="25.5">
      <c r="A470" s="86"/>
      <c r="B470" s="31"/>
      <c r="C470" s="180" t="s">
        <v>84</v>
      </c>
      <c r="D470" s="181">
        <f>A466</f>
        <v>500</v>
      </c>
      <c r="E470" s="439">
        <v>0.0239</v>
      </c>
      <c r="F470" s="374">
        <f>D470*E470</f>
        <v>11.950000000000001</v>
      </c>
      <c r="G470" s="167"/>
      <c r="H470" s="184" t="s">
        <v>84</v>
      </c>
      <c r="I470" s="185">
        <f aca="true" t="shared" si="22" ref="I470:K471">D470</f>
        <v>500</v>
      </c>
      <c r="J470" s="441">
        <f t="shared" si="22"/>
        <v>0.0239</v>
      </c>
      <c r="K470" s="195">
        <f t="shared" si="22"/>
        <v>11.950000000000001</v>
      </c>
      <c r="L470" s="179"/>
      <c r="M470" s="575"/>
      <c r="N470" s="576"/>
    </row>
    <row r="471" spans="1:14" ht="26.25" thickBot="1">
      <c r="A471" s="86"/>
      <c r="B471" s="31"/>
      <c r="C471" s="196" t="s">
        <v>85</v>
      </c>
      <c r="D471" s="181">
        <f>A466</f>
        <v>500</v>
      </c>
      <c r="E471" s="440">
        <v>0.047</v>
      </c>
      <c r="F471" s="352">
        <f>D471*E471</f>
        <v>23.5</v>
      </c>
      <c r="G471" s="167"/>
      <c r="H471" s="198" t="s">
        <v>85</v>
      </c>
      <c r="I471" s="199">
        <f t="shared" si="22"/>
        <v>500</v>
      </c>
      <c r="J471" s="442">
        <f t="shared" si="22"/>
        <v>0.047</v>
      </c>
      <c r="K471" s="201">
        <f t="shared" si="22"/>
        <v>23.5</v>
      </c>
      <c r="L471" s="179"/>
      <c r="M471" s="579"/>
      <c r="N471" s="580"/>
    </row>
    <row r="472" spans="1:14" ht="13.5" thickBot="1">
      <c r="A472" s="86"/>
      <c r="B472" s="31"/>
      <c r="C472" s="597"/>
      <c r="D472" s="598"/>
      <c r="E472" s="598"/>
      <c r="F472" s="599"/>
      <c r="G472" s="167"/>
      <c r="H472" s="598"/>
      <c r="I472" s="598"/>
      <c r="J472" s="598"/>
      <c r="K472" s="599"/>
      <c r="L472" s="31"/>
      <c r="M472" s="86"/>
      <c r="N472" s="202"/>
    </row>
    <row r="473" spans="1:14" ht="13.5" thickBot="1">
      <c r="A473" s="94"/>
      <c r="B473" s="148"/>
      <c r="C473" s="203" t="s">
        <v>200</v>
      </c>
      <c r="D473" s="204"/>
      <c r="E473" s="204"/>
      <c r="F473" s="189">
        <f>SUM(F470:F471,F469)</f>
        <v>54.6</v>
      </c>
      <c r="G473" s="206"/>
      <c r="H473" s="604" t="s">
        <v>201</v>
      </c>
      <c r="I473" s="604"/>
      <c r="J473" s="604"/>
      <c r="K473" s="189">
        <f>SUM(K469:K471)</f>
        <v>56.190131988385446</v>
      </c>
      <c r="L473" s="207"/>
      <c r="M473" s="190">
        <f>K473-F473</f>
        <v>1.5901319883854441</v>
      </c>
      <c r="N473" s="191">
        <f>M473/F473</f>
        <v>0.0291232964905759</v>
      </c>
    </row>
    <row r="474" spans="1:14" ht="15">
      <c r="A474" s="47"/>
      <c r="B474" s="12"/>
      <c r="D474" s="10"/>
      <c r="E474" s="10"/>
      <c r="F474" s="209"/>
      <c r="I474" s="10"/>
      <c r="J474" s="10"/>
      <c r="K474" s="210"/>
      <c r="L474" s="12"/>
      <c r="M474" s="12"/>
      <c r="N474" s="211"/>
    </row>
    <row r="475" spans="1:14" ht="13.5" thickBot="1">
      <c r="A475" s="12"/>
      <c r="C475" s="497" t="s">
        <v>247</v>
      </c>
      <c r="D475" s="484"/>
      <c r="E475" s="10"/>
      <c r="F475" s="209"/>
      <c r="I475" s="10"/>
      <c r="J475" s="10"/>
      <c r="K475" s="210"/>
      <c r="L475" s="12"/>
      <c r="M475" s="12"/>
      <c r="N475" s="213"/>
    </row>
    <row r="476" spans="1:14" ht="60.75" thickBot="1">
      <c r="A476" s="168" t="s">
        <v>78</v>
      </c>
      <c r="B476" s="169"/>
      <c r="C476" s="569"/>
      <c r="D476" s="581" t="s">
        <v>12</v>
      </c>
      <c r="E476" s="583" t="s">
        <v>79</v>
      </c>
      <c r="F476" s="585" t="s">
        <v>182</v>
      </c>
      <c r="G476" s="166"/>
      <c r="H476" s="170"/>
      <c r="I476" s="581" t="s">
        <v>12</v>
      </c>
      <c r="J476" s="583" t="s">
        <v>79</v>
      </c>
      <c r="K476" s="585" t="s">
        <v>182</v>
      </c>
      <c r="L476" s="169"/>
      <c r="M476" s="600" t="s">
        <v>181</v>
      </c>
      <c r="N476" s="602" t="s">
        <v>80</v>
      </c>
    </row>
    <row r="477" spans="1:14" ht="13.5" thickBot="1">
      <c r="A477" s="171">
        <v>750</v>
      </c>
      <c r="B477" s="31"/>
      <c r="C477" s="570"/>
      <c r="D477" s="582"/>
      <c r="E477" s="584"/>
      <c r="F477" s="586"/>
      <c r="G477" s="167"/>
      <c r="H477" s="31"/>
      <c r="I477" s="587"/>
      <c r="J477" s="588"/>
      <c r="K477" s="586"/>
      <c r="L477" s="32"/>
      <c r="M477" s="601"/>
      <c r="N477" s="603"/>
    </row>
    <row r="478" spans="1:14" ht="26.25" customHeight="1">
      <c r="A478" s="172"/>
      <c r="B478" s="31"/>
      <c r="C478" s="173" t="s">
        <v>21</v>
      </c>
      <c r="D478" s="174" t="s">
        <v>81</v>
      </c>
      <c r="E478" s="175" t="s">
        <v>81</v>
      </c>
      <c r="F478" s="234">
        <f>F467</f>
        <v>14.25</v>
      </c>
      <c r="G478" s="167"/>
      <c r="H478" s="177" t="s">
        <v>21</v>
      </c>
      <c r="I478" s="208" t="str">
        <f>D478</f>
        <v>N/A</v>
      </c>
      <c r="J478" s="178" t="s">
        <v>81</v>
      </c>
      <c r="K478" s="227">
        <f>+K467</f>
        <v>13.580287018663661</v>
      </c>
      <c r="L478" s="179"/>
      <c r="M478" s="575"/>
      <c r="N478" s="576"/>
    </row>
    <row r="479" spans="1:14" ht="26.25" customHeight="1" thickBot="1">
      <c r="A479" s="86"/>
      <c r="B479" s="31"/>
      <c r="C479" s="180" t="s">
        <v>82</v>
      </c>
      <c r="D479" s="235">
        <f>A477</f>
        <v>750</v>
      </c>
      <c r="E479" s="182">
        <f>E468</f>
        <v>0.0098</v>
      </c>
      <c r="F479" s="352">
        <f>D479*E479</f>
        <v>7.35</v>
      </c>
      <c r="G479" s="167"/>
      <c r="H479" s="184" t="s">
        <v>82</v>
      </c>
      <c r="I479" s="375">
        <f>D479</f>
        <v>750</v>
      </c>
      <c r="J479" s="228">
        <f>+J468</f>
        <v>0.01431968993944357</v>
      </c>
      <c r="K479" s="186">
        <f>I479*J479</f>
        <v>10.739767454582678</v>
      </c>
      <c r="L479" s="179"/>
      <c r="M479" s="577"/>
      <c r="N479" s="578"/>
    </row>
    <row r="480" spans="1:14" ht="13.5" thickBot="1">
      <c r="A480" s="86"/>
      <c r="B480" s="31"/>
      <c r="C480" s="605"/>
      <c r="D480" s="607"/>
      <c r="E480" s="187" t="s">
        <v>52</v>
      </c>
      <c r="F480" s="373">
        <f>SUM(F478:F479)</f>
        <v>21.6</v>
      </c>
      <c r="G480" s="167"/>
      <c r="H480" s="595"/>
      <c r="I480" s="596"/>
      <c r="J480" s="187" t="s">
        <v>83</v>
      </c>
      <c r="K480" s="189">
        <f>SUM(K478:K479)</f>
        <v>24.320054473246337</v>
      </c>
      <c r="L480" s="179"/>
      <c r="M480" s="190">
        <f>K480-F480</f>
        <v>2.7200544732463356</v>
      </c>
      <c r="N480" s="191">
        <f>M480/F480</f>
        <v>0.1259284478354785</v>
      </c>
    </row>
    <row r="481" spans="1:14" ht="25.5">
      <c r="A481" s="86"/>
      <c r="B481" s="31"/>
      <c r="C481" s="180" t="s">
        <v>84</v>
      </c>
      <c r="D481" s="181">
        <f>A477</f>
        <v>750</v>
      </c>
      <c r="E481" s="192">
        <v>0.0239</v>
      </c>
      <c r="F481" s="374">
        <f>D481*E481</f>
        <v>17.925</v>
      </c>
      <c r="G481" s="167"/>
      <c r="H481" s="184" t="s">
        <v>84</v>
      </c>
      <c r="I481" s="185">
        <f aca="true" t="shared" si="23" ref="I481:K482">D481</f>
        <v>750</v>
      </c>
      <c r="J481" s="194">
        <f t="shared" si="23"/>
        <v>0.0239</v>
      </c>
      <c r="K481" s="195">
        <f t="shared" si="23"/>
        <v>17.925</v>
      </c>
      <c r="L481" s="179"/>
      <c r="M481" s="575"/>
      <c r="N481" s="576"/>
    </row>
    <row r="482" spans="1:14" ht="26.25" thickBot="1">
      <c r="A482" s="86"/>
      <c r="B482" s="31"/>
      <c r="C482" s="196" t="s">
        <v>85</v>
      </c>
      <c r="D482" s="181">
        <f>A477</f>
        <v>750</v>
      </c>
      <c r="E482" s="197">
        <v>0.047</v>
      </c>
      <c r="F482" s="352">
        <f>D482*E482</f>
        <v>35.25</v>
      </c>
      <c r="G482" s="167"/>
      <c r="H482" s="198" t="s">
        <v>85</v>
      </c>
      <c r="I482" s="199">
        <f t="shared" si="23"/>
        <v>750</v>
      </c>
      <c r="J482" s="200">
        <f t="shared" si="23"/>
        <v>0.047</v>
      </c>
      <c r="K482" s="201">
        <f t="shared" si="23"/>
        <v>35.25</v>
      </c>
      <c r="L482" s="179"/>
      <c r="M482" s="579"/>
      <c r="N482" s="580"/>
    </row>
    <row r="483" spans="1:14" ht="13.5" thickBot="1">
      <c r="A483" s="86"/>
      <c r="B483" s="31"/>
      <c r="C483" s="597"/>
      <c r="D483" s="598"/>
      <c r="E483" s="598"/>
      <c r="F483" s="599"/>
      <c r="G483" s="167"/>
      <c r="H483" s="598"/>
      <c r="I483" s="598"/>
      <c r="J483" s="598"/>
      <c r="K483" s="599"/>
      <c r="L483" s="31"/>
      <c r="M483" s="86"/>
      <c r="N483" s="202"/>
    </row>
    <row r="484" spans="1:14" ht="13.5" thickBot="1">
      <c r="A484" s="94"/>
      <c r="B484" s="148"/>
      <c r="C484" s="203" t="s">
        <v>200</v>
      </c>
      <c r="D484" s="204"/>
      <c r="E484" s="204"/>
      <c r="F484" s="189">
        <f>SUM(F481:F482,F480)</f>
        <v>74.775</v>
      </c>
      <c r="G484" s="206"/>
      <c r="H484" s="604" t="s">
        <v>201</v>
      </c>
      <c r="I484" s="604"/>
      <c r="J484" s="604"/>
      <c r="K484" s="189">
        <f>SUM(K480:K482)</f>
        <v>77.49505447324634</v>
      </c>
      <c r="L484" s="207"/>
      <c r="M484" s="190">
        <f>K484-F484</f>
        <v>2.7200544732463356</v>
      </c>
      <c r="N484" s="191">
        <f>M484/F484</f>
        <v>0.036376522544250556</v>
      </c>
    </row>
    <row r="485" spans="1:14" ht="10.5" customHeight="1">
      <c r="A485" s="12"/>
      <c r="D485" s="212"/>
      <c r="E485" s="10"/>
      <c r="F485" s="209"/>
      <c r="I485" s="10"/>
      <c r="J485" s="10"/>
      <c r="K485" s="210"/>
      <c r="L485" s="12"/>
      <c r="M485" s="12"/>
      <c r="N485" s="213"/>
    </row>
    <row r="486" spans="1:13" ht="10.5" customHeight="1" thickBot="1">
      <c r="A486" s="214"/>
      <c r="B486" s="31"/>
      <c r="C486" s="133"/>
      <c r="D486" s="30"/>
      <c r="E486" s="30"/>
      <c r="F486" s="215"/>
      <c r="H486" s="133"/>
      <c r="I486" s="30"/>
      <c r="J486" s="30"/>
      <c r="K486" s="216"/>
      <c r="L486" s="216"/>
      <c r="M486" s="216"/>
    </row>
    <row r="487" spans="1:14" ht="60.75" thickBot="1">
      <c r="A487" s="168" t="s">
        <v>78</v>
      </c>
      <c r="B487" s="169"/>
      <c r="C487" s="569"/>
      <c r="D487" s="581" t="s">
        <v>12</v>
      </c>
      <c r="E487" s="583" t="s">
        <v>79</v>
      </c>
      <c r="F487" s="585" t="s">
        <v>182</v>
      </c>
      <c r="G487" s="166"/>
      <c r="H487" s="170"/>
      <c r="I487" s="581" t="s">
        <v>12</v>
      </c>
      <c r="J487" s="583" t="s">
        <v>79</v>
      </c>
      <c r="K487" s="585" t="s">
        <v>182</v>
      </c>
      <c r="L487" s="169"/>
      <c r="M487" s="600" t="s">
        <v>181</v>
      </c>
      <c r="N487" s="602" t="s">
        <v>80</v>
      </c>
    </row>
    <row r="488" spans="1:14" ht="13.5" thickBot="1">
      <c r="A488" s="171">
        <v>1000</v>
      </c>
      <c r="B488" s="31"/>
      <c r="C488" s="570"/>
      <c r="D488" s="582"/>
      <c r="E488" s="584"/>
      <c r="F488" s="586"/>
      <c r="G488" s="167"/>
      <c r="H488" s="31"/>
      <c r="I488" s="587"/>
      <c r="J488" s="588"/>
      <c r="K488" s="586"/>
      <c r="L488" s="32"/>
      <c r="M488" s="601"/>
      <c r="N488" s="603"/>
    </row>
    <row r="489" spans="1:14" ht="26.25" customHeight="1">
      <c r="A489" s="172"/>
      <c r="B489" s="31"/>
      <c r="C489" s="173" t="s">
        <v>21</v>
      </c>
      <c r="D489" s="174" t="s">
        <v>81</v>
      </c>
      <c r="E489" s="175" t="s">
        <v>81</v>
      </c>
      <c r="F489" s="234">
        <f>F478</f>
        <v>14.25</v>
      </c>
      <c r="G489" s="167"/>
      <c r="H489" s="173" t="s">
        <v>21</v>
      </c>
      <c r="I489" s="208" t="str">
        <f>D489</f>
        <v>N/A</v>
      </c>
      <c r="J489" s="178" t="s">
        <v>81</v>
      </c>
      <c r="K489" s="227">
        <f>+K478</f>
        <v>13.580287018663661</v>
      </c>
      <c r="L489" s="179"/>
      <c r="M489" s="575"/>
      <c r="N489" s="576"/>
    </row>
    <row r="490" spans="1:14" ht="24" customHeight="1" thickBot="1">
      <c r="A490" s="86"/>
      <c r="B490" s="31"/>
      <c r="C490" s="180" t="s">
        <v>82</v>
      </c>
      <c r="D490" s="181">
        <f>A488</f>
        <v>1000</v>
      </c>
      <c r="E490" s="182">
        <f>E479</f>
        <v>0.0098</v>
      </c>
      <c r="F490" s="352">
        <f>D490*E490</f>
        <v>9.799999999999999</v>
      </c>
      <c r="G490" s="167"/>
      <c r="H490" s="180" t="s">
        <v>82</v>
      </c>
      <c r="I490" s="185">
        <f>D490</f>
        <v>1000</v>
      </c>
      <c r="J490" s="228">
        <f>+J479</f>
        <v>0.01431968993944357</v>
      </c>
      <c r="K490" s="186">
        <f>I490*J490</f>
        <v>14.31968993944357</v>
      </c>
      <c r="L490" s="179"/>
      <c r="M490" s="577"/>
      <c r="N490" s="578"/>
    </row>
    <row r="491" spans="1:14" ht="13.5" thickBot="1">
      <c r="A491" s="86"/>
      <c r="B491" s="31"/>
      <c r="C491" s="605"/>
      <c r="D491" s="607"/>
      <c r="E491" s="187" t="s">
        <v>52</v>
      </c>
      <c r="F491" s="373">
        <f>SUM(F489:F490)</f>
        <v>24.049999999999997</v>
      </c>
      <c r="G491" s="167"/>
      <c r="H491" s="610"/>
      <c r="I491" s="596"/>
      <c r="J491" s="187" t="s">
        <v>83</v>
      </c>
      <c r="K491" s="189">
        <f>SUM(K489:K490)</f>
        <v>27.89997695810723</v>
      </c>
      <c r="L491" s="179"/>
      <c r="M491" s="190">
        <f>K491-F491</f>
        <v>3.8499769581072343</v>
      </c>
      <c r="N491" s="191">
        <f>M491/F491</f>
        <v>0.16008220200030082</v>
      </c>
    </row>
    <row r="492" spans="1:14" ht="25.5">
      <c r="A492" s="86"/>
      <c r="B492" s="31"/>
      <c r="C492" s="180" t="s">
        <v>84</v>
      </c>
      <c r="D492" s="181">
        <f>A488</f>
        <v>1000</v>
      </c>
      <c r="E492" s="192">
        <v>0.0239</v>
      </c>
      <c r="F492" s="374">
        <f>D492*E492</f>
        <v>23.900000000000002</v>
      </c>
      <c r="G492" s="167"/>
      <c r="H492" s="180" t="s">
        <v>84</v>
      </c>
      <c r="I492" s="185">
        <f>D492</f>
        <v>1000</v>
      </c>
      <c r="J492" s="194">
        <f>E492</f>
        <v>0.0239</v>
      </c>
      <c r="K492" s="195">
        <f>F492</f>
        <v>23.900000000000002</v>
      </c>
      <c r="L492" s="179"/>
      <c r="M492" s="575"/>
      <c r="N492" s="576"/>
    </row>
    <row r="493" spans="1:14" ht="25.5">
      <c r="A493" s="86"/>
      <c r="B493" s="31"/>
      <c r="C493" s="196" t="s">
        <v>85</v>
      </c>
      <c r="D493" s="181">
        <v>750</v>
      </c>
      <c r="E493" s="197">
        <v>0.047</v>
      </c>
      <c r="F493" s="352">
        <f>D493*E493</f>
        <v>35.25</v>
      </c>
      <c r="G493" s="167"/>
      <c r="H493" s="196" t="s">
        <v>85</v>
      </c>
      <c r="I493" s="181">
        <f>D493</f>
        <v>750</v>
      </c>
      <c r="J493" s="197">
        <v>0.047</v>
      </c>
      <c r="K493" s="352">
        <f>I493*J493</f>
        <v>35.25</v>
      </c>
      <c r="L493" s="179"/>
      <c r="M493" s="579"/>
      <c r="N493" s="580"/>
    </row>
    <row r="494" spans="1:14" ht="26.25" thickBot="1">
      <c r="A494" s="86"/>
      <c r="B494" s="31"/>
      <c r="C494" s="196" t="s">
        <v>85</v>
      </c>
      <c r="D494" s="235">
        <f>A488-D493</f>
        <v>250</v>
      </c>
      <c r="E494" s="197">
        <v>0.055</v>
      </c>
      <c r="F494" s="352">
        <f>D494*E494</f>
        <v>13.75</v>
      </c>
      <c r="G494" s="167"/>
      <c r="H494" s="353" t="s">
        <v>85</v>
      </c>
      <c r="I494" s="376">
        <f>D494</f>
        <v>250</v>
      </c>
      <c r="J494" s="354">
        <v>0.055</v>
      </c>
      <c r="K494" s="355">
        <f>I494*J494</f>
        <v>13.75</v>
      </c>
      <c r="L494" s="179"/>
      <c r="M494" s="579"/>
      <c r="N494" s="580"/>
    </row>
    <row r="495" spans="1:14" ht="13.5" thickBot="1">
      <c r="A495" s="86"/>
      <c r="B495" s="31"/>
      <c r="C495" s="597"/>
      <c r="D495" s="598"/>
      <c r="E495" s="598"/>
      <c r="F495" s="599"/>
      <c r="G495" s="167"/>
      <c r="H495" s="598"/>
      <c r="I495" s="598"/>
      <c r="J495" s="598"/>
      <c r="K495" s="599"/>
      <c r="L495" s="31"/>
      <c r="M495" s="86"/>
      <c r="N495" s="202"/>
    </row>
    <row r="496" spans="1:14" ht="13.5" thickBot="1">
      <c r="A496" s="94"/>
      <c r="B496" s="148"/>
      <c r="C496" s="203" t="s">
        <v>200</v>
      </c>
      <c r="D496" s="204"/>
      <c r="E496" s="204"/>
      <c r="F496" s="189">
        <f>SUM(F492:F494,F491)</f>
        <v>96.95</v>
      </c>
      <c r="G496" s="206"/>
      <c r="H496" s="604" t="s">
        <v>201</v>
      </c>
      <c r="I496" s="604"/>
      <c r="J496" s="604"/>
      <c r="K496" s="189">
        <f>SUM(K491:K494)</f>
        <v>100.79997695810724</v>
      </c>
      <c r="L496" s="207"/>
      <c r="M496" s="190">
        <f>K496-F496</f>
        <v>3.8499769581072343</v>
      </c>
      <c r="N496" s="191">
        <f>M496/F496</f>
        <v>0.03971095366794465</v>
      </c>
    </row>
    <row r="497" spans="1:14" ht="12.75">
      <c r="A497" s="12"/>
      <c r="D497" s="212"/>
      <c r="E497" s="10"/>
      <c r="F497" s="209"/>
      <c r="I497" s="10"/>
      <c r="J497" s="10"/>
      <c r="K497" s="210"/>
      <c r="L497" s="12"/>
      <c r="M497" s="12"/>
      <c r="N497" s="213"/>
    </row>
    <row r="498" spans="1:13" ht="15.75" thickBot="1">
      <c r="A498" s="214"/>
      <c r="B498" s="31"/>
      <c r="C498" s="133"/>
      <c r="D498" s="30"/>
      <c r="E498" s="30"/>
      <c r="F498" s="215"/>
      <c r="H498" s="133"/>
      <c r="I498" s="30"/>
      <c r="J498" s="30"/>
      <c r="K498" s="216"/>
      <c r="L498" s="216"/>
      <c r="M498" s="216"/>
    </row>
    <row r="499" spans="1:14" ht="60.75" thickBot="1">
      <c r="A499" s="168" t="s">
        <v>78</v>
      </c>
      <c r="B499" s="169"/>
      <c r="C499" s="569"/>
      <c r="D499" s="581" t="s">
        <v>12</v>
      </c>
      <c r="E499" s="583" t="s">
        <v>79</v>
      </c>
      <c r="F499" s="585" t="s">
        <v>182</v>
      </c>
      <c r="G499" s="166"/>
      <c r="H499" s="170"/>
      <c r="I499" s="581" t="s">
        <v>12</v>
      </c>
      <c r="J499" s="583" t="s">
        <v>79</v>
      </c>
      <c r="K499" s="585" t="s">
        <v>182</v>
      </c>
      <c r="L499" s="169"/>
      <c r="M499" s="600" t="s">
        <v>181</v>
      </c>
      <c r="N499" s="602" t="s">
        <v>80</v>
      </c>
    </row>
    <row r="500" spans="1:14" ht="13.5" thickBot="1">
      <c r="A500" s="171">
        <v>1500</v>
      </c>
      <c r="B500" s="31"/>
      <c r="C500" s="570"/>
      <c r="D500" s="582"/>
      <c r="E500" s="584"/>
      <c r="F500" s="586"/>
      <c r="G500" s="167"/>
      <c r="H500" s="31"/>
      <c r="I500" s="587"/>
      <c r="J500" s="588"/>
      <c r="K500" s="586"/>
      <c r="L500" s="32"/>
      <c r="M500" s="601"/>
      <c r="N500" s="603"/>
    </row>
    <row r="501" spans="1:14" ht="27.75" customHeight="1">
      <c r="A501" s="172"/>
      <c r="B501" s="31"/>
      <c r="C501" s="173" t="s">
        <v>21</v>
      </c>
      <c r="D501" s="174" t="s">
        <v>81</v>
      </c>
      <c r="E501" s="175" t="s">
        <v>81</v>
      </c>
      <c r="F501" s="234">
        <f>F489</f>
        <v>14.25</v>
      </c>
      <c r="G501" s="167"/>
      <c r="H501" s="177" t="s">
        <v>21</v>
      </c>
      <c r="I501" s="208" t="str">
        <f>D501</f>
        <v>N/A</v>
      </c>
      <c r="J501" s="178" t="s">
        <v>81</v>
      </c>
      <c r="K501" s="227">
        <f>+K489</f>
        <v>13.580287018663661</v>
      </c>
      <c r="L501" s="179"/>
      <c r="M501" s="575"/>
      <c r="N501" s="576"/>
    </row>
    <row r="502" spans="1:14" ht="25.5" customHeight="1" thickBot="1">
      <c r="A502" s="86"/>
      <c r="B502" s="31"/>
      <c r="C502" s="180" t="s">
        <v>82</v>
      </c>
      <c r="D502" s="181">
        <f>A500</f>
        <v>1500</v>
      </c>
      <c r="E502" s="182">
        <f>E490</f>
        <v>0.0098</v>
      </c>
      <c r="F502" s="352">
        <f>D502*E502</f>
        <v>14.7</v>
      </c>
      <c r="G502" s="167"/>
      <c r="H502" s="184" t="s">
        <v>82</v>
      </c>
      <c r="I502" s="185">
        <f>D502</f>
        <v>1500</v>
      </c>
      <c r="J502" s="228">
        <f>+J490</f>
        <v>0.01431968993944357</v>
      </c>
      <c r="K502" s="186">
        <f>I502*J502</f>
        <v>21.479534909165356</v>
      </c>
      <c r="L502" s="179"/>
      <c r="M502" s="577"/>
      <c r="N502" s="578"/>
    </row>
    <row r="503" spans="1:14" ht="13.5" thickBot="1">
      <c r="A503" s="86"/>
      <c r="B503" s="31"/>
      <c r="C503" s="605"/>
      <c r="D503" s="607"/>
      <c r="E503" s="187" t="s">
        <v>52</v>
      </c>
      <c r="F503" s="373">
        <f>SUM(F501:F502)</f>
        <v>28.95</v>
      </c>
      <c r="G503" s="167"/>
      <c r="H503" s="595"/>
      <c r="I503" s="596"/>
      <c r="J503" s="187" t="s">
        <v>83</v>
      </c>
      <c r="K503" s="189">
        <f>SUM(K501:K502)</f>
        <v>35.05982192782902</v>
      </c>
      <c r="L503" s="179"/>
      <c r="M503" s="190">
        <f>K503-F503</f>
        <v>6.109821927829021</v>
      </c>
      <c r="N503" s="191">
        <f>M503/F503</f>
        <v>0.21104738956231506</v>
      </c>
    </row>
    <row r="504" spans="1:14" ht="25.5">
      <c r="A504" s="86"/>
      <c r="B504" s="31"/>
      <c r="C504" s="180" t="s">
        <v>84</v>
      </c>
      <c r="D504" s="181">
        <f>A500</f>
        <v>1500</v>
      </c>
      <c r="E504" s="192">
        <v>0.0239</v>
      </c>
      <c r="F504" s="374">
        <f>D504*E504</f>
        <v>35.85</v>
      </c>
      <c r="G504" s="167"/>
      <c r="H504" s="184" t="s">
        <v>84</v>
      </c>
      <c r="I504" s="185">
        <f>D504</f>
        <v>1500</v>
      </c>
      <c r="J504" s="194">
        <f>E504</f>
        <v>0.0239</v>
      </c>
      <c r="K504" s="195">
        <f>F504</f>
        <v>35.85</v>
      </c>
      <c r="L504" s="179"/>
      <c r="M504" s="575"/>
      <c r="N504" s="576"/>
    </row>
    <row r="505" spans="1:14" ht="25.5">
      <c r="A505" s="86"/>
      <c r="B505" s="31"/>
      <c r="C505" s="196" t="s">
        <v>85</v>
      </c>
      <c r="D505" s="181">
        <v>750</v>
      </c>
      <c r="E505" s="197">
        <v>0.047</v>
      </c>
      <c r="F505" s="352">
        <f>D505*E505</f>
        <v>35.25</v>
      </c>
      <c r="G505" s="167"/>
      <c r="H505" s="196" t="s">
        <v>85</v>
      </c>
      <c r="I505" s="185">
        <f>D505</f>
        <v>750</v>
      </c>
      <c r="J505" s="197">
        <v>0.047</v>
      </c>
      <c r="K505" s="352">
        <f>I505*J505</f>
        <v>35.25</v>
      </c>
      <c r="L505" s="179"/>
      <c r="M505" s="579"/>
      <c r="N505" s="580"/>
    </row>
    <row r="506" spans="1:14" ht="26.25" thickBot="1">
      <c r="A506" s="86"/>
      <c r="B506" s="31"/>
      <c r="C506" s="196" t="s">
        <v>85</v>
      </c>
      <c r="D506" s="235">
        <f>A500-D505</f>
        <v>750</v>
      </c>
      <c r="E506" s="197">
        <v>0.055</v>
      </c>
      <c r="F506" s="352">
        <f>D506*E506</f>
        <v>41.25</v>
      </c>
      <c r="G506" s="167"/>
      <c r="H506" s="353" t="s">
        <v>85</v>
      </c>
      <c r="I506" s="376">
        <f>D506</f>
        <v>750</v>
      </c>
      <c r="J506" s="354">
        <v>0.055</v>
      </c>
      <c r="K506" s="355">
        <f>I506*J506</f>
        <v>41.25</v>
      </c>
      <c r="L506" s="179"/>
      <c r="M506" s="579"/>
      <c r="N506" s="580"/>
    </row>
    <row r="507" spans="1:14" ht="13.5" thickBot="1">
      <c r="A507" s="86"/>
      <c r="B507" s="31"/>
      <c r="C507" s="597"/>
      <c r="D507" s="598"/>
      <c r="E507" s="598"/>
      <c r="F507" s="599"/>
      <c r="G507" s="167"/>
      <c r="H507" s="598"/>
      <c r="I507" s="598"/>
      <c r="J507" s="598"/>
      <c r="K507" s="599"/>
      <c r="L507" s="31"/>
      <c r="M507" s="86"/>
      <c r="N507" s="202"/>
    </row>
    <row r="508" spans="1:14" ht="13.5" thickBot="1">
      <c r="A508" s="94"/>
      <c r="B508" s="148"/>
      <c r="C508" s="203" t="s">
        <v>200</v>
      </c>
      <c r="D508" s="204"/>
      <c r="E508" s="204"/>
      <c r="F508" s="189">
        <f>SUM(F504:F506,F503)</f>
        <v>141.29999999999998</v>
      </c>
      <c r="G508" s="206"/>
      <c r="H508" s="604" t="s">
        <v>201</v>
      </c>
      <c r="I508" s="604"/>
      <c r="J508" s="604"/>
      <c r="K508" s="189">
        <f>SUM(K503:K506)</f>
        <v>147.40982192782903</v>
      </c>
      <c r="L508" s="207"/>
      <c r="M508" s="190">
        <f>K508-F508</f>
        <v>6.109821927829046</v>
      </c>
      <c r="N508" s="191">
        <f>M508/F508</f>
        <v>0.04324007026064435</v>
      </c>
    </row>
    <row r="509" spans="1:14" ht="9" customHeight="1">
      <c r="A509" s="12"/>
      <c r="D509" s="212"/>
      <c r="E509" s="10"/>
      <c r="F509" s="209"/>
      <c r="I509" s="10"/>
      <c r="J509" s="10"/>
      <c r="K509" s="210"/>
      <c r="L509" s="12"/>
      <c r="M509" s="12"/>
      <c r="N509" s="213"/>
    </row>
    <row r="510" spans="1:13" ht="9" customHeight="1" thickBot="1">
      <c r="A510" s="214"/>
      <c r="B510" s="31"/>
      <c r="C510" s="133"/>
      <c r="D510" s="30"/>
      <c r="E510" s="30"/>
      <c r="F510" s="215"/>
      <c r="H510" s="133"/>
      <c r="I510" s="30"/>
      <c r="J510" s="30"/>
      <c r="K510" s="216"/>
      <c r="L510" s="216"/>
      <c r="M510" s="216"/>
    </row>
    <row r="511" spans="1:14" ht="60.75" thickBot="1">
      <c r="A511" s="168" t="s">
        <v>78</v>
      </c>
      <c r="B511" s="169"/>
      <c r="C511" s="569"/>
      <c r="D511" s="581" t="s">
        <v>12</v>
      </c>
      <c r="E511" s="583" t="s">
        <v>79</v>
      </c>
      <c r="F511" s="585" t="s">
        <v>182</v>
      </c>
      <c r="G511" s="166"/>
      <c r="H511" s="170"/>
      <c r="I511" s="581" t="s">
        <v>12</v>
      </c>
      <c r="J511" s="583" t="s">
        <v>79</v>
      </c>
      <c r="K511" s="585" t="s">
        <v>182</v>
      </c>
      <c r="L511" s="169"/>
      <c r="M511" s="600" t="s">
        <v>181</v>
      </c>
      <c r="N511" s="602" t="s">
        <v>80</v>
      </c>
    </row>
    <row r="512" spans="1:14" ht="13.5" thickBot="1">
      <c r="A512" s="171">
        <v>2000</v>
      </c>
      <c r="B512" s="31"/>
      <c r="C512" s="570"/>
      <c r="D512" s="582"/>
      <c r="E512" s="584"/>
      <c r="F512" s="586"/>
      <c r="G512" s="167"/>
      <c r="H512" s="31"/>
      <c r="I512" s="587"/>
      <c r="J512" s="588"/>
      <c r="K512" s="586"/>
      <c r="L512" s="32"/>
      <c r="M512" s="601"/>
      <c r="N512" s="603"/>
    </row>
    <row r="513" spans="1:14" ht="27" customHeight="1">
      <c r="A513" s="172"/>
      <c r="B513" s="31"/>
      <c r="C513" s="173" t="s">
        <v>21</v>
      </c>
      <c r="D513" s="174" t="s">
        <v>81</v>
      </c>
      <c r="E513" s="175" t="s">
        <v>81</v>
      </c>
      <c r="F513" s="234">
        <f>F501</f>
        <v>14.25</v>
      </c>
      <c r="G513" s="167"/>
      <c r="H513" s="177" t="s">
        <v>21</v>
      </c>
      <c r="I513" s="208" t="str">
        <f>D513</f>
        <v>N/A</v>
      </c>
      <c r="J513" s="178" t="s">
        <v>81</v>
      </c>
      <c r="K513" s="227">
        <f>+K501</f>
        <v>13.580287018663661</v>
      </c>
      <c r="L513" s="179"/>
      <c r="M513" s="575"/>
      <c r="N513" s="576"/>
    </row>
    <row r="514" spans="1:14" ht="29.25" customHeight="1" thickBot="1">
      <c r="A514" s="86"/>
      <c r="B514" s="31"/>
      <c r="C514" s="180" t="s">
        <v>82</v>
      </c>
      <c r="D514" s="181">
        <f>A512</f>
        <v>2000</v>
      </c>
      <c r="E514" s="182">
        <f>E502</f>
        <v>0.0098</v>
      </c>
      <c r="F514" s="352">
        <f>D514*E514</f>
        <v>19.599999999999998</v>
      </c>
      <c r="G514" s="167"/>
      <c r="H514" s="184" t="s">
        <v>82</v>
      </c>
      <c r="I514" s="185">
        <f>D514</f>
        <v>2000</v>
      </c>
      <c r="J514" s="228">
        <f>+J502</f>
        <v>0.01431968993944357</v>
      </c>
      <c r="K514" s="186">
        <f>I514*J514</f>
        <v>28.63937987888714</v>
      </c>
      <c r="L514" s="179"/>
      <c r="M514" s="577"/>
      <c r="N514" s="578"/>
    </row>
    <row r="515" spans="1:14" ht="13.5" customHeight="1" thickBot="1">
      <c r="A515" s="86"/>
      <c r="B515" s="31"/>
      <c r="C515" s="605"/>
      <c r="D515" s="607"/>
      <c r="E515" s="187" t="s">
        <v>52</v>
      </c>
      <c r="F515" s="373">
        <f>SUM(F513:F514)</f>
        <v>33.849999999999994</v>
      </c>
      <c r="G515" s="167"/>
      <c r="H515" s="595"/>
      <c r="I515" s="596"/>
      <c r="J515" s="187" t="s">
        <v>83</v>
      </c>
      <c r="K515" s="189">
        <f>SUM(K513:K514)</f>
        <v>42.2196668975508</v>
      </c>
      <c r="L515" s="179"/>
      <c r="M515" s="190">
        <f>K515-F515</f>
        <v>8.369666897550808</v>
      </c>
      <c r="N515" s="191">
        <f>M515/F515</f>
        <v>0.24725751543724694</v>
      </c>
    </row>
    <row r="516" spans="1:14" ht="25.5">
      <c r="A516" s="86"/>
      <c r="B516" s="31"/>
      <c r="C516" s="180" t="s">
        <v>84</v>
      </c>
      <c r="D516" s="181">
        <f>A512</f>
        <v>2000</v>
      </c>
      <c r="E516" s="192">
        <v>0.0239</v>
      </c>
      <c r="F516" s="374">
        <f>D516*E516</f>
        <v>47.800000000000004</v>
      </c>
      <c r="G516" s="167"/>
      <c r="H516" s="184" t="s">
        <v>84</v>
      </c>
      <c r="I516" s="185">
        <f>D516</f>
        <v>2000</v>
      </c>
      <c r="J516" s="194">
        <f>E516</f>
        <v>0.0239</v>
      </c>
      <c r="K516" s="195">
        <f>F516</f>
        <v>47.800000000000004</v>
      </c>
      <c r="L516" s="179"/>
      <c r="M516" s="575"/>
      <c r="N516" s="576"/>
    </row>
    <row r="517" spans="1:14" ht="25.5">
      <c r="A517" s="86"/>
      <c r="B517" s="31"/>
      <c r="C517" s="196" t="s">
        <v>85</v>
      </c>
      <c r="D517" s="181">
        <v>750</v>
      </c>
      <c r="E517" s="197">
        <v>0.047</v>
      </c>
      <c r="F517" s="352">
        <f>D517*E517</f>
        <v>35.25</v>
      </c>
      <c r="G517" s="167"/>
      <c r="H517" s="196" t="s">
        <v>85</v>
      </c>
      <c r="I517" s="185">
        <f>D517</f>
        <v>750</v>
      </c>
      <c r="J517" s="197">
        <v>0.047</v>
      </c>
      <c r="K517" s="352">
        <f>I517*J517</f>
        <v>35.25</v>
      </c>
      <c r="L517" s="179"/>
      <c r="M517" s="579"/>
      <c r="N517" s="580"/>
    </row>
    <row r="518" spans="1:14" ht="26.25" thickBot="1">
      <c r="A518" s="86"/>
      <c r="B518" s="31"/>
      <c r="C518" s="196" t="s">
        <v>85</v>
      </c>
      <c r="D518" s="235">
        <f>A512-D517</f>
        <v>1250</v>
      </c>
      <c r="E518" s="197">
        <v>0.055</v>
      </c>
      <c r="F518" s="352">
        <f>D518*E518</f>
        <v>68.75</v>
      </c>
      <c r="G518" s="167"/>
      <c r="H518" s="353" t="s">
        <v>85</v>
      </c>
      <c r="I518" s="376">
        <f>D518</f>
        <v>1250</v>
      </c>
      <c r="J518" s="354">
        <v>0.055</v>
      </c>
      <c r="K518" s="355">
        <f>I518*J518</f>
        <v>68.75</v>
      </c>
      <c r="L518" s="179"/>
      <c r="M518" s="579"/>
      <c r="N518" s="580"/>
    </row>
    <row r="519" spans="1:14" ht="13.5" thickBot="1">
      <c r="A519" s="86"/>
      <c r="B519" s="31"/>
      <c r="C519" s="597"/>
      <c r="D519" s="598"/>
      <c r="E519" s="598"/>
      <c r="F519" s="599"/>
      <c r="G519" s="167"/>
      <c r="H519" s="598"/>
      <c r="I519" s="598"/>
      <c r="J519" s="598"/>
      <c r="K519" s="599"/>
      <c r="L519" s="31"/>
      <c r="M519" s="86"/>
      <c r="N519" s="202"/>
    </row>
    <row r="520" spans="1:14" ht="13.5" thickBot="1">
      <c r="A520" s="94"/>
      <c r="B520" s="148"/>
      <c r="C520" s="203" t="s">
        <v>200</v>
      </c>
      <c r="D520" s="204"/>
      <c r="E520" s="204"/>
      <c r="F520" s="189">
        <f>SUM(F516:F518,F515)</f>
        <v>185.65</v>
      </c>
      <c r="G520" s="206"/>
      <c r="H520" s="604" t="s">
        <v>201</v>
      </c>
      <c r="I520" s="604"/>
      <c r="J520" s="604"/>
      <c r="K520" s="189">
        <f>SUM(K515:K518)</f>
        <v>194.0196668975508</v>
      </c>
      <c r="L520" s="207"/>
      <c r="M520" s="190">
        <f>K520-F520</f>
        <v>8.369666897550786</v>
      </c>
      <c r="N520" s="191">
        <f>M520/F520</f>
        <v>0.04508304280932284</v>
      </c>
    </row>
    <row r="523" spans="3:11" ht="18.75" customHeight="1">
      <c r="C523" s="497" t="s">
        <v>248</v>
      </c>
      <c r="D523" s="484"/>
      <c r="E523" s="160"/>
      <c r="F523" s="160"/>
      <c r="G523" s="31"/>
      <c r="K523" s="161"/>
    </row>
    <row r="524" spans="5:11" ht="9" customHeight="1" thickBot="1">
      <c r="E524" s="160"/>
      <c r="F524" s="160"/>
      <c r="G524" s="31"/>
      <c r="K524" s="161"/>
    </row>
    <row r="525" spans="1:14" ht="15.75" customHeight="1">
      <c r="A525" s="47"/>
      <c r="C525" s="589" t="s">
        <v>95</v>
      </c>
      <c r="D525" s="590"/>
      <c r="E525" s="590"/>
      <c r="F525" s="591"/>
      <c r="G525" s="166"/>
      <c r="H525" s="589" t="s">
        <v>96</v>
      </c>
      <c r="I525" s="590"/>
      <c r="J525" s="590"/>
      <c r="K525" s="590"/>
      <c r="L525" s="590"/>
      <c r="M525" s="590"/>
      <c r="N525" s="591"/>
    </row>
    <row r="526" spans="1:15" ht="13.5" customHeight="1" thickBot="1">
      <c r="A526"/>
      <c r="C526" s="592"/>
      <c r="D526" s="593"/>
      <c r="E526" s="593"/>
      <c r="F526" s="594"/>
      <c r="G526" s="167"/>
      <c r="H526" s="592"/>
      <c r="I526" s="593"/>
      <c r="J526" s="593"/>
      <c r="K526" s="593"/>
      <c r="L526" s="593"/>
      <c r="M526" s="593"/>
      <c r="N526" s="594"/>
      <c r="O526" s="31"/>
    </row>
    <row r="527" spans="1:14" ht="48.75" customHeight="1" thickBot="1">
      <c r="A527" s="168" t="s">
        <v>78</v>
      </c>
      <c r="B527" s="169"/>
      <c r="C527" s="569"/>
      <c r="D527" s="581" t="s">
        <v>12</v>
      </c>
      <c r="E527" s="583" t="s">
        <v>79</v>
      </c>
      <c r="F527" s="585" t="s">
        <v>182</v>
      </c>
      <c r="G527" s="166"/>
      <c r="H527" s="170"/>
      <c r="I527" s="581" t="s">
        <v>12</v>
      </c>
      <c r="J527" s="583" t="s">
        <v>79</v>
      </c>
      <c r="K527" s="585" t="s">
        <v>182</v>
      </c>
      <c r="L527" s="169"/>
      <c r="M527" s="600" t="s">
        <v>181</v>
      </c>
      <c r="N527" s="602" t="s">
        <v>80</v>
      </c>
    </row>
    <row r="528" spans="1:14" ht="13.5" thickBot="1">
      <c r="A528" s="171">
        <v>100</v>
      </c>
      <c r="B528" s="31"/>
      <c r="C528" s="570"/>
      <c r="D528" s="582"/>
      <c r="E528" s="584"/>
      <c r="F528" s="586"/>
      <c r="G528" s="167"/>
      <c r="H528" s="31"/>
      <c r="I528" s="587"/>
      <c r="J528" s="588"/>
      <c r="K528" s="586"/>
      <c r="L528" s="32"/>
      <c r="M528" s="601"/>
      <c r="N528" s="603"/>
    </row>
    <row r="529" spans="1:14" ht="25.5">
      <c r="A529" s="172"/>
      <c r="B529" s="31"/>
      <c r="C529" s="449" t="s">
        <v>21</v>
      </c>
      <c r="D529" s="174" t="s">
        <v>81</v>
      </c>
      <c r="E529" s="175" t="s">
        <v>81</v>
      </c>
      <c r="F529" s="234">
        <f>+'12. Current Rates'!D57</f>
        <v>14.1</v>
      </c>
      <c r="G529" s="167"/>
      <c r="H529" s="452" t="s">
        <v>21</v>
      </c>
      <c r="I529" s="174" t="s">
        <v>81</v>
      </c>
      <c r="J529" s="174" t="s">
        <v>81</v>
      </c>
      <c r="K529" s="234">
        <f>+'11. 2005 Final Rate Schedule '!F480</f>
        <v>13.491499640108744</v>
      </c>
      <c r="L529" s="179"/>
      <c r="M529" s="575"/>
      <c r="N529" s="576"/>
    </row>
    <row r="530" spans="1:14" ht="26.25" thickBot="1">
      <c r="A530" s="86"/>
      <c r="B530" s="31"/>
      <c r="C530" s="450" t="s">
        <v>82</v>
      </c>
      <c r="D530" s="235">
        <f>A528</f>
        <v>100</v>
      </c>
      <c r="E530" s="438">
        <f>+'12. Current Rates'!D55</f>
        <v>0.0103</v>
      </c>
      <c r="F530" s="352">
        <f>D530*E530</f>
        <v>1.03</v>
      </c>
      <c r="G530" s="167"/>
      <c r="H530" s="453" t="s">
        <v>82</v>
      </c>
      <c r="I530" s="181">
        <f>D530</f>
        <v>100</v>
      </c>
      <c r="J530" s="444">
        <f>+'11. 2005 Final Rate Schedule '!F481</f>
        <v>0.016587893848177236</v>
      </c>
      <c r="K530" s="237">
        <f>I530*J530</f>
        <v>1.6587893848177235</v>
      </c>
      <c r="L530" s="179"/>
      <c r="M530" s="577"/>
      <c r="N530" s="578"/>
    </row>
    <row r="531" spans="1:14" ht="13.5" thickBot="1">
      <c r="A531" s="86"/>
      <c r="B531" s="31"/>
      <c r="C531" s="567"/>
      <c r="D531" s="568"/>
      <c r="E531" s="187" t="s">
        <v>52</v>
      </c>
      <c r="F531" s="373">
        <f>SUM(F529:F530)</f>
        <v>15.129999999999999</v>
      </c>
      <c r="G531" s="167"/>
      <c r="H531" s="595"/>
      <c r="I531" s="596"/>
      <c r="J531" s="187" t="s">
        <v>83</v>
      </c>
      <c r="K531" s="189">
        <f>SUM(K529:K530)</f>
        <v>15.150289024926467</v>
      </c>
      <c r="L531" s="179"/>
      <c r="M531" s="190">
        <f>K531-F531</f>
        <v>0.020289024926468002</v>
      </c>
      <c r="N531" s="191">
        <f>M531/F531</f>
        <v>0.0013409798365147392</v>
      </c>
    </row>
    <row r="532" spans="1:14" ht="27" customHeight="1">
      <c r="A532" s="86"/>
      <c r="B532" s="31"/>
      <c r="C532" s="450" t="s">
        <v>84</v>
      </c>
      <c r="D532" s="181">
        <f>A528</f>
        <v>100</v>
      </c>
      <c r="E532" s="439">
        <v>0.0239</v>
      </c>
      <c r="F532" s="374">
        <f>D532*E532</f>
        <v>2.39</v>
      </c>
      <c r="G532" s="167"/>
      <c r="H532" s="453" t="s">
        <v>84</v>
      </c>
      <c r="I532" s="181">
        <f aca="true" t="shared" si="24" ref="I532:K533">D532</f>
        <v>100</v>
      </c>
      <c r="J532" s="445">
        <f t="shared" si="24"/>
        <v>0.0239</v>
      </c>
      <c r="K532" s="239">
        <f t="shared" si="24"/>
        <v>2.39</v>
      </c>
      <c r="L532" s="179"/>
      <c r="M532" s="575"/>
      <c r="N532" s="576"/>
    </row>
    <row r="533" spans="1:14" ht="25.5" customHeight="1" thickBot="1">
      <c r="A533" s="86"/>
      <c r="B533" s="31"/>
      <c r="C533" s="451" t="s">
        <v>85</v>
      </c>
      <c r="D533" s="181">
        <f>A528</f>
        <v>100</v>
      </c>
      <c r="E533" s="440">
        <v>0.047</v>
      </c>
      <c r="F533" s="352">
        <f>D533*E533</f>
        <v>4.7</v>
      </c>
      <c r="G533" s="167"/>
      <c r="H533" s="454" t="s">
        <v>85</v>
      </c>
      <c r="I533" s="446">
        <f t="shared" si="24"/>
        <v>100</v>
      </c>
      <c r="J533" s="447">
        <f t="shared" si="24"/>
        <v>0.047</v>
      </c>
      <c r="K533" s="243">
        <f t="shared" si="24"/>
        <v>4.7</v>
      </c>
      <c r="L533" s="179"/>
      <c r="M533" s="579"/>
      <c r="N533" s="580"/>
    </row>
    <row r="534" spans="1:14" ht="7.5" customHeight="1" thickBot="1">
      <c r="A534" s="86"/>
      <c r="B534" s="31"/>
      <c r="C534" s="597"/>
      <c r="D534" s="598"/>
      <c r="E534" s="598"/>
      <c r="F534" s="599"/>
      <c r="G534" s="167"/>
      <c r="H534" s="598"/>
      <c r="I534" s="598"/>
      <c r="J534" s="598"/>
      <c r="K534" s="599"/>
      <c r="L534" s="31"/>
      <c r="M534" s="86"/>
      <c r="N534" s="202"/>
    </row>
    <row r="535" spans="1:14" ht="13.5" thickBot="1">
      <c r="A535" s="94"/>
      <c r="B535" s="148"/>
      <c r="C535" s="203" t="s">
        <v>200</v>
      </c>
      <c r="D535" s="204"/>
      <c r="E535" s="204"/>
      <c r="F535" s="189">
        <f>SUM(F532:F533,F531)</f>
        <v>22.22</v>
      </c>
      <c r="G535" s="206"/>
      <c r="H535" s="604" t="s">
        <v>201</v>
      </c>
      <c r="I535" s="604"/>
      <c r="J535" s="604"/>
      <c r="K535" s="189">
        <f>SUM(K531:K533)</f>
        <v>22.240289024926465</v>
      </c>
      <c r="L535" s="207"/>
      <c r="M535" s="190">
        <f>K535-F535</f>
        <v>0.020289024926466226</v>
      </c>
      <c r="N535" s="191">
        <f>M535/F535</f>
        <v>0.0009130974314341236</v>
      </c>
    </row>
    <row r="536" ht="12.75">
      <c r="K536" s="161"/>
    </row>
    <row r="537" spans="6:11" ht="13.5" thickBot="1">
      <c r="F537" s="161"/>
      <c r="K537" s="161"/>
    </row>
    <row r="538" spans="1:14" ht="60.75" thickBot="1">
      <c r="A538" s="168" t="s">
        <v>78</v>
      </c>
      <c r="B538" s="169"/>
      <c r="C538" s="569"/>
      <c r="D538" s="581" t="s">
        <v>12</v>
      </c>
      <c r="E538" s="583" t="s">
        <v>79</v>
      </c>
      <c r="F538" s="585" t="s">
        <v>182</v>
      </c>
      <c r="G538" s="166"/>
      <c r="H538" s="170"/>
      <c r="I538" s="581" t="s">
        <v>12</v>
      </c>
      <c r="J538" s="583" t="s">
        <v>79</v>
      </c>
      <c r="K538" s="585" t="s">
        <v>182</v>
      </c>
      <c r="L538" s="169"/>
      <c r="M538" s="600" t="s">
        <v>181</v>
      </c>
      <c r="N538" s="602" t="s">
        <v>80</v>
      </c>
    </row>
    <row r="539" spans="1:14" ht="13.5" thickBot="1">
      <c r="A539" s="171">
        <v>250</v>
      </c>
      <c r="B539" s="31"/>
      <c r="C539" s="570"/>
      <c r="D539" s="582"/>
      <c r="E539" s="584"/>
      <c r="F539" s="586"/>
      <c r="G539" s="167"/>
      <c r="H539" s="31"/>
      <c r="I539" s="587"/>
      <c r="J539" s="588"/>
      <c r="K539" s="586"/>
      <c r="L539" s="32"/>
      <c r="M539" s="601"/>
      <c r="N539" s="603"/>
    </row>
    <row r="540" spans="1:14" ht="25.5">
      <c r="A540" s="172"/>
      <c r="B540" s="31"/>
      <c r="C540" s="173" t="s">
        <v>21</v>
      </c>
      <c r="D540" s="174" t="s">
        <v>81</v>
      </c>
      <c r="E540" s="175" t="s">
        <v>81</v>
      </c>
      <c r="F540" s="234">
        <f>F529</f>
        <v>14.1</v>
      </c>
      <c r="G540" s="167"/>
      <c r="H540" s="177" t="s">
        <v>21</v>
      </c>
      <c r="I540" s="208" t="str">
        <f>D540</f>
        <v>N/A</v>
      </c>
      <c r="J540" s="178" t="s">
        <v>81</v>
      </c>
      <c r="K540" s="227">
        <f>+K529</f>
        <v>13.491499640108744</v>
      </c>
      <c r="L540" s="179"/>
      <c r="M540" s="575"/>
      <c r="N540" s="576"/>
    </row>
    <row r="541" spans="1:14" ht="26.25" thickBot="1">
      <c r="A541" s="86"/>
      <c r="B541" s="31"/>
      <c r="C541" s="180" t="s">
        <v>82</v>
      </c>
      <c r="D541" s="235">
        <f>A539</f>
        <v>250</v>
      </c>
      <c r="E541" s="182">
        <f>E530</f>
        <v>0.0103</v>
      </c>
      <c r="F541" s="352">
        <f>D541*E541</f>
        <v>2.575</v>
      </c>
      <c r="G541" s="167"/>
      <c r="H541" s="184" t="s">
        <v>82</v>
      </c>
      <c r="I541" s="185">
        <f>D541</f>
        <v>250</v>
      </c>
      <c r="J541" s="443">
        <f>+J530</f>
        <v>0.016587893848177236</v>
      </c>
      <c r="K541" s="186">
        <f>I541*J541</f>
        <v>4.146973462044309</v>
      </c>
      <c r="L541" s="179"/>
      <c r="M541" s="577"/>
      <c r="N541" s="578"/>
    </row>
    <row r="542" spans="1:14" ht="24.75" customHeight="1" thickBot="1">
      <c r="A542" s="86"/>
      <c r="B542" s="31"/>
      <c r="C542" s="605"/>
      <c r="D542" s="607"/>
      <c r="E542" s="187" t="s">
        <v>52</v>
      </c>
      <c r="F542" s="373">
        <f>SUM(F540:F541)</f>
        <v>16.675</v>
      </c>
      <c r="G542" s="167"/>
      <c r="H542" s="595"/>
      <c r="I542" s="596"/>
      <c r="J542" s="187" t="s">
        <v>83</v>
      </c>
      <c r="K542" s="189">
        <f>SUM(K540:K541)</f>
        <v>17.638473102153053</v>
      </c>
      <c r="L542" s="179"/>
      <c r="M542" s="190">
        <f>K542-F542</f>
        <v>0.9634731021530527</v>
      </c>
      <c r="N542" s="191">
        <f>M542/F542</f>
        <v>0.05777949638099266</v>
      </c>
    </row>
    <row r="543" spans="1:14" ht="27" customHeight="1">
      <c r="A543" s="86"/>
      <c r="B543" s="31"/>
      <c r="C543" s="180" t="s">
        <v>84</v>
      </c>
      <c r="D543" s="181">
        <f>A539</f>
        <v>250</v>
      </c>
      <c r="E543" s="439">
        <v>0.0239</v>
      </c>
      <c r="F543" s="374">
        <f>D543*E543</f>
        <v>5.9750000000000005</v>
      </c>
      <c r="G543" s="167"/>
      <c r="H543" s="184" t="s">
        <v>84</v>
      </c>
      <c r="I543" s="185">
        <f aca="true" t="shared" si="25" ref="I543:K544">D543</f>
        <v>250</v>
      </c>
      <c r="J543" s="441">
        <f t="shared" si="25"/>
        <v>0.0239</v>
      </c>
      <c r="K543" s="195">
        <f t="shared" si="25"/>
        <v>5.9750000000000005</v>
      </c>
      <c r="L543" s="179"/>
      <c r="M543" s="575"/>
      <c r="N543" s="576"/>
    </row>
    <row r="544" spans="1:14" ht="26.25" thickBot="1">
      <c r="A544" s="86"/>
      <c r="B544" s="31"/>
      <c r="C544" s="196" t="s">
        <v>85</v>
      </c>
      <c r="D544" s="181">
        <f>A539</f>
        <v>250</v>
      </c>
      <c r="E544" s="440">
        <v>0.047</v>
      </c>
      <c r="F544" s="352">
        <f>D544*E544</f>
        <v>11.75</v>
      </c>
      <c r="G544" s="167"/>
      <c r="H544" s="198" t="s">
        <v>85</v>
      </c>
      <c r="I544" s="199">
        <f t="shared" si="25"/>
        <v>250</v>
      </c>
      <c r="J544" s="442">
        <f t="shared" si="25"/>
        <v>0.047</v>
      </c>
      <c r="K544" s="201">
        <f t="shared" si="25"/>
        <v>11.75</v>
      </c>
      <c r="L544" s="179"/>
      <c r="M544" s="579"/>
      <c r="N544" s="580"/>
    </row>
    <row r="545" spans="1:14" ht="13.5" thickBot="1">
      <c r="A545" s="86"/>
      <c r="B545" s="31"/>
      <c r="C545" s="597"/>
      <c r="D545" s="598"/>
      <c r="E545" s="598"/>
      <c r="F545" s="599"/>
      <c r="G545" s="167"/>
      <c r="H545" s="598"/>
      <c r="I545" s="598"/>
      <c r="J545" s="598"/>
      <c r="K545" s="599"/>
      <c r="L545" s="31"/>
      <c r="M545" s="86"/>
      <c r="N545" s="202"/>
    </row>
    <row r="546" spans="1:14" ht="13.5" thickBot="1">
      <c r="A546" s="94"/>
      <c r="B546" s="148"/>
      <c r="C546" s="203" t="s">
        <v>200</v>
      </c>
      <c r="D546" s="204"/>
      <c r="E546" s="204"/>
      <c r="F546" s="189">
        <f>SUM(F543:F544,F542)</f>
        <v>34.400000000000006</v>
      </c>
      <c r="G546" s="206"/>
      <c r="H546" s="604" t="s">
        <v>201</v>
      </c>
      <c r="I546" s="604"/>
      <c r="J546" s="604"/>
      <c r="K546" s="189">
        <f>SUM(K542:K544)</f>
        <v>35.36347310215305</v>
      </c>
      <c r="L546" s="207"/>
      <c r="M546" s="190">
        <f>K546-F546</f>
        <v>0.9634731021530456</v>
      </c>
      <c r="N546" s="191">
        <f>M546/F546</f>
        <v>0.028007939016076903</v>
      </c>
    </row>
    <row r="547" ht="12.75">
      <c r="K547" s="161"/>
    </row>
    <row r="548" spans="1:14" ht="11.25" customHeight="1" thickBot="1">
      <c r="A548" s="47"/>
      <c r="B548" s="12"/>
      <c r="D548" s="10"/>
      <c r="E548" s="10"/>
      <c r="F548" s="209"/>
      <c r="I548" s="10"/>
      <c r="J548" s="10"/>
      <c r="K548" s="210"/>
      <c r="L548" s="12"/>
      <c r="M548" s="12"/>
      <c r="N548" s="211"/>
    </row>
    <row r="549" spans="1:14" ht="60.75" thickBot="1">
      <c r="A549" s="168" t="s">
        <v>78</v>
      </c>
      <c r="B549" s="169"/>
      <c r="C549" s="608"/>
      <c r="D549" s="581" t="s">
        <v>12</v>
      </c>
      <c r="E549" s="583" t="s">
        <v>79</v>
      </c>
      <c r="F549" s="585" t="s">
        <v>182</v>
      </c>
      <c r="G549" s="166"/>
      <c r="H549" s="170"/>
      <c r="I549" s="581" t="s">
        <v>12</v>
      </c>
      <c r="J549" s="583" t="s">
        <v>79</v>
      </c>
      <c r="K549" s="585" t="s">
        <v>182</v>
      </c>
      <c r="L549" s="169"/>
      <c r="M549" s="600" t="s">
        <v>181</v>
      </c>
      <c r="N549" s="602" t="s">
        <v>80</v>
      </c>
    </row>
    <row r="550" spans="1:14" ht="13.5" thickBot="1">
      <c r="A550" s="171">
        <v>500</v>
      </c>
      <c r="B550" s="31"/>
      <c r="C550" s="609"/>
      <c r="D550" s="582"/>
      <c r="E550" s="584"/>
      <c r="F550" s="586"/>
      <c r="G550" s="167"/>
      <c r="H550" s="31"/>
      <c r="I550" s="587"/>
      <c r="J550" s="588"/>
      <c r="K550" s="586"/>
      <c r="L550" s="32"/>
      <c r="M550" s="601"/>
      <c r="N550" s="603"/>
    </row>
    <row r="551" spans="1:14" ht="25.5">
      <c r="A551" s="172"/>
      <c r="B551" s="31"/>
      <c r="C551" s="173" t="s">
        <v>21</v>
      </c>
      <c r="D551" s="174" t="s">
        <v>81</v>
      </c>
      <c r="E551" s="175" t="s">
        <v>81</v>
      </c>
      <c r="F551" s="234">
        <f>F540</f>
        <v>14.1</v>
      </c>
      <c r="G551" s="167"/>
      <c r="H551" s="177" t="s">
        <v>21</v>
      </c>
      <c r="I551" s="208" t="str">
        <f>D551</f>
        <v>N/A</v>
      </c>
      <c r="J551" s="178" t="s">
        <v>81</v>
      </c>
      <c r="K551" s="227">
        <f>+K540</f>
        <v>13.491499640108744</v>
      </c>
      <c r="L551" s="179"/>
      <c r="M551" s="575"/>
      <c r="N551" s="576"/>
    </row>
    <row r="552" spans="1:14" ht="25.5" customHeight="1" thickBot="1">
      <c r="A552" s="86"/>
      <c r="B552" s="31"/>
      <c r="C552" s="180" t="s">
        <v>82</v>
      </c>
      <c r="D552" s="235">
        <f>A550</f>
        <v>500</v>
      </c>
      <c r="E552" s="182">
        <f>E541</f>
        <v>0.0103</v>
      </c>
      <c r="F552" s="352">
        <f>D552*E552</f>
        <v>5.15</v>
      </c>
      <c r="G552" s="167"/>
      <c r="H552" s="184" t="s">
        <v>82</v>
      </c>
      <c r="I552" s="375">
        <f>D552</f>
        <v>500</v>
      </c>
      <c r="J552" s="443">
        <f>+J541</f>
        <v>0.016587893848177236</v>
      </c>
      <c r="K552" s="186">
        <f>I552*J552</f>
        <v>8.293946924088617</v>
      </c>
      <c r="L552" s="179"/>
      <c r="M552" s="577"/>
      <c r="N552" s="578"/>
    </row>
    <row r="553" spans="1:14" ht="13.5" thickBot="1">
      <c r="A553" s="86"/>
      <c r="B553" s="31"/>
      <c r="C553" s="605"/>
      <c r="D553" s="606"/>
      <c r="E553" s="187" t="s">
        <v>52</v>
      </c>
      <c r="F553" s="373">
        <f>SUM(F551:F552)</f>
        <v>19.25</v>
      </c>
      <c r="G553" s="167"/>
      <c r="H553" s="595"/>
      <c r="I553" s="596"/>
      <c r="J553" s="187" t="s">
        <v>83</v>
      </c>
      <c r="K553" s="189">
        <f>SUM(K551:K552)</f>
        <v>21.78544656419736</v>
      </c>
      <c r="L553" s="179"/>
      <c r="M553" s="190">
        <f>K553-F553</f>
        <v>2.535446564197361</v>
      </c>
      <c r="N553" s="191">
        <f>M553/F553</f>
        <v>0.13171150982843435</v>
      </c>
    </row>
    <row r="554" spans="1:14" ht="25.5">
      <c r="A554" s="86"/>
      <c r="B554" s="31"/>
      <c r="C554" s="180" t="s">
        <v>84</v>
      </c>
      <c r="D554" s="181">
        <f>A550</f>
        <v>500</v>
      </c>
      <c r="E554" s="439">
        <v>0.0239</v>
      </c>
      <c r="F554" s="374">
        <f>D554*E554</f>
        <v>11.950000000000001</v>
      </c>
      <c r="G554" s="167"/>
      <c r="H554" s="184" t="s">
        <v>84</v>
      </c>
      <c r="I554" s="185">
        <f aca="true" t="shared" si="26" ref="I554:K555">D554</f>
        <v>500</v>
      </c>
      <c r="J554" s="441">
        <f t="shared" si="26"/>
        <v>0.0239</v>
      </c>
      <c r="K554" s="195">
        <f t="shared" si="26"/>
        <v>11.950000000000001</v>
      </c>
      <c r="L554" s="179"/>
      <c r="M554" s="575"/>
      <c r="N554" s="576"/>
    </row>
    <row r="555" spans="1:14" ht="26.25" thickBot="1">
      <c r="A555" s="86"/>
      <c r="B555" s="31"/>
      <c r="C555" s="196" t="s">
        <v>85</v>
      </c>
      <c r="D555" s="181">
        <f>A550</f>
        <v>500</v>
      </c>
      <c r="E555" s="440">
        <v>0.047</v>
      </c>
      <c r="F555" s="352">
        <f>D555*E555</f>
        <v>23.5</v>
      </c>
      <c r="G555" s="167"/>
      <c r="H555" s="198" t="s">
        <v>85</v>
      </c>
      <c r="I555" s="199">
        <f t="shared" si="26"/>
        <v>500</v>
      </c>
      <c r="J555" s="442">
        <f t="shared" si="26"/>
        <v>0.047</v>
      </c>
      <c r="K555" s="201">
        <f t="shared" si="26"/>
        <v>23.5</v>
      </c>
      <c r="L555" s="179"/>
      <c r="M555" s="579"/>
      <c r="N555" s="580"/>
    </row>
    <row r="556" spans="1:14" ht="13.5" thickBot="1">
      <c r="A556" s="86"/>
      <c r="B556" s="31"/>
      <c r="C556" s="597"/>
      <c r="D556" s="598"/>
      <c r="E556" s="598"/>
      <c r="F556" s="599"/>
      <c r="G556" s="167"/>
      <c r="H556" s="598"/>
      <c r="I556" s="598"/>
      <c r="J556" s="598"/>
      <c r="K556" s="599"/>
      <c r="L556" s="31"/>
      <c r="M556" s="86"/>
      <c r="N556" s="202"/>
    </row>
    <row r="557" spans="1:14" ht="13.5" thickBot="1">
      <c r="A557" s="94"/>
      <c r="B557" s="148"/>
      <c r="C557" s="203" t="s">
        <v>200</v>
      </c>
      <c r="D557" s="204"/>
      <c r="E557" s="204"/>
      <c r="F557" s="189">
        <f>SUM(F554:F555,F553)</f>
        <v>54.7</v>
      </c>
      <c r="G557" s="206"/>
      <c r="H557" s="604" t="s">
        <v>201</v>
      </c>
      <c r="I557" s="604"/>
      <c r="J557" s="604"/>
      <c r="K557" s="189">
        <f>SUM(K553:K555)</f>
        <v>57.23544656419736</v>
      </c>
      <c r="L557" s="207"/>
      <c r="M557" s="190">
        <f>K557-F557</f>
        <v>2.5354465641973576</v>
      </c>
      <c r="N557" s="191">
        <f>M557/F557</f>
        <v>0.04635185674949465</v>
      </c>
    </row>
    <row r="558" spans="1:14" ht="15">
      <c r="A558" s="47"/>
      <c r="B558" s="12"/>
      <c r="D558" s="10"/>
      <c r="E558" s="10"/>
      <c r="F558" s="209"/>
      <c r="I558" s="10"/>
      <c r="J558" s="10"/>
      <c r="K558" s="210"/>
      <c r="L558" s="12"/>
      <c r="M558" s="12"/>
      <c r="N558" s="211"/>
    </row>
    <row r="559" spans="1:14" ht="13.5" thickBot="1">
      <c r="A559" s="12"/>
      <c r="C559" s="497" t="s">
        <v>248</v>
      </c>
      <c r="D559" s="484"/>
      <c r="E559" s="10"/>
      <c r="F559" s="209"/>
      <c r="I559" s="10"/>
      <c r="J559" s="10"/>
      <c r="K559" s="210"/>
      <c r="L559" s="12"/>
      <c r="M559" s="12"/>
      <c r="N559" s="213"/>
    </row>
    <row r="560" spans="1:14" ht="60.75" thickBot="1">
      <c r="A560" s="168" t="s">
        <v>78</v>
      </c>
      <c r="B560" s="169"/>
      <c r="C560" s="569"/>
      <c r="D560" s="581" t="s">
        <v>12</v>
      </c>
      <c r="E560" s="583" t="s">
        <v>79</v>
      </c>
      <c r="F560" s="585" t="s">
        <v>182</v>
      </c>
      <c r="G560" s="166"/>
      <c r="H560" s="170"/>
      <c r="I560" s="581" t="s">
        <v>12</v>
      </c>
      <c r="J560" s="583" t="s">
        <v>79</v>
      </c>
      <c r="K560" s="585" t="s">
        <v>182</v>
      </c>
      <c r="L560" s="169"/>
      <c r="M560" s="600" t="s">
        <v>181</v>
      </c>
      <c r="N560" s="602" t="s">
        <v>80</v>
      </c>
    </row>
    <row r="561" spans="1:14" ht="13.5" thickBot="1">
      <c r="A561" s="171">
        <v>750</v>
      </c>
      <c r="B561" s="31"/>
      <c r="C561" s="570"/>
      <c r="D561" s="582"/>
      <c r="E561" s="584"/>
      <c r="F561" s="586"/>
      <c r="G561" s="167"/>
      <c r="H561" s="31"/>
      <c r="I561" s="587"/>
      <c r="J561" s="588"/>
      <c r="K561" s="586"/>
      <c r="L561" s="32"/>
      <c r="M561" s="601"/>
      <c r="N561" s="603"/>
    </row>
    <row r="562" spans="1:14" ht="26.25" customHeight="1">
      <c r="A562" s="172"/>
      <c r="B562" s="31"/>
      <c r="C562" s="173" t="s">
        <v>21</v>
      </c>
      <c r="D562" s="174" t="s">
        <v>81</v>
      </c>
      <c r="E562" s="175" t="s">
        <v>81</v>
      </c>
      <c r="F562" s="234">
        <f>F551</f>
        <v>14.1</v>
      </c>
      <c r="G562" s="167"/>
      <c r="H562" s="177" t="s">
        <v>21</v>
      </c>
      <c r="I562" s="208" t="str">
        <f>D562</f>
        <v>N/A</v>
      </c>
      <c r="J562" s="178" t="s">
        <v>81</v>
      </c>
      <c r="K562" s="227">
        <f>+K551</f>
        <v>13.491499640108744</v>
      </c>
      <c r="L562" s="179"/>
      <c r="M562" s="575"/>
      <c r="N562" s="576"/>
    </row>
    <row r="563" spans="1:14" ht="26.25" customHeight="1" thickBot="1">
      <c r="A563" s="86"/>
      <c r="B563" s="31"/>
      <c r="C563" s="180" t="s">
        <v>82</v>
      </c>
      <c r="D563" s="235">
        <f>A561</f>
        <v>750</v>
      </c>
      <c r="E563" s="182">
        <f>E552</f>
        <v>0.0103</v>
      </c>
      <c r="F563" s="352">
        <f>D563*E563</f>
        <v>7.7250000000000005</v>
      </c>
      <c r="G563" s="167"/>
      <c r="H563" s="184" t="s">
        <v>82</v>
      </c>
      <c r="I563" s="375">
        <f>D563</f>
        <v>750</v>
      </c>
      <c r="J563" s="228">
        <f>+J552</f>
        <v>0.016587893848177236</v>
      </c>
      <c r="K563" s="186">
        <f>+J563*I563</f>
        <v>12.440920386132927</v>
      </c>
      <c r="L563" s="179"/>
      <c r="M563" s="577"/>
      <c r="N563" s="578"/>
    </row>
    <row r="564" spans="1:14" ht="13.5" thickBot="1">
      <c r="A564" s="86"/>
      <c r="B564" s="31"/>
      <c r="C564" s="605"/>
      <c r="D564" s="607"/>
      <c r="E564" s="187" t="s">
        <v>52</v>
      </c>
      <c r="F564" s="373">
        <f>SUM(F562:F563)</f>
        <v>21.825</v>
      </c>
      <c r="G564" s="167"/>
      <c r="H564" s="595"/>
      <c r="I564" s="596"/>
      <c r="J564" s="187" t="s">
        <v>83</v>
      </c>
      <c r="K564" s="189">
        <f>SUM(K562:K563)</f>
        <v>25.932420026241672</v>
      </c>
      <c r="L564" s="179"/>
      <c r="M564" s="190">
        <f>K564-F564</f>
        <v>4.107420026241673</v>
      </c>
      <c r="N564" s="191">
        <f>M564/F564</f>
        <v>0.1881979393466975</v>
      </c>
    </row>
    <row r="565" spans="1:14" ht="25.5">
      <c r="A565" s="86"/>
      <c r="B565" s="31"/>
      <c r="C565" s="180" t="s">
        <v>84</v>
      </c>
      <c r="D565" s="181">
        <f>A561</f>
        <v>750</v>
      </c>
      <c r="E565" s="192">
        <v>0.0239</v>
      </c>
      <c r="F565" s="374">
        <f>D565*E565</f>
        <v>17.925</v>
      </c>
      <c r="G565" s="167"/>
      <c r="H565" s="184" t="s">
        <v>84</v>
      </c>
      <c r="I565" s="185">
        <f aca="true" t="shared" si="27" ref="I565:K566">D565</f>
        <v>750</v>
      </c>
      <c r="J565" s="194">
        <f t="shared" si="27"/>
        <v>0.0239</v>
      </c>
      <c r="K565" s="195">
        <f t="shared" si="27"/>
        <v>17.925</v>
      </c>
      <c r="L565" s="179"/>
      <c r="M565" s="575"/>
      <c r="N565" s="576"/>
    </row>
    <row r="566" spans="1:14" ht="26.25" thickBot="1">
      <c r="A566" s="86"/>
      <c r="B566" s="31"/>
      <c r="C566" s="196" t="s">
        <v>85</v>
      </c>
      <c r="D566" s="181">
        <f>A561</f>
        <v>750</v>
      </c>
      <c r="E566" s="197">
        <v>0.047</v>
      </c>
      <c r="F566" s="352">
        <f>D566*E566</f>
        <v>35.25</v>
      </c>
      <c r="G566" s="167"/>
      <c r="H566" s="198" t="s">
        <v>85</v>
      </c>
      <c r="I566" s="199">
        <f t="shared" si="27"/>
        <v>750</v>
      </c>
      <c r="J566" s="200">
        <f t="shared" si="27"/>
        <v>0.047</v>
      </c>
      <c r="K566" s="201">
        <f t="shared" si="27"/>
        <v>35.25</v>
      </c>
      <c r="L566" s="179"/>
      <c r="M566" s="579"/>
      <c r="N566" s="580"/>
    </row>
    <row r="567" spans="1:14" ht="13.5" thickBot="1">
      <c r="A567" s="86"/>
      <c r="B567" s="31"/>
      <c r="C567" s="597"/>
      <c r="D567" s="598"/>
      <c r="E567" s="598"/>
      <c r="F567" s="599"/>
      <c r="G567" s="167"/>
      <c r="H567" s="598"/>
      <c r="I567" s="598"/>
      <c r="J567" s="598"/>
      <c r="K567" s="599"/>
      <c r="L567" s="31"/>
      <c r="M567" s="86"/>
      <c r="N567" s="202"/>
    </row>
    <row r="568" spans="1:14" ht="13.5" thickBot="1">
      <c r="A568" s="94"/>
      <c r="B568" s="148"/>
      <c r="C568" s="203" t="s">
        <v>200</v>
      </c>
      <c r="D568" s="204"/>
      <c r="E568" s="204"/>
      <c r="F568" s="189">
        <f>SUM(F565:F566,F564)</f>
        <v>75</v>
      </c>
      <c r="G568" s="206"/>
      <c r="H568" s="604" t="s">
        <v>201</v>
      </c>
      <c r="I568" s="604"/>
      <c r="J568" s="604"/>
      <c r="K568" s="189">
        <f>SUM(K564:K566)</f>
        <v>79.10742002624167</v>
      </c>
      <c r="L568" s="207"/>
      <c r="M568" s="190">
        <f>K568-F568</f>
        <v>4.10742002624167</v>
      </c>
      <c r="N568" s="191">
        <f>M568/F568</f>
        <v>0.05476560034988893</v>
      </c>
    </row>
    <row r="569" spans="1:14" ht="10.5" customHeight="1">
      <c r="A569" s="12"/>
      <c r="D569" s="212"/>
      <c r="E569" s="10"/>
      <c r="F569" s="209"/>
      <c r="I569" s="10"/>
      <c r="J569" s="10"/>
      <c r="K569" s="210"/>
      <c r="L569" s="12"/>
      <c r="M569" s="12"/>
      <c r="N569" s="213"/>
    </row>
    <row r="570" spans="1:13" ht="10.5" customHeight="1" thickBot="1">
      <c r="A570" s="214"/>
      <c r="B570" s="31"/>
      <c r="C570" s="133"/>
      <c r="D570" s="30"/>
      <c r="E570" s="30"/>
      <c r="F570" s="215"/>
      <c r="H570" s="133"/>
      <c r="I570" s="30"/>
      <c r="J570" s="30"/>
      <c r="K570" s="216"/>
      <c r="L570" s="216"/>
      <c r="M570" s="216"/>
    </row>
    <row r="571" spans="1:14" ht="60.75" thickBot="1">
      <c r="A571" s="168" t="s">
        <v>78</v>
      </c>
      <c r="B571" s="169"/>
      <c r="C571" s="569"/>
      <c r="D571" s="581" t="s">
        <v>12</v>
      </c>
      <c r="E571" s="583" t="s">
        <v>79</v>
      </c>
      <c r="F571" s="585" t="s">
        <v>182</v>
      </c>
      <c r="G571" s="166"/>
      <c r="H571" s="170"/>
      <c r="I571" s="581" t="s">
        <v>12</v>
      </c>
      <c r="J571" s="583" t="s">
        <v>79</v>
      </c>
      <c r="K571" s="585" t="s">
        <v>182</v>
      </c>
      <c r="L571" s="169"/>
      <c r="M571" s="600" t="s">
        <v>181</v>
      </c>
      <c r="N571" s="602" t="s">
        <v>80</v>
      </c>
    </row>
    <row r="572" spans="1:14" ht="13.5" thickBot="1">
      <c r="A572" s="171">
        <v>1000</v>
      </c>
      <c r="B572" s="31"/>
      <c r="C572" s="570"/>
      <c r="D572" s="582"/>
      <c r="E572" s="584"/>
      <c r="F572" s="586"/>
      <c r="G572" s="167"/>
      <c r="H572" s="31"/>
      <c r="I572" s="587"/>
      <c r="J572" s="588"/>
      <c r="K572" s="586"/>
      <c r="L572" s="32"/>
      <c r="M572" s="601"/>
      <c r="N572" s="603"/>
    </row>
    <row r="573" spans="1:14" ht="26.25" customHeight="1">
      <c r="A573" s="172"/>
      <c r="B573" s="31"/>
      <c r="C573" s="173" t="s">
        <v>21</v>
      </c>
      <c r="D573" s="174" t="s">
        <v>81</v>
      </c>
      <c r="E573" s="175" t="s">
        <v>81</v>
      </c>
      <c r="F573" s="234">
        <f>F562</f>
        <v>14.1</v>
      </c>
      <c r="G573" s="167"/>
      <c r="H573" s="173" t="s">
        <v>21</v>
      </c>
      <c r="I573" s="208" t="str">
        <f>D573</f>
        <v>N/A</v>
      </c>
      <c r="J573" s="178" t="s">
        <v>81</v>
      </c>
      <c r="K573" s="227">
        <f>+K562</f>
        <v>13.491499640108744</v>
      </c>
      <c r="L573" s="179"/>
      <c r="M573" s="575"/>
      <c r="N573" s="576"/>
    </row>
    <row r="574" spans="1:14" ht="24" customHeight="1" thickBot="1">
      <c r="A574" s="86"/>
      <c r="B574" s="31"/>
      <c r="C574" s="180" t="s">
        <v>82</v>
      </c>
      <c r="D574" s="181">
        <f>A572</f>
        <v>1000</v>
      </c>
      <c r="E574" s="182">
        <f>E563</f>
        <v>0.0103</v>
      </c>
      <c r="F574" s="352">
        <f>D574*E574</f>
        <v>10.3</v>
      </c>
      <c r="G574" s="167"/>
      <c r="H574" s="180" t="s">
        <v>82</v>
      </c>
      <c r="I574" s="185">
        <f>D574</f>
        <v>1000</v>
      </c>
      <c r="J574" s="228">
        <f>+J563</f>
        <v>0.016587893848177236</v>
      </c>
      <c r="K574" s="186">
        <f>I574*J574</f>
        <v>16.587893848177234</v>
      </c>
      <c r="L574" s="179"/>
      <c r="M574" s="577"/>
      <c r="N574" s="578"/>
    </row>
    <row r="575" spans="1:14" ht="13.5" thickBot="1">
      <c r="A575" s="86"/>
      <c r="B575" s="31"/>
      <c r="C575" s="605"/>
      <c r="D575" s="607"/>
      <c r="E575" s="187" t="s">
        <v>52</v>
      </c>
      <c r="F575" s="373">
        <f>SUM(F573:F574)</f>
        <v>24.4</v>
      </c>
      <c r="G575" s="167"/>
      <c r="H575" s="610"/>
      <c r="I575" s="596"/>
      <c r="J575" s="187" t="s">
        <v>83</v>
      </c>
      <c r="K575" s="189">
        <f>SUM(K573:K574)</f>
        <v>30.07939348828598</v>
      </c>
      <c r="L575" s="179"/>
      <c r="M575" s="190">
        <f>K575-F575</f>
        <v>5.679393488285982</v>
      </c>
      <c r="N575" s="191">
        <f>M575/F575</f>
        <v>0.23276202820844188</v>
      </c>
    </row>
    <row r="576" spans="1:14" ht="25.5">
      <c r="A576" s="86"/>
      <c r="B576" s="31"/>
      <c r="C576" s="180" t="s">
        <v>84</v>
      </c>
      <c r="D576" s="181">
        <f>A572</f>
        <v>1000</v>
      </c>
      <c r="E576" s="192">
        <v>0.0239</v>
      </c>
      <c r="F576" s="374">
        <f>D576*E576</f>
        <v>23.900000000000002</v>
      </c>
      <c r="G576" s="167"/>
      <c r="H576" s="180" t="s">
        <v>84</v>
      </c>
      <c r="I576" s="185">
        <f>D576</f>
        <v>1000</v>
      </c>
      <c r="J576" s="194">
        <f>E576</f>
        <v>0.0239</v>
      </c>
      <c r="K576" s="195">
        <f>F576</f>
        <v>23.900000000000002</v>
      </c>
      <c r="L576" s="179"/>
      <c r="M576" s="575"/>
      <c r="N576" s="576"/>
    </row>
    <row r="577" spans="1:14" ht="25.5">
      <c r="A577" s="86"/>
      <c r="B577" s="31"/>
      <c r="C577" s="196" t="s">
        <v>85</v>
      </c>
      <c r="D577" s="181">
        <v>750</v>
      </c>
      <c r="E577" s="197">
        <v>0.047</v>
      </c>
      <c r="F577" s="352">
        <f>D577*E577</f>
        <v>35.25</v>
      </c>
      <c r="G577" s="167"/>
      <c r="H577" s="196" t="s">
        <v>85</v>
      </c>
      <c r="I577" s="181">
        <f>D577</f>
        <v>750</v>
      </c>
      <c r="J577" s="197">
        <v>0.047</v>
      </c>
      <c r="K577" s="352">
        <f>I577*J577</f>
        <v>35.25</v>
      </c>
      <c r="L577" s="179"/>
      <c r="M577" s="579"/>
      <c r="N577" s="580"/>
    </row>
    <row r="578" spans="1:14" ht="26.25" thickBot="1">
      <c r="A578" s="86"/>
      <c r="B578" s="31"/>
      <c r="C578" s="196" t="s">
        <v>85</v>
      </c>
      <c r="D578" s="235">
        <f>A572-D577</f>
        <v>250</v>
      </c>
      <c r="E578" s="197">
        <v>0.055</v>
      </c>
      <c r="F578" s="352">
        <f>D578*E578</f>
        <v>13.75</v>
      </c>
      <c r="G578" s="167"/>
      <c r="H578" s="353" t="s">
        <v>85</v>
      </c>
      <c r="I578" s="376">
        <f>D578</f>
        <v>250</v>
      </c>
      <c r="J578" s="354">
        <v>0.055</v>
      </c>
      <c r="K578" s="355">
        <f>I578*J578</f>
        <v>13.75</v>
      </c>
      <c r="L578" s="179"/>
      <c r="M578" s="579"/>
      <c r="N578" s="580"/>
    </row>
    <row r="579" spans="1:14" ht="13.5" thickBot="1">
      <c r="A579" s="86"/>
      <c r="B579" s="31"/>
      <c r="C579" s="597"/>
      <c r="D579" s="598"/>
      <c r="E579" s="598"/>
      <c r="F579" s="599"/>
      <c r="G579" s="167"/>
      <c r="H579" s="598"/>
      <c r="I579" s="598"/>
      <c r="J579" s="598"/>
      <c r="K579" s="599"/>
      <c r="L579" s="31"/>
      <c r="M579" s="86"/>
      <c r="N579" s="202"/>
    </row>
    <row r="580" spans="1:14" ht="13.5" thickBot="1">
      <c r="A580" s="94"/>
      <c r="B580" s="148"/>
      <c r="C580" s="203" t="s">
        <v>200</v>
      </c>
      <c r="D580" s="204"/>
      <c r="E580" s="204"/>
      <c r="F580" s="189">
        <f>SUM(F576:F578,F575)</f>
        <v>97.30000000000001</v>
      </c>
      <c r="G580" s="206"/>
      <c r="H580" s="604" t="s">
        <v>201</v>
      </c>
      <c r="I580" s="604"/>
      <c r="J580" s="604"/>
      <c r="K580" s="189">
        <f>SUM(K575:K578)</f>
        <v>102.97939348828598</v>
      </c>
      <c r="L580" s="207"/>
      <c r="M580" s="190">
        <f>K580-F580</f>
        <v>5.679393488285967</v>
      </c>
      <c r="N580" s="191">
        <f>M580/F580</f>
        <v>0.05836992279841692</v>
      </c>
    </row>
    <row r="581" spans="1:14" ht="12.75">
      <c r="A581" s="12"/>
      <c r="D581" s="212"/>
      <c r="E581" s="10"/>
      <c r="F581" s="209"/>
      <c r="I581" s="10"/>
      <c r="J581" s="10"/>
      <c r="K581" s="210"/>
      <c r="L581" s="12"/>
      <c r="M581" s="12"/>
      <c r="N581" s="213"/>
    </row>
    <row r="582" spans="1:13" ht="15.75" thickBot="1">
      <c r="A582" s="214"/>
      <c r="B582" s="31"/>
      <c r="C582" s="133"/>
      <c r="D582" s="30"/>
      <c r="E582" s="30"/>
      <c r="F582" s="215"/>
      <c r="H582" s="133"/>
      <c r="I582" s="30"/>
      <c r="J582" s="30"/>
      <c r="K582" s="216"/>
      <c r="L582" s="216"/>
      <c r="M582" s="216"/>
    </row>
    <row r="583" spans="1:14" ht="60.75" thickBot="1">
      <c r="A583" s="168" t="s">
        <v>78</v>
      </c>
      <c r="B583" s="169"/>
      <c r="C583" s="569"/>
      <c r="D583" s="581" t="s">
        <v>12</v>
      </c>
      <c r="E583" s="583" t="s">
        <v>79</v>
      </c>
      <c r="F583" s="585" t="s">
        <v>182</v>
      </c>
      <c r="G583" s="166"/>
      <c r="H583" s="170"/>
      <c r="I583" s="581" t="s">
        <v>12</v>
      </c>
      <c r="J583" s="583" t="s">
        <v>79</v>
      </c>
      <c r="K583" s="585" t="s">
        <v>182</v>
      </c>
      <c r="L583" s="169"/>
      <c r="M583" s="600" t="s">
        <v>181</v>
      </c>
      <c r="N583" s="602" t="s">
        <v>80</v>
      </c>
    </row>
    <row r="584" spans="1:14" ht="13.5" thickBot="1">
      <c r="A584" s="171">
        <v>1500</v>
      </c>
      <c r="B584" s="31"/>
      <c r="C584" s="570"/>
      <c r="D584" s="582"/>
      <c r="E584" s="584"/>
      <c r="F584" s="586"/>
      <c r="G584" s="167"/>
      <c r="H584" s="31"/>
      <c r="I584" s="587"/>
      <c r="J584" s="588"/>
      <c r="K584" s="586"/>
      <c r="L584" s="32"/>
      <c r="M584" s="601"/>
      <c r="N584" s="603"/>
    </row>
    <row r="585" spans="1:14" ht="27.75" customHeight="1">
      <c r="A585" s="172"/>
      <c r="B585" s="31"/>
      <c r="C585" s="173" t="s">
        <v>21</v>
      </c>
      <c r="D585" s="174" t="s">
        <v>81</v>
      </c>
      <c r="E585" s="175" t="s">
        <v>81</v>
      </c>
      <c r="F585" s="234">
        <f>F573</f>
        <v>14.1</v>
      </c>
      <c r="G585" s="167"/>
      <c r="H585" s="177" t="s">
        <v>21</v>
      </c>
      <c r="I585" s="208" t="str">
        <f>D585</f>
        <v>N/A</v>
      </c>
      <c r="J585" s="178" t="s">
        <v>81</v>
      </c>
      <c r="K585" s="227">
        <f>+K573</f>
        <v>13.491499640108744</v>
      </c>
      <c r="L585" s="179"/>
      <c r="M585" s="575"/>
      <c r="N585" s="576"/>
    </row>
    <row r="586" spans="1:14" ht="25.5" customHeight="1" thickBot="1">
      <c r="A586" s="86"/>
      <c r="B586" s="31"/>
      <c r="C586" s="180" t="s">
        <v>82</v>
      </c>
      <c r="D586" s="181">
        <f>A584</f>
        <v>1500</v>
      </c>
      <c r="E586" s="182">
        <f>E574</f>
        <v>0.0103</v>
      </c>
      <c r="F586" s="352">
        <f>D586*E586</f>
        <v>15.450000000000001</v>
      </c>
      <c r="G586" s="167"/>
      <c r="H586" s="184" t="s">
        <v>82</v>
      </c>
      <c r="I586" s="185">
        <f>D586</f>
        <v>1500</v>
      </c>
      <c r="J586" s="228">
        <f>+J574</f>
        <v>0.016587893848177236</v>
      </c>
      <c r="K586" s="186">
        <f>I586*J586</f>
        <v>24.881840772265853</v>
      </c>
      <c r="L586" s="179"/>
      <c r="M586" s="577"/>
      <c r="N586" s="578"/>
    </row>
    <row r="587" spans="1:14" ht="13.5" thickBot="1">
      <c r="A587" s="86"/>
      <c r="B587" s="31"/>
      <c r="C587" s="605"/>
      <c r="D587" s="607"/>
      <c r="E587" s="187" t="s">
        <v>52</v>
      </c>
      <c r="F587" s="373">
        <f>SUM(F585:F586)</f>
        <v>29.55</v>
      </c>
      <c r="G587" s="167"/>
      <c r="H587" s="595"/>
      <c r="I587" s="596"/>
      <c r="J587" s="187" t="s">
        <v>83</v>
      </c>
      <c r="K587" s="189">
        <f>SUM(K585:K586)</f>
        <v>38.373340412374596</v>
      </c>
      <c r="L587" s="179"/>
      <c r="M587" s="190">
        <f>K587-F587</f>
        <v>8.823340412374595</v>
      </c>
      <c r="N587" s="191">
        <f>M587/F587</f>
        <v>0.2985902000803585</v>
      </c>
    </row>
    <row r="588" spans="1:14" ht="25.5">
      <c r="A588" s="86"/>
      <c r="B588" s="31"/>
      <c r="C588" s="180" t="s">
        <v>84</v>
      </c>
      <c r="D588" s="181">
        <f>A584</f>
        <v>1500</v>
      </c>
      <c r="E588" s="192">
        <v>0.0239</v>
      </c>
      <c r="F588" s="374">
        <f>D588*E588</f>
        <v>35.85</v>
      </c>
      <c r="G588" s="167"/>
      <c r="H588" s="184" t="s">
        <v>84</v>
      </c>
      <c r="I588" s="185">
        <f>D588</f>
        <v>1500</v>
      </c>
      <c r="J588" s="194">
        <f>E588</f>
        <v>0.0239</v>
      </c>
      <c r="K588" s="195">
        <f>F588</f>
        <v>35.85</v>
      </c>
      <c r="L588" s="179"/>
      <c r="M588" s="575"/>
      <c r="N588" s="576"/>
    </row>
    <row r="589" spans="1:14" ht="25.5">
      <c r="A589" s="86"/>
      <c r="B589" s="31"/>
      <c r="C589" s="196" t="s">
        <v>85</v>
      </c>
      <c r="D589" s="181">
        <v>750</v>
      </c>
      <c r="E589" s="197">
        <v>0.047</v>
      </c>
      <c r="F589" s="352">
        <f>D589*E589</f>
        <v>35.25</v>
      </c>
      <c r="G589" s="167"/>
      <c r="H589" s="196" t="s">
        <v>85</v>
      </c>
      <c r="I589" s="185">
        <f>D589</f>
        <v>750</v>
      </c>
      <c r="J589" s="197">
        <v>0.047</v>
      </c>
      <c r="K589" s="352">
        <f>I589*J589</f>
        <v>35.25</v>
      </c>
      <c r="L589" s="179"/>
      <c r="M589" s="579"/>
      <c r="N589" s="580"/>
    </row>
    <row r="590" spans="1:14" ht="26.25" thickBot="1">
      <c r="A590" s="86"/>
      <c r="B590" s="31"/>
      <c r="C590" s="196" t="s">
        <v>85</v>
      </c>
      <c r="D590" s="235">
        <f>A584-D589</f>
        <v>750</v>
      </c>
      <c r="E590" s="197">
        <v>0.055</v>
      </c>
      <c r="F590" s="352">
        <f>D590*E590</f>
        <v>41.25</v>
      </c>
      <c r="G590" s="167"/>
      <c r="H590" s="353" t="s">
        <v>85</v>
      </c>
      <c r="I590" s="376">
        <f>D590</f>
        <v>750</v>
      </c>
      <c r="J590" s="354">
        <v>0.055</v>
      </c>
      <c r="K590" s="355">
        <f>I590*J590</f>
        <v>41.25</v>
      </c>
      <c r="L590" s="179"/>
      <c r="M590" s="579"/>
      <c r="N590" s="580"/>
    </row>
    <row r="591" spans="1:14" ht="13.5" thickBot="1">
      <c r="A591" s="86"/>
      <c r="B591" s="31"/>
      <c r="C591" s="597"/>
      <c r="D591" s="598"/>
      <c r="E591" s="598"/>
      <c r="F591" s="599"/>
      <c r="G591" s="167"/>
      <c r="H591" s="598"/>
      <c r="I591" s="598"/>
      <c r="J591" s="598"/>
      <c r="K591" s="599"/>
      <c r="L591" s="31"/>
      <c r="M591" s="86"/>
      <c r="N591" s="202"/>
    </row>
    <row r="592" spans="1:14" ht="13.5" thickBot="1">
      <c r="A592" s="94"/>
      <c r="B592" s="148"/>
      <c r="C592" s="203" t="s">
        <v>200</v>
      </c>
      <c r="D592" s="204"/>
      <c r="E592" s="204"/>
      <c r="F592" s="189">
        <f>SUM(F588:F590,F587)</f>
        <v>141.9</v>
      </c>
      <c r="G592" s="206"/>
      <c r="H592" s="604" t="s">
        <v>201</v>
      </c>
      <c r="I592" s="604"/>
      <c r="J592" s="604"/>
      <c r="K592" s="189">
        <f>SUM(K587:K590)</f>
        <v>150.7233404123746</v>
      </c>
      <c r="L592" s="207"/>
      <c r="M592" s="190">
        <f>K592-F592</f>
        <v>8.823340412374591</v>
      </c>
      <c r="N592" s="191">
        <f>M592/F592</f>
        <v>0.06217998881166026</v>
      </c>
    </row>
    <row r="593" spans="1:14" ht="9" customHeight="1">
      <c r="A593" s="12"/>
      <c r="D593" s="212"/>
      <c r="E593" s="10"/>
      <c r="F593" s="209"/>
      <c r="I593" s="10"/>
      <c r="J593" s="10"/>
      <c r="K593" s="210"/>
      <c r="L593" s="12"/>
      <c r="M593" s="12"/>
      <c r="N593" s="213"/>
    </row>
    <row r="594" spans="1:13" ht="9" customHeight="1" thickBot="1">
      <c r="A594" s="214"/>
      <c r="B594" s="31"/>
      <c r="C594" s="133"/>
      <c r="D594" s="30"/>
      <c r="E594" s="30"/>
      <c r="F594" s="215"/>
      <c r="H594" s="133"/>
      <c r="I594" s="30"/>
      <c r="J594" s="30"/>
      <c r="K594" s="216"/>
      <c r="L594" s="216"/>
      <c r="M594" s="216"/>
    </row>
    <row r="595" spans="1:14" ht="60.75" thickBot="1">
      <c r="A595" s="168" t="s">
        <v>78</v>
      </c>
      <c r="B595" s="169"/>
      <c r="C595" s="569"/>
      <c r="D595" s="581" t="s">
        <v>12</v>
      </c>
      <c r="E595" s="583" t="s">
        <v>79</v>
      </c>
      <c r="F595" s="585" t="s">
        <v>182</v>
      </c>
      <c r="G595" s="166"/>
      <c r="H595" s="170"/>
      <c r="I595" s="581" t="s">
        <v>12</v>
      </c>
      <c r="J595" s="583" t="s">
        <v>79</v>
      </c>
      <c r="K595" s="585" t="s">
        <v>182</v>
      </c>
      <c r="L595" s="169"/>
      <c r="M595" s="600" t="s">
        <v>181</v>
      </c>
      <c r="N595" s="602" t="s">
        <v>80</v>
      </c>
    </row>
    <row r="596" spans="1:14" ht="13.5" thickBot="1">
      <c r="A596" s="171">
        <v>2000</v>
      </c>
      <c r="B596" s="31"/>
      <c r="C596" s="570"/>
      <c r="D596" s="582"/>
      <c r="E596" s="584"/>
      <c r="F596" s="586"/>
      <c r="G596" s="167"/>
      <c r="H596" s="31"/>
      <c r="I596" s="587"/>
      <c r="J596" s="588"/>
      <c r="K596" s="586"/>
      <c r="L596" s="32"/>
      <c r="M596" s="601"/>
      <c r="N596" s="603"/>
    </row>
    <row r="597" spans="1:14" ht="27" customHeight="1">
      <c r="A597" s="172"/>
      <c r="B597" s="31"/>
      <c r="C597" s="173" t="s">
        <v>21</v>
      </c>
      <c r="D597" s="174" t="s">
        <v>81</v>
      </c>
      <c r="E597" s="175" t="s">
        <v>81</v>
      </c>
      <c r="F597" s="234">
        <f>F585</f>
        <v>14.1</v>
      </c>
      <c r="G597" s="167"/>
      <c r="H597" s="177" t="s">
        <v>21</v>
      </c>
      <c r="I597" s="208" t="str">
        <f>D597</f>
        <v>N/A</v>
      </c>
      <c r="J597" s="178" t="s">
        <v>81</v>
      </c>
      <c r="K597" s="227">
        <f>+K585</f>
        <v>13.491499640108744</v>
      </c>
      <c r="L597" s="179"/>
      <c r="M597" s="575"/>
      <c r="N597" s="576"/>
    </row>
    <row r="598" spans="1:14" ht="29.25" customHeight="1" thickBot="1">
      <c r="A598" s="86"/>
      <c r="B598" s="31"/>
      <c r="C598" s="180" t="s">
        <v>82</v>
      </c>
      <c r="D598" s="181">
        <f>A596</f>
        <v>2000</v>
      </c>
      <c r="E598" s="182">
        <f>E586</f>
        <v>0.0103</v>
      </c>
      <c r="F598" s="352">
        <f>D598*E598</f>
        <v>20.6</v>
      </c>
      <c r="G598" s="167"/>
      <c r="H598" s="184" t="s">
        <v>82</v>
      </c>
      <c r="I598" s="185">
        <f>D598</f>
        <v>2000</v>
      </c>
      <c r="J598" s="228">
        <f>+J586</f>
        <v>0.016587893848177236</v>
      </c>
      <c r="K598" s="186">
        <f>I598*J598</f>
        <v>33.17578769635447</v>
      </c>
      <c r="L598" s="179"/>
      <c r="M598" s="577"/>
      <c r="N598" s="578"/>
    </row>
    <row r="599" spans="1:14" ht="13.5" customHeight="1" thickBot="1">
      <c r="A599" s="86"/>
      <c r="B599" s="31"/>
      <c r="C599" s="605"/>
      <c r="D599" s="607"/>
      <c r="E599" s="187" t="s">
        <v>52</v>
      </c>
      <c r="F599" s="373">
        <f>SUM(F597:F598)</f>
        <v>34.7</v>
      </c>
      <c r="G599" s="167"/>
      <c r="H599" s="595"/>
      <c r="I599" s="596"/>
      <c r="J599" s="187" t="s">
        <v>83</v>
      </c>
      <c r="K599" s="189">
        <f>SUM(K597:K598)</f>
        <v>46.66728733646321</v>
      </c>
      <c r="L599" s="179"/>
      <c r="M599" s="190">
        <f>K599-F599</f>
        <v>11.967287336463208</v>
      </c>
      <c r="N599" s="191">
        <f>M599/F599</f>
        <v>0.34487859759259964</v>
      </c>
    </row>
    <row r="600" spans="1:14" ht="25.5">
      <c r="A600" s="86"/>
      <c r="B600" s="31"/>
      <c r="C600" s="180" t="s">
        <v>84</v>
      </c>
      <c r="D600" s="181">
        <f>A596</f>
        <v>2000</v>
      </c>
      <c r="E600" s="192">
        <v>0.0239</v>
      </c>
      <c r="F600" s="374">
        <f>D600*E600</f>
        <v>47.800000000000004</v>
      </c>
      <c r="G600" s="167"/>
      <c r="H600" s="184" t="s">
        <v>84</v>
      </c>
      <c r="I600" s="185">
        <f>D600</f>
        <v>2000</v>
      </c>
      <c r="J600" s="194">
        <f>E600</f>
        <v>0.0239</v>
      </c>
      <c r="K600" s="195">
        <f>F600</f>
        <v>47.800000000000004</v>
      </c>
      <c r="L600" s="179"/>
      <c r="M600" s="575"/>
      <c r="N600" s="576"/>
    </row>
    <row r="601" spans="1:14" ht="25.5">
      <c r="A601" s="86"/>
      <c r="B601" s="31"/>
      <c r="C601" s="196" t="s">
        <v>85</v>
      </c>
      <c r="D601" s="181">
        <v>750</v>
      </c>
      <c r="E601" s="197">
        <v>0.047</v>
      </c>
      <c r="F601" s="352">
        <f>D601*E601</f>
        <v>35.25</v>
      </c>
      <c r="G601" s="167"/>
      <c r="H601" s="196" t="s">
        <v>85</v>
      </c>
      <c r="I601" s="185">
        <f>D601</f>
        <v>750</v>
      </c>
      <c r="J601" s="197">
        <v>0.047</v>
      </c>
      <c r="K601" s="352">
        <f>I601*J601</f>
        <v>35.25</v>
      </c>
      <c r="L601" s="179"/>
      <c r="M601" s="579"/>
      <c r="N601" s="580"/>
    </row>
    <row r="602" spans="1:14" ht="26.25" thickBot="1">
      <c r="A602" s="86"/>
      <c r="B602" s="31"/>
      <c r="C602" s="196" t="s">
        <v>85</v>
      </c>
      <c r="D602" s="235">
        <f>A596-D601</f>
        <v>1250</v>
      </c>
      <c r="E602" s="197">
        <v>0.055</v>
      </c>
      <c r="F602" s="352">
        <f>D602*E602</f>
        <v>68.75</v>
      </c>
      <c r="G602" s="167"/>
      <c r="H602" s="353" t="s">
        <v>85</v>
      </c>
      <c r="I602" s="376">
        <f>D602</f>
        <v>1250</v>
      </c>
      <c r="J602" s="354">
        <v>0.055</v>
      </c>
      <c r="K602" s="355">
        <f>I602*J602</f>
        <v>68.75</v>
      </c>
      <c r="L602" s="179"/>
      <c r="M602" s="579"/>
      <c r="N602" s="580"/>
    </row>
    <row r="603" spans="1:14" ht="13.5" thickBot="1">
      <c r="A603" s="86"/>
      <c r="B603" s="31"/>
      <c r="C603" s="597"/>
      <c r="D603" s="598"/>
      <c r="E603" s="598"/>
      <c r="F603" s="599"/>
      <c r="G603" s="167"/>
      <c r="H603" s="598"/>
      <c r="I603" s="598"/>
      <c r="J603" s="598"/>
      <c r="K603" s="599"/>
      <c r="L603" s="31"/>
      <c r="M603" s="86"/>
      <c r="N603" s="202"/>
    </row>
    <row r="604" spans="1:14" ht="13.5" thickBot="1">
      <c r="A604" s="94"/>
      <c r="B604" s="148"/>
      <c r="C604" s="203" t="s">
        <v>200</v>
      </c>
      <c r="D604" s="204"/>
      <c r="E604" s="204"/>
      <c r="F604" s="189">
        <f>SUM(F600:F602,F599)</f>
        <v>186.5</v>
      </c>
      <c r="G604" s="206"/>
      <c r="H604" s="604" t="s">
        <v>201</v>
      </c>
      <c r="I604" s="604"/>
      <c r="J604" s="604"/>
      <c r="K604" s="189">
        <f>SUM(K599:K602)</f>
        <v>198.46728733646322</v>
      </c>
      <c r="L604" s="207"/>
      <c r="M604" s="190">
        <f>K604-F604</f>
        <v>11.967287336463215</v>
      </c>
      <c r="N604" s="191">
        <f>M604/F604</f>
        <v>0.06416776051722904</v>
      </c>
    </row>
    <row r="607" spans="3:11" ht="18.75" customHeight="1">
      <c r="C607" s="497" t="s">
        <v>250</v>
      </c>
      <c r="D607" s="484"/>
      <c r="E607" s="160"/>
      <c r="F607" s="160"/>
      <c r="G607" s="31"/>
      <c r="K607" s="161"/>
    </row>
    <row r="608" spans="5:11" ht="9" customHeight="1" thickBot="1">
      <c r="E608" s="160"/>
      <c r="F608" s="160"/>
      <c r="G608" s="31"/>
      <c r="K608" s="161"/>
    </row>
    <row r="609" spans="1:14" ht="15.75" customHeight="1">
      <c r="A609" s="47"/>
      <c r="C609" s="589" t="s">
        <v>95</v>
      </c>
      <c r="D609" s="590"/>
      <c r="E609" s="590"/>
      <c r="F609" s="591"/>
      <c r="G609" s="166"/>
      <c r="H609" s="589" t="s">
        <v>96</v>
      </c>
      <c r="I609" s="590"/>
      <c r="J609" s="590"/>
      <c r="K609" s="590"/>
      <c r="L609" s="590"/>
      <c r="M609" s="590"/>
      <c r="N609" s="591"/>
    </row>
    <row r="610" spans="1:15" ht="13.5" customHeight="1" thickBot="1">
      <c r="A610"/>
      <c r="C610" s="592"/>
      <c r="D610" s="593"/>
      <c r="E610" s="593"/>
      <c r="F610" s="594"/>
      <c r="G610" s="167"/>
      <c r="H610" s="592"/>
      <c r="I610" s="593"/>
      <c r="J610" s="593"/>
      <c r="K610" s="593"/>
      <c r="L610" s="593"/>
      <c r="M610" s="593"/>
      <c r="N610" s="594"/>
      <c r="O610" s="31"/>
    </row>
    <row r="611" spans="1:14" ht="48.75" customHeight="1" thickBot="1">
      <c r="A611" s="168" t="s">
        <v>78</v>
      </c>
      <c r="B611" s="169"/>
      <c r="C611" s="569"/>
      <c r="D611" s="581" t="s">
        <v>12</v>
      </c>
      <c r="E611" s="583" t="s">
        <v>79</v>
      </c>
      <c r="F611" s="585" t="s">
        <v>182</v>
      </c>
      <c r="G611" s="166"/>
      <c r="H611" s="170"/>
      <c r="I611" s="581" t="s">
        <v>12</v>
      </c>
      <c r="J611" s="583" t="s">
        <v>79</v>
      </c>
      <c r="K611" s="585" t="s">
        <v>182</v>
      </c>
      <c r="L611" s="169"/>
      <c r="M611" s="600" t="s">
        <v>181</v>
      </c>
      <c r="N611" s="602" t="s">
        <v>80</v>
      </c>
    </row>
    <row r="612" spans="1:14" ht="13.5" thickBot="1">
      <c r="A612" s="171">
        <v>100</v>
      </c>
      <c r="B612" s="31"/>
      <c r="C612" s="570"/>
      <c r="D612" s="582"/>
      <c r="E612" s="584"/>
      <c r="F612" s="586"/>
      <c r="G612" s="167"/>
      <c r="H612" s="31"/>
      <c r="I612" s="587"/>
      <c r="J612" s="588"/>
      <c r="K612" s="586"/>
      <c r="L612" s="32"/>
      <c r="M612" s="601"/>
      <c r="N612" s="603"/>
    </row>
    <row r="613" spans="1:14" ht="25.5">
      <c r="A613" s="172"/>
      <c r="B613" s="31"/>
      <c r="C613" s="449" t="s">
        <v>21</v>
      </c>
      <c r="D613" s="174" t="s">
        <v>81</v>
      </c>
      <c r="E613" s="175" t="s">
        <v>81</v>
      </c>
      <c r="F613" s="234">
        <f>+'12. Current Rates'!D63</f>
        <v>7.55</v>
      </c>
      <c r="G613" s="167"/>
      <c r="H613" s="452" t="s">
        <v>21</v>
      </c>
      <c r="I613" s="174" t="s">
        <v>81</v>
      </c>
      <c r="J613" s="174" t="s">
        <v>81</v>
      </c>
      <c r="K613" s="234">
        <f>+'11. 2005 Final Rate Schedule '!F558</f>
        <v>7.057043226024896</v>
      </c>
      <c r="L613" s="179"/>
      <c r="M613" s="575"/>
      <c r="N613" s="576"/>
    </row>
    <row r="614" spans="1:14" ht="26.25" thickBot="1">
      <c r="A614" s="86"/>
      <c r="B614" s="31"/>
      <c r="C614" s="450" t="s">
        <v>82</v>
      </c>
      <c r="D614" s="235">
        <f>A612</f>
        <v>100</v>
      </c>
      <c r="E614" s="438">
        <f>+'12. Current Rates'!D61</f>
        <v>0.0087</v>
      </c>
      <c r="F614" s="352">
        <f>D614*E614</f>
        <v>0.8699999999999999</v>
      </c>
      <c r="G614" s="167"/>
      <c r="H614" s="453" t="s">
        <v>82</v>
      </c>
      <c r="I614" s="181">
        <f>D614</f>
        <v>100</v>
      </c>
      <c r="J614" s="444">
        <f>+'11. 2005 Final Rate Schedule '!F559</f>
        <v>0.008588133684912487</v>
      </c>
      <c r="K614" s="237">
        <f>I614*J614</f>
        <v>0.8588133684912488</v>
      </c>
      <c r="L614" s="179"/>
      <c r="M614" s="577"/>
      <c r="N614" s="578"/>
    </row>
    <row r="615" spans="1:14" ht="13.5" thickBot="1">
      <c r="A615" s="86"/>
      <c r="B615" s="31"/>
      <c r="C615" s="567"/>
      <c r="D615" s="568"/>
      <c r="E615" s="187" t="s">
        <v>52</v>
      </c>
      <c r="F615" s="373">
        <f>SUM(F613:F614)</f>
        <v>8.42</v>
      </c>
      <c r="G615" s="167"/>
      <c r="H615" s="595"/>
      <c r="I615" s="596"/>
      <c r="J615" s="187" t="s">
        <v>83</v>
      </c>
      <c r="K615" s="189">
        <f>SUM(K613:K614)</f>
        <v>7.9158565945161445</v>
      </c>
      <c r="L615" s="179"/>
      <c r="M615" s="190">
        <f>K615-F615</f>
        <v>-0.5041434054838554</v>
      </c>
      <c r="N615" s="191">
        <f>M615/F615</f>
        <v>-0.05987451371542225</v>
      </c>
    </row>
    <row r="616" spans="1:14" ht="27" customHeight="1">
      <c r="A616" s="86"/>
      <c r="B616" s="31"/>
      <c r="C616" s="450" t="s">
        <v>84</v>
      </c>
      <c r="D616" s="181">
        <f>A612</f>
        <v>100</v>
      </c>
      <c r="E616" s="439">
        <v>0.0239</v>
      </c>
      <c r="F616" s="374">
        <f>D616*E616</f>
        <v>2.39</v>
      </c>
      <c r="G616" s="167"/>
      <c r="H616" s="453" t="s">
        <v>84</v>
      </c>
      <c r="I616" s="181">
        <f aca="true" t="shared" si="28" ref="I616:K617">D616</f>
        <v>100</v>
      </c>
      <c r="J616" s="445">
        <f t="shared" si="28"/>
        <v>0.0239</v>
      </c>
      <c r="K616" s="239">
        <f t="shared" si="28"/>
        <v>2.39</v>
      </c>
      <c r="L616" s="179"/>
      <c r="M616" s="575"/>
      <c r="N616" s="576"/>
    </row>
    <row r="617" spans="1:14" ht="25.5" customHeight="1" thickBot="1">
      <c r="A617" s="86"/>
      <c r="B617" s="31"/>
      <c r="C617" s="451" t="s">
        <v>85</v>
      </c>
      <c r="D617" s="181">
        <f>A612</f>
        <v>100</v>
      </c>
      <c r="E617" s="440">
        <v>0.047</v>
      </c>
      <c r="F617" s="352">
        <f>D617*E617</f>
        <v>4.7</v>
      </c>
      <c r="G617" s="167"/>
      <c r="H617" s="454" t="s">
        <v>85</v>
      </c>
      <c r="I617" s="446">
        <f t="shared" si="28"/>
        <v>100</v>
      </c>
      <c r="J617" s="447">
        <f t="shared" si="28"/>
        <v>0.047</v>
      </c>
      <c r="K617" s="243">
        <f t="shared" si="28"/>
        <v>4.7</v>
      </c>
      <c r="L617" s="179"/>
      <c r="M617" s="579"/>
      <c r="N617" s="580"/>
    </row>
    <row r="618" spans="1:14" ht="7.5" customHeight="1" thickBot="1">
      <c r="A618" s="86"/>
      <c r="B618" s="31"/>
      <c r="C618" s="597"/>
      <c r="D618" s="598"/>
      <c r="E618" s="598"/>
      <c r="F618" s="599"/>
      <c r="G618" s="167"/>
      <c r="H618" s="598"/>
      <c r="I618" s="598"/>
      <c r="J618" s="598"/>
      <c r="K618" s="599"/>
      <c r="L618" s="31"/>
      <c r="M618" s="86"/>
      <c r="N618" s="202"/>
    </row>
    <row r="619" spans="1:14" ht="13.5" thickBot="1">
      <c r="A619" s="94"/>
      <c r="B619" s="148"/>
      <c r="C619" s="203" t="s">
        <v>200</v>
      </c>
      <c r="D619" s="204"/>
      <c r="E619" s="204"/>
      <c r="F619" s="189">
        <f>SUM(F616:F617,F615)</f>
        <v>15.51</v>
      </c>
      <c r="G619" s="206"/>
      <c r="H619" s="604" t="s">
        <v>201</v>
      </c>
      <c r="I619" s="604"/>
      <c r="J619" s="604"/>
      <c r="K619" s="189">
        <f>SUM(K615:K617)</f>
        <v>15.005856594516146</v>
      </c>
      <c r="L619" s="207"/>
      <c r="M619" s="190">
        <f>K619-F619</f>
        <v>-0.5041434054838536</v>
      </c>
      <c r="N619" s="191">
        <f>M619/F619</f>
        <v>-0.03250441041159598</v>
      </c>
    </row>
    <row r="620" ht="12.75">
      <c r="K620" s="161"/>
    </row>
    <row r="621" spans="6:11" ht="13.5" thickBot="1">
      <c r="F621" s="161"/>
      <c r="K621" s="161"/>
    </row>
    <row r="622" spans="1:14" ht="60.75" thickBot="1">
      <c r="A622" s="168" t="s">
        <v>78</v>
      </c>
      <c r="B622" s="169"/>
      <c r="C622" s="569"/>
      <c r="D622" s="581" t="s">
        <v>12</v>
      </c>
      <c r="E622" s="583" t="s">
        <v>79</v>
      </c>
      <c r="F622" s="585" t="s">
        <v>182</v>
      </c>
      <c r="G622" s="166"/>
      <c r="H622" s="170"/>
      <c r="I622" s="581" t="s">
        <v>12</v>
      </c>
      <c r="J622" s="583" t="s">
        <v>79</v>
      </c>
      <c r="K622" s="585">
        <f>+K613</f>
        <v>7.057043226024896</v>
      </c>
      <c r="L622" s="169"/>
      <c r="M622" s="600" t="s">
        <v>181</v>
      </c>
      <c r="N622" s="602" t="s">
        <v>80</v>
      </c>
    </row>
    <row r="623" spans="1:14" ht="13.5" thickBot="1">
      <c r="A623" s="171">
        <v>250</v>
      </c>
      <c r="B623" s="31"/>
      <c r="C623" s="570"/>
      <c r="D623" s="582"/>
      <c r="E623" s="584"/>
      <c r="F623" s="586"/>
      <c r="G623" s="167"/>
      <c r="H623" s="31"/>
      <c r="I623" s="587"/>
      <c r="J623" s="588"/>
      <c r="K623" s="586"/>
      <c r="L623" s="32"/>
      <c r="M623" s="601"/>
      <c r="N623" s="603"/>
    </row>
    <row r="624" spans="1:14" ht="25.5">
      <c r="A624" s="172"/>
      <c r="B624" s="31"/>
      <c r="C624" s="173" t="s">
        <v>21</v>
      </c>
      <c r="D624" s="174" t="s">
        <v>81</v>
      </c>
      <c r="E624" s="175" t="s">
        <v>81</v>
      </c>
      <c r="F624" s="234">
        <f>F613</f>
        <v>7.55</v>
      </c>
      <c r="G624" s="167"/>
      <c r="H624" s="177" t="s">
        <v>21</v>
      </c>
      <c r="I624" s="208" t="str">
        <f>D624</f>
        <v>N/A</v>
      </c>
      <c r="J624" s="178" t="s">
        <v>81</v>
      </c>
      <c r="K624" s="227">
        <f>+K613</f>
        <v>7.057043226024896</v>
      </c>
      <c r="L624" s="179"/>
      <c r="M624" s="575"/>
      <c r="N624" s="576"/>
    </row>
    <row r="625" spans="1:14" ht="26.25" thickBot="1">
      <c r="A625" s="86"/>
      <c r="B625" s="31"/>
      <c r="C625" s="180" t="s">
        <v>82</v>
      </c>
      <c r="D625" s="235">
        <f>A623</f>
        <v>250</v>
      </c>
      <c r="E625" s="182">
        <f>E614</f>
        <v>0.0087</v>
      </c>
      <c r="F625" s="352">
        <f>D625*E625</f>
        <v>2.175</v>
      </c>
      <c r="G625" s="167"/>
      <c r="H625" s="184" t="s">
        <v>82</v>
      </c>
      <c r="I625" s="185">
        <f>D625</f>
        <v>250</v>
      </c>
      <c r="J625" s="443">
        <f>+J614</f>
        <v>0.008588133684912487</v>
      </c>
      <c r="K625" s="186">
        <f>I625*J625</f>
        <v>2.1470334212281217</v>
      </c>
      <c r="L625" s="179"/>
      <c r="M625" s="577"/>
      <c r="N625" s="578"/>
    </row>
    <row r="626" spans="1:14" ht="24.75" customHeight="1" thickBot="1">
      <c r="A626" s="86"/>
      <c r="B626" s="31"/>
      <c r="C626" s="605"/>
      <c r="D626" s="607"/>
      <c r="E626" s="187" t="s">
        <v>52</v>
      </c>
      <c r="F626" s="373">
        <f>SUM(F624:F625)</f>
        <v>9.725</v>
      </c>
      <c r="G626" s="167"/>
      <c r="H626" s="595"/>
      <c r="I626" s="596"/>
      <c r="J626" s="187" t="s">
        <v>83</v>
      </c>
      <c r="K626" s="189">
        <f>SUM(K624:K625)</f>
        <v>9.204076647253018</v>
      </c>
      <c r="L626" s="179"/>
      <c r="M626" s="190">
        <f>K626-F626</f>
        <v>-0.5209233527469816</v>
      </c>
      <c r="N626" s="191">
        <f>M626/F626</f>
        <v>-0.05356538331588501</v>
      </c>
    </row>
    <row r="627" spans="1:14" ht="27" customHeight="1">
      <c r="A627" s="86"/>
      <c r="B627" s="31"/>
      <c r="C627" s="180" t="s">
        <v>84</v>
      </c>
      <c r="D627" s="181">
        <f>A623</f>
        <v>250</v>
      </c>
      <c r="E627" s="439">
        <v>0.0239</v>
      </c>
      <c r="F627" s="374">
        <f>D627*E627</f>
        <v>5.9750000000000005</v>
      </c>
      <c r="G627" s="167"/>
      <c r="H627" s="184" t="s">
        <v>84</v>
      </c>
      <c r="I627" s="185">
        <f aca="true" t="shared" si="29" ref="I627:K628">D627</f>
        <v>250</v>
      </c>
      <c r="J627" s="441">
        <f t="shared" si="29"/>
        <v>0.0239</v>
      </c>
      <c r="K627" s="195">
        <f t="shared" si="29"/>
        <v>5.9750000000000005</v>
      </c>
      <c r="L627" s="179"/>
      <c r="M627" s="575"/>
      <c r="N627" s="576"/>
    </row>
    <row r="628" spans="1:14" ht="26.25" thickBot="1">
      <c r="A628" s="86"/>
      <c r="B628" s="31"/>
      <c r="C628" s="196" t="s">
        <v>85</v>
      </c>
      <c r="D628" s="181">
        <f>A623</f>
        <v>250</v>
      </c>
      <c r="E628" s="440">
        <v>0.047</v>
      </c>
      <c r="F628" s="352">
        <f>D628*E628</f>
        <v>11.75</v>
      </c>
      <c r="G628" s="167"/>
      <c r="H628" s="198" t="s">
        <v>85</v>
      </c>
      <c r="I628" s="199">
        <f t="shared" si="29"/>
        <v>250</v>
      </c>
      <c r="J628" s="442">
        <f t="shared" si="29"/>
        <v>0.047</v>
      </c>
      <c r="K628" s="201">
        <f t="shared" si="29"/>
        <v>11.75</v>
      </c>
      <c r="L628" s="179"/>
      <c r="M628" s="579"/>
      <c r="N628" s="580"/>
    </row>
    <row r="629" spans="1:14" ht="13.5" thickBot="1">
      <c r="A629" s="86"/>
      <c r="B629" s="31"/>
      <c r="C629" s="597"/>
      <c r="D629" s="598"/>
      <c r="E629" s="598"/>
      <c r="F629" s="599"/>
      <c r="G629" s="167"/>
      <c r="H629" s="598"/>
      <c r="I629" s="598"/>
      <c r="J629" s="598"/>
      <c r="K629" s="599"/>
      <c r="L629" s="31"/>
      <c r="M629" s="86"/>
      <c r="N629" s="202"/>
    </row>
    <row r="630" spans="1:14" ht="13.5" thickBot="1">
      <c r="A630" s="94"/>
      <c r="B630" s="148"/>
      <c r="C630" s="203" t="s">
        <v>200</v>
      </c>
      <c r="D630" s="204"/>
      <c r="E630" s="204"/>
      <c r="F630" s="189">
        <f>SUM(F627:F628,F626)</f>
        <v>27.450000000000003</v>
      </c>
      <c r="G630" s="206"/>
      <c r="H630" s="604" t="s">
        <v>201</v>
      </c>
      <c r="I630" s="604"/>
      <c r="J630" s="604"/>
      <c r="K630" s="189">
        <f>SUM(K626:K628)</f>
        <v>26.92907664725302</v>
      </c>
      <c r="L630" s="207"/>
      <c r="M630" s="190">
        <f>K630-F630</f>
        <v>-0.5209233527469834</v>
      </c>
      <c r="N630" s="191">
        <f>M630/F630</f>
        <v>-0.018977171320472982</v>
      </c>
    </row>
    <row r="631" ht="12.75">
      <c r="K631" s="161"/>
    </row>
    <row r="632" spans="1:14" ht="11.25" customHeight="1" thickBot="1">
      <c r="A632" s="47"/>
      <c r="B632" s="12"/>
      <c r="D632" s="10"/>
      <c r="E632" s="10"/>
      <c r="F632" s="209"/>
      <c r="I632" s="10"/>
      <c r="J632" s="10"/>
      <c r="K632" s="210"/>
      <c r="L632" s="12"/>
      <c r="M632" s="12"/>
      <c r="N632" s="211"/>
    </row>
    <row r="633" spans="1:14" ht="60.75" thickBot="1">
      <c r="A633" s="168" t="s">
        <v>78</v>
      </c>
      <c r="B633" s="169"/>
      <c r="C633" s="608"/>
      <c r="D633" s="581" t="s">
        <v>12</v>
      </c>
      <c r="E633" s="583" t="s">
        <v>79</v>
      </c>
      <c r="F633" s="585" t="s">
        <v>182</v>
      </c>
      <c r="G633" s="166"/>
      <c r="H633" s="170"/>
      <c r="I633" s="581" t="s">
        <v>12</v>
      </c>
      <c r="J633" s="583" t="s">
        <v>79</v>
      </c>
      <c r="K633" s="585" t="s">
        <v>182</v>
      </c>
      <c r="L633" s="169"/>
      <c r="M633" s="600" t="s">
        <v>181</v>
      </c>
      <c r="N633" s="602" t="s">
        <v>80</v>
      </c>
    </row>
    <row r="634" spans="1:14" ht="13.5" thickBot="1">
      <c r="A634" s="171">
        <v>500</v>
      </c>
      <c r="B634" s="31"/>
      <c r="C634" s="609"/>
      <c r="D634" s="582"/>
      <c r="E634" s="584"/>
      <c r="F634" s="586"/>
      <c r="G634" s="167"/>
      <c r="H634" s="31"/>
      <c r="I634" s="587"/>
      <c r="J634" s="588"/>
      <c r="K634" s="586"/>
      <c r="L634" s="32"/>
      <c r="M634" s="601"/>
      <c r="N634" s="603"/>
    </row>
    <row r="635" spans="1:14" ht="25.5">
      <c r="A635" s="172"/>
      <c r="B635" s="31"/>
      <c r="C635" s="173" t="s">
        <v>21</v>
      </c>
      <c r="D635" s="174" t="s">
        <v>81</v>
      </c>
      <c r="E635" s="175" t="s">
        <v>81</v>
      </c>
      <c r="F635" s="234">
        <f>F624</f>
        <v>7.55</v>
      </c>
      <c r="G635" s="167"/>
      <c r="H635" s="177" t="s">
        <v>21</v>
      </c>
      <c r="I635" s="208" t="str">
        <f>D635</f>
        <v>N/A</v>
      </c>
      <c r="J635" s="178" t="s">
        <v>81</v>
      </c>
      <c r="K635" s="227">
        <f>+K624</f>
        <v>7.057043226024896</v>
      </c>
      <c r="L635" s="179"/>
      <c r="M635" s="575"/>
      <c r="N635" s="576"/>
    </row>
    <row r="636" spans="1:14" ht="25.5" customHeight="1" thickBot="1">
      <c r="A636" s="86"/>
      <c r="B636" s="31"/>
      <c r="C636" s="180" t="s">
        <v>82</v>
      </c>
      <c r="D636" s="235">
        <f>A634</f>
        <v>500</v>
      </c>
      <c r="E636" s="182">
        <f>E625</f>
        <v>0.0087</v>
      </c>
      <c r="F636" s="352">
        <f>D636*E636</f>
        <v>4.35</v>
      </c>
      <c r="G636" s="167"/>
      <c r="H636" s="184" t="s">
        <v>82</v>
      </c>
      <c r="I636" s="375">
        <f>D636</f>
        <v>500</v>
      </c>
      <c r="J636" s="443">
        <f>+J625</f>
        <v>0.008588133684912487</v>
      </c>
      <c r="K636" s="186">
        <f>I636*J636</f>
        <v>4.294066842456243</v>
      </c>
      <c r="L636" s="179"/>
      <c r="M636" s="577"/>
      <c r="N636" s="578"/>
    </row>
    <row r="637" spans="1:14" ht="13.5" thickBot="1">
      <c r="A637" s="86"/>
      <c r="B637" s="31"/>
      <c r="C637" s="605"/>
      <c r="D637" s="606"/>
      <c r="E637" s="187" t="s">
        <v>52</v>
      </c>
      <c r="F637" s="373">
        <f>SUM(F635:F636)</f>
        <v>11.899999999999999</v>
      </c>
      <c r="G637" s="167"/>
      <c r="H637" s="595"/>
      <c r="I637" s="596"/>
      <c r="J637" s="187" t="s">
        <v>83</v>
      </c>
      <c r="K637" s="189">
        <f>SUM(K635:K636)</f>
        <v>11.35111006848114</v>
      </c>
      <c r="L637" s="179"/>
      <c r="M637" s="190">
        <f>K637-F637</f>
        <v>-0.5488899315188593</v>
      </c>
      <c r="N637" s="191">
        <f>M637/F637</f>
        <v>-0.04612520432931592</v>
      </c>
    </row>
    <row r="638" spans="1:14" ht="25.5">
      <c r="A638" s="86"/>
      <c r="B638" s="31"/>
      <c r="C638" s="180" t="s">
        <v>84</v>
      </c>
      <c r="D638" s="181">
        <f>A634</f>
        <v>500</v>
      </c>
      <c r="E638" s="439">
        <v>0.0239</v>
      </c>
      <c r="F638" s="374">
        <f>D638*E638</f>
        <v>11.950000000000001</v>
      </c>
      <c r="G638" s="167"/>
      <c r="H638" s="184" t="s">
        <v>84</v>
      </c>
      <c r="I638" s="185">
        <f aca="true" t="shared" si="30" ref="I638:K639">D638</f>
        <v>500</v>
      </c>
      <c r="J638" s="441">
        <f t="shared" si="30"/>
        <v>0.0239</v>
      </c>
      <c r="K638" s="195">
        <f t="shared" si="30"/>
        <v>11.950000000000001</v>
      </c>
      <c r="L638" s="179"/>
      <c r="M638" s="575"/>
      <c r="N638" s="576"/>
    </row>
    <row r="639" spans="1:14" ht="26.25" thickBot="1">
      <c r="A639" s="86"/>
      <c r="B639" s="31"/>
      <c r="C639" s="196" t="s">
        <v>85</v>
      </c>
      <c r="D639" s="181">
        <f>A634</f>
        <v>500</v>
      </c>
      <c r="E639" s="440">
        <v>0.047</v>
      </c>
      <c r="F639" s="352">
        <f>D639*E639</f>
        <v>23.5</v>
      </c>
      <c r="G639" s="167"/>
      <c r="H639" s="198" t="s">
        <v>85</v>
      </c>
      <c r="I639" s="199">
        <f t="shared" si="30"/>
        <v>500</v>
      </c>
      <c r="J639" s="442">
        <f t="shared" si="30"/>
        <v>0.047</v>
      </c>
      <c r="K639" s="201">
        <f t="shared" si="30"/>
        <v>23.5</v>
      </c>
      <c r="L639" s="179"/>
      <c r="M639" s="579"/>
      <c r="N639" s="580"/>
    </row>
    <row r="640" spans="1:14" ht="13.5" thickBot="1">
      <c r="A640" s="86"/>
      <c r="B640" s="31"/>
      <c r="C640" s="597"/>
      <c r="D640" s="598"/>
      <c r="E640" s="598"/>
      <c r="F640" s="599"/>
      <c r="G640" s="167"/>
      <c r="H640" s="598"/>
      <c r="I640" s="598"/>
      <c r="J640" s="598"/>
      <c r="K640" s="599"/>
      <c r="L640" s="31"/>
      <c r="M640" s="86"/>
      <c r="N640" s="202"/>
    </row>
    <row r="641" spans="1:14" ht="13.5" thickBot="1">
      <c r="A641" s="94"/>
      <c r="B641" s="148"/>
      <c r="C641" s="203" t="s">
        <v>200</v>
      </c>
      <c r="D641" s="204"/>
      <c r="E641" s="204"/>
      <c r="F641" s="189">
        <f>SUM(F638:F639,F637)</f>
        <v>47.35</v>
      </c>
      <c r="G641" s="206"/>
      <c r="H641" s="604" t="s">
        <v>201</v>
      </c>
      <c r="I641" s="604"/>
      <c r="J641" s="604"/>
      <c r="K641" s="189">
        <f>SUM(K637:K639)</f>
        <v>46.80111006848114</v>
      </c>
      <c r="L641" s="207"/>
      <c r="M641" s="190">
        <f>K641-F641</f>
        <v>-0.5488899315188647</v>
      </c>
      <c r="N641" s="191">
        <f>M641/F641</f>
        <v>-0.011592184403777501</v>
      </c>
    </row>
    <row r="642" spans="1:14" ht="15">
      <c r="A642" s="47"/>
      <c r="B642" s="12"/>
      <c r="D642" s="10"/>
      <c r="E642" s="10"/>
      <c r="F642" s="209"/>
      <c r="I642" s="10"/>
      <c r="J642" s="10"/>
      <c r="K642" s="210"/>
      <c r="L642" s="12"/>
      <c r="M642" s="12"/>
      <c r="N642" s="211"/>
    </row>
    <row r="643" spans="1:14" ht="13.5" thickBot="1">
      <c r="A643" s="12"/>
      <c r="C643" s="497" t="s">
        <v>250</v>
      </c>
      <c r="D643" s="484"/>
      <c r="E643" s="10"/>
      <c r="F643" s="209"/>
      <c r="I643" s="10"/>
      <c r="J643" s="10"/>
      <c r="K643" s="210"/>
      <c r="L643" s="12"/>
      <c r="M643" s="12"/>
      <c r="N643" s="213"/>
    </row>
    <row r="644" spans="1:14" ht="60.75" thickBot="1">
      <c r="A644" s="168" t="s">
        <v>78</v>
      </c>
      <c r="B644" s="169"/>
      <c r="C644" s="569"/>
      <c r="D644" s="581" t="s">
        <v>12</v>
      </c>
      <c r="E644" s="583" t="s">
        <v>79</v>
      </c>
      <c r="F644" s="585" t="s">
        <v>182</v>
      </c>
      <c r="G644" s="166"/>
      <c r="H644" s="170"/>
      <c r="I644" s="581" t="s">
        <v>12</v>
      </c>
      <c r="J644" s="583" t="s">
        <v>79</v>
      </c>
      <c r="K644" s="585" t="s">
        <v>182</v>
      </c>
      <c r="L644" s="169"/>
      <c r="M644" s="600" t="s">
        <v>181</v>
      </c>
      <c r="N644" s="602" t="s">
        <v>80</v>
      </c>
    </row>
    <row r="645" spans="1:14" ht="13.5" thickBot="1">
      <c r="A645" s="171">
        <v>750</v>
      </c>
      <c r="B645" s="31"/>
      <c r="C645" s="570"/>
      <c r="D645" s="582"/>
      <c r="E645" s="584"/>
      <c r="F645" s="586"/>
      <c r="G645" s="167"/>
      <c r="H645" s="31"/>
      <c r="I645" s="587"/>
      <c r="J645" s="588"/>
      <c r="K645" s="586"/>
      <c r="L645" s="32"/>
      <c r="M645" s="601"/>
      <c r="N645" s="603"/>
    </row>
    <row r="646" spans="1:14" ht="26.25" customHeight="1">
      <c r="A646" s="172"/>
      <c r="B646" s="31"/>
      <c r="C646" s="173" t="s">
        <v>21</v>
      </c>
      <c r="D646" s="174" t="s">
        <v>81</v>
      </c>
      <c r="E646" s="175" t="s">
        <v>81</v>
      </c>
      <c r="F646" s="234">
        <f>F635</f>
        <v>7.55</v>
      </c>
      <c r="G646" s="167"/>
      <c r="H646" s="177" t="s">
        <v>21</v>
      </c>
      <c r="I646" s="208" t="str">
        <f>D646</f>
        <v>N/A</v>
      </c>
      <c r="J646" s="178" t="s">
        <v>81</v>
      </c>
      <c r="K646" s="227">
        <f>+K635</f>
        <v>7.057043226024896</v>
      </c>
      <c r="L646" s="179"/>
      <c r="M646" s="575"/>
      <c r="N646" s="576"/>
    </row>
    <row r="647" spans="1:14" ht="26.25" customHeight="1" thickBot="1">
      <c r="A647" s="86"/>
      <c r="B647" s="31"/>
      <c r="C647" s="180" t="s">
        <v>82</v>
      </c>
      <c r="D647" s="235">
        <f>A645</f>
        <v>750</v>
      </c>
      <c r="E647" s="182">
        <f>E636</f>
        <v>0.0087</v>
      </c>
      <c r="F647" s="352">
        <f>D647*E647</f>
        <v>6.5249999999999995</v>
      </c>
      <c r="G647" s="167"/>
      <c r="H647" s="184" t="s">
        <v>82</v>
      </c>
      <c r="I647" s="375">
        <f>D647</f>
        <v>750</v>
      </c>
      <c r="J647" s="228">
        <f>+J636</f>
        <v>0.008588133684912487</v>
      </c>
      <c r="K647" s="186">
        <f>I647*J647</f>
        <v>6.4411002636843655</v>
      </c>
      <c r="L647" s="179"/>
      <c r="M647" s="577"/>
      <c r="N647" s="578"/>
    </row>
    <row r="648" spans="1:14" ht="13.5" thickBot="1">
      <c r="A648" s="86"/>
      <c r="B648" s="31"/>
      <c r="C648" s="605"/>
      <c r="D648" s="607"/>
      <c r="E648" s="187" t="s">
        <v>52</v>
      </c>
      <c r="F648" s="373">
        <f>SUM(F646:F647)</f>
        <v>14.075</v>
      </c>
      <c r="G648" s="167"/>
      <c r="H648" s="595"/>
      <c r="I648" s="596"/>
      <c r="J648" s="187" t="s">
        <v>83</v>
      </c>
      <c r="K648" s="189">
        <f>SUM(K646:K647)</f>
        <v>13.49814348970926</v>
      </c>
      <c r="L648" s="179"/>
      <c r="M648" s="190">
        <f>K648-F648</f>
        <v>-0.5768565102907388</v>
      </c>
      <c r="N648" s="191">
        <f>M648/F648</f>
        <v>-0.040984476752450365</v>
      </c>
    </row>
    <row r="649" spans="1:14" ht="25.5">
      <c r="A649" s="86"/>
      <c r="B649" s="31"/>
      <c r="C649" s="180" t="s">
        <v>84</v>
      </c>
      <c r="D649" s="181">
        <f>A645</f>
        <v>750</v>
      </c>
      <c r="E649" s="192">
        <v>0.0239</v>
      </c>
      <c r="F649" s="374">
        <f>D649*E649</f>
        <v>17.925</v>
      </c>
      <c r="G649" s="167"/>
      <c r="H649" s="184" t="s">
        <v>84</v>
      </c>
      <c r="I649" s="185">
        <f aca="true" t="shared" si="31" ref="I649:K650">D649</f>
        <v>750</v>
      </c>
      <c r="J649" s="194">
        <f t="shared" si="31"/>
        <v>0.0239</v>
      </c>
      <c r="K649" s="195">
        <f t="shared" si="31"/>
        <v>17.925</v>
      </c>
      <c r="L649" s="179"/>
      <c r="M649" s="575"/>
      <c r="N649" s="576"/>
    </row>
    <row r="650" spans="1:14" ht="26.25" thickBot="1">
      <c r="A650" s="86"/>
      <c r="B650" s="31"/>
      <c r="C650" s="196" t="s">
        <v>85</v>
      </c>
      <c r="D650" s="181">
        <f>A645</f>
        <v>750</v>
      </c>
      <c r="E650" s="197">
        <v>0.047</v>
      </c>
      <c r="F650" s="352">
        <f>D650*E650</f>
        <v>35.25</v>
      </c>
      <c r="G650" s="167"/>
      <c r="H650" s="198" t="s">
        <v>85</v>
      </c>
      <c r="I650" s="199">
        <f t="shared" si="31"/>
        <v>750</v>
      </c>
      <c r="J650" s="200">
        <f t="shared" si="31"/>
        <v>0.047</v>
      </c>
      <c r="K650" s="201">
        <f t="shared" si="31"/>
        <v>35.25</v>
      </c>
      <c r="L650" s="179"/>
      <c r="M650" s="579"/>
      <c r="N650" s="580"/>
    </row>
    <row r="651" spans="1:14" ht="13.5" thickBot="1">
      <c r="A651" s="86"/>
      <c r="B651" s="31"/>
      <c r="C651" s="597"/>
      <c r="D651" s="598"/>
      <c r="E651" s="598"/>
      <c r="F651" s="599"/>
      <c r="G651" s="167"/>
      <c r="H651" s="598"/>
      <c r="I651" s="598"/>
      <c r="J651" s="598"/>
      <c r="K651" s="599"/>
      <c r="L651" s="31"/>
      <c r="M651" s="86"/>
      <c r="N651" s="202"/>
    </row>
    <row r="652" spans="1:14" ht="13.5" thickBot="1">
      <c r="A652" s="94"/>
      <c r="B652" s="148"/>
      <c r="C652" s="203" t="s">
        <v>200</v>
      </c>
      <c r="D652" s="204"/>
      <c r="E652" s="204"/>
      <c r="F652" s="189">
        <f>SUM(F649:F650,F648)</f>
        <v>67.25</v>
      </c>
      <c r="G652" s="206"/>
      <c r="H652" s="604" t="s">
        <v>201</v>
      </c>
      <c r="I652" s="604"/>
      <c r="J652" s="604"/>
      <c r="K652" s="189">
        <f>SUM(K648:K650)</f>
        <v>66.67314348970926</v>
      </c>
      <c r="L652" s="207"/>
      <c r="M652" s="190">
        <f>K652-F652</f>
        <v>-0.5768565102907388</v>
      </c>
      <c r="N652" s="191">
        <f>M652/F652</f>
        <v>-0.008577791974583476</v>
      </c>
    </row>
    <row r="653" spans="1:14" ht="10.5" customHeight="1">
      <c r="A653" s="12"/>
      <c r="D653" s="212"/>
      <c r="E653" s="10"/>
      <c r="F653" s="209"/>
      <c r="I653" s="10"/>
      <c r="J653" s="10"/>
      <c r="K653" s="210"/>
      <c r="L653" s="12"/>
      <c r="M653" s="12"/>
      <c r="N653" s="213"/>
    </row>
    <row r="654" spans="1:13" ht="10.5" customHeight="1" thickBot="1">
      <c r="A654" s="214"/>
      <c r="B654" s="31"/>
      <c r="C654" s="133"/>
      <c r="D654" s="30"/>
      <c r="E654" s="30"/>
      <c r="F654" s="215"/>
      <c r="H654" s="133"/>
      <c r="I654" s="30"/>
      <c r="J654" s="30"/>
      <c r="K654" s="216"/>
      <c r="L654" s="216"/>
      <c r="M654" s="216"/>
    </row>
    <row r="655" spans="1:14" ht="60.75" thickBot="1">
      <c r="A655" s="168" t="s">
        <v>78</v>
      </c>
      <c r="B655" s="169"/>
      <c r="C655" s="569"/>
      <c r="D655" s="581" t="s">
        <v>12</v>
      </c>
      <c r="E655" s="583" t="s">
        <v>79</v>
      </c>
      <c r="F655" s="585" t="s">
        <v>182</v>
      </c>
      <c r="G655" s="166"/>
      <c r="H655" s="170"/>
      <c r="I655" s="581" t="s">
        <v>12</v>
      </c>
      <c r="J655" s="583" t="s">
        <v>79</v>
      </c>
      <c r="K655" s="585" t="s">
        <v>182</v>
      </c>
      <c r="L655" s="169"/>
      <c r="M655" s="600" t="s">
        <v>181</v>
      </c>
      <c r="N655" s="602" t="s">
        <v>80</v>
      </c>
    </row>
    <row r="656" spans="1:14" ht="13.5" thickBot="1">
      <c r="A656" s="171">
        <v>1000</v>
      </c>
      <c r="B656" s="31"/>
      <c r="C656" s="570"/>
      <c r="D656" s="582"/>
      <c r="E656" s="584"/>
      <c r="F656" s="586"/>
      <c r="G656" s="167"/>
      <c r="H656" s="31"/>
      <c r="I656" s="587"/>
      <c r="J656" s="588"/>
      <c r="K656" s="586"/>
      <c r="L656" s="32"/>
      <c r="M656" s="601"/>
      <c r="N656" s="603"/>
    </row>
    <row r="657" spans="1:14" ht="26.25" customHeight="1">
      <c r="A657" s="172"/>
      <c r="B657" s="31"/>
      <c r="C657" s="173" t="s">
        <v>21</v>
      </c>
      <c r="D657" s="174" t="s">
        <v>81</v>
      </c>
      <c r="E657" s="175" t="s">
        <v>81</v>
      </c>
      <c r="F657" s="234">
        <f>F646</f>
        <v>7.55</v>
      </c>
      <c r="G657" s="167"/>
      <c r="H657" s="173" t="s">
        <v>21</v>
      </c>
      <c r="I657" s="208" t="str">
        <f>D657</f>
        <v>N/A</v>
      </c>
      <c r="J657" s="178" t="s">
        <v>81</v>
      </c>
      <c r="K657" s="227">
        <f>+K646</f>
        <v>7.057043226024896</v>
      </c>
      <c r="L657" s="179"/>
      <c r="M657" s="575"/>
      <c r="N657" s="576"/>
    </row>
    <row r="658" spans="1:14" ht="24" customHeight="1" thickBot="1">
      <c r="A658" s="86"/>
      <c r="B658" s="31"/>
      <c r="C658" s="180" t="s">
        <v>82</v>
      </c>
      <c r="D658" s="181">
        <f>A656</f>
        <v>1000</v>
      </c>
      <c r="E658" s="182">
        <f>E647</f>
        <v>0.0087</v>
      </c>
      <c r="F658" s="352">
        <f>D658*E658</f>
        <v>8.7</v>
      </c>
      <c r="G658" s="167"/>
      <c r="H658" s="180" t="s">
        <v>82</v>
      </c>
      <c r="I658" s="185">
        <f>D658</f>
        <v>1000</v>
      </c>
      <c r="J658" s="228">
        <f>+J647</f>
        <v>0.008588133684912487</v>
      </c>
      <c r="K658" s="186">
        <f>I658*J658</f>
        <v>8.588133684912487</v>
      </c>
      <c r="L658" s="179"/>
      <c r="M658" s="577"/>
      <c r="N658" s="578"/>
    </row>
    <row r="659" spans="1:14" ht="13.5" thickBot="1">
      <c r="A659" s="86"/>
      <c r="B659" s="31"/>
      <c r="C659" s="605"/>
      <c r="D659" s="607"/>
      <c r="E659" s="187" t="s">
        <v>52</v>
      </c>
      <c r="F659" s="373">
        <f>SUM(F657:F658)</f>
        <v>16.25</v>
      </c>
      <c r="G659" s="167"/>
      <c r="H659" s="610"/>
      <c r="I659" s="596"/>
      <c r="J659" s="187" t="s">
        <v>83</v>
      </c>
      <c r="K659" s="189">
        <f>SUM(K657:K658)</f>
        <v>15.645176910937383</v>
      </c>
      <c r="L659" s="179"/>
      <c r="M659" s="190">
        <f>K659-F659</f>
        <v>-0.6048230890626165</v>
      </c>
      <c r="N659" s="191">
        <f>M659/F659</f>
        <v>-0.03721988240385332</v>
      </c>
    </row>
    <row r="660" spans="1:14" ht="25.5">
      <c r="A660" s="86"/>
      <c r="B660" s="31"/>
      <c r="C660" s="180" t="s">
        <v>84</v>
      </c>
      <c r="D660" s="181">
        <f>A656</f>
        <v>1000</v>
      </c>
      <c r="E660" s="192">
        <v>0.0239</v>
      </c>
      <c r="F660" s="374">
        <f>D660*E660</f>
        <v>23.900000000000002</v>
      </c>
      <c r="G660" s="167"/>
      <c r="H660" s="180" t="s">
        <v>84</v>
      </c>
      <c r="I660" s="185">
        <f>D660</f>
        <v>1000</v>
      </c>
      <c r="J660" s="194">
        <f>E660</f>
        <v>0.0239</v>
      </c>
      <c r="K660" s="195">
        <f>F660</f>
        <v>23.900000000000002</v>
      </c>
      <c r="L660" s="179"/>
      <c r="M660" s="575"/>
      <c r="N660" s="576"/>
    </row>
    <row r="661" spans="1:14" ht="25.5">
      <c r="A661" s="86"/>
      <c r="B661" s="31"/>
      <c r="C661" s="196" t="s">
        <v>85</v>
      </c>
      <c r="D661" s="181">
        <v>750</v>
      </c>
      <c r="E661" s="197">
        <v>0.047</v>
      </c>
      <c r="F661" s="352">
        <f>D661*E661</f>
        <v>35.25</v>
      </c>
      <c r="G661" s="167"/>
      <c r="H661" s="196" t="s">
        <v>85</v>
      </c>
      <c r="I661" s="181">
        <f>D661</f>
        <v>750</v>
      </c>
      <c r="J661" s="197">
        <v>0.047</v>
      </c>
      <c r="K661" s="352">
        <f>I661*J661</f>
        <v>35.25</v>
      </c>
      <c r="L661" s="179"/>
      <c r="M661" s="579"/>
      <c r="N661" s="580"/>
    </row>
    <row r="662" spans="1:14" ht="26.25" thickBot="1">
      <c r="A662" s="86"/>
      <c r="B662" s="31"/>
      <c r="C662" s="196" t="s">
        <v>85</v>
      </c>
      <c r="D662" s="235">
        <f>A656-D661</f>
        <v>250</v>
      </c>
      <c r="E662" s="197">
        <v>0.055</v>
      </c>
      <c r="F662" s="352">
        <f>D662*E662</f>
        <v>13.75</v>
      </c>
      <c r="G662" s="167"/>
      <c r="H662" s="353" t="s">
        <v>85</v>
      </c>
      <c r="I662" s="376">
        <f>D662</f>
        <v>250</v>
      </c>
      <c r="J662" s="354">
        <v>0.055</v>
      </c>
      <c r="K662" s="355">
        <f>I662*J662</f>
        <v>13.75</v>
      </c>
      <c r="L662" s="179"/>
      <c r="M662" s="579"/>
      <c r="N662" s="580"/>
    </row>
    <row r="663" spans="1:14" ht="13.5" thickBot="1">
      <c r="A663" s="86"/>
      <c r="B663" s="31"/>
      <c r="C663" s="597"/>
      <c r="D663" s="598"/>
      <c r="E663" s="598"/>
      <c r="F663" s="599"/>
      <c r="G663" s="167"/>
      <c r="H663" s="598"/>
      <c r="I663" s="598"/>
      <c r="J663" s="598"/>
      <c r="K663" s="599"/>
      <c r="L663" s="31"/>
      <c r="M663" s="86"/>
      <c r="N663" s="202"/>
    </row>
    <row r="664" spans="1:14" ht="13.5" thickBot="1">
      <c r="A664" s="94"/>
      <c r="B664" s="148"/>
      <c r="C664" s="203" t="s">
        <v>200</v>
      </c>
      <c r="D664" s="204"/>
      <c r="E664" s="204"/>
      <c r="F664" s="189">
        <f>SUM(F660:F662,F659)</f>
        <v>89.15</v>
      </c>
      <c r="G664" s="206"/>
      <c r="H664" s="604" t="s">
        <v>201</v>
      </c>
      <c r="I664" s="604"/>
      <c r="J664" s="604"/>
      <c r="K664" s="189">
        <f>SUM(K659:K662)</f>
        <v>88.54517691093739</v>
      </c>
      <c r="L664" s="207"/>
      <c r="M664" s="190">
        <f>K664-F664</f>
        <v>-0.6048230890626201</v>
      </c>
      <c r="N664" s="191">
        <f>M664/F664</f>
        <v>-0.006784330780287381</v>
      </c>
    </row>
    <row r="665" spans="1:14" ht="12.75">
      <c r="A665" s="12"/>
      <c r="D665" s="212"/>
      <c r="E665" s="10"/>
      <c r="F665" s="209"/>
      <c r="I665" s="10"/>
      <c r="J665" s="10"/>
      <c r="K665" s="210"/>
      <c r="L665" s="12"/>
      <c r="M665" s="12"/>
      <c r="N665" s="213"/>
    </row>
    <row r="666" spans="1:13" ht="15.75" thickBot="1">
      <c r="A666" s="214"/>
      <c r="B666" s="31"/>
      <c r="C666" s="133"/>
      <c r="D666" s="30"/>
      <c r="E666" s="30"/>
      <c r="F666" s="215"/>
      <c r="H666" s="133"/>
      <c r="I666" s="30"/>
      <c r="J666" s="30"/>
      <c r="K666" s="216"/>
      <c r="L666" s="216"/>
      <c r="M666" s="216"/>
    </row>
    <row r="667" spans="1:14" ht="60.75" thickBot="1">
      <c r="A667" s="168" t="s">
        <v>78</v>
      </c>
      <c r="B667" s="169"/>
      <c r="C667" s="569"/>
      <c r="D667" s="581" t="s">
        <v>12</v>
      </c>
      <c r="E667" s="583" t="s">
        <v>79</v>
      </c>
      <c r="F667" s="585" t="s">
        <v>182</v>
      </c>
      <c r="G667" s="166"/>
      <c r="H667" s="170"/>
      <c r="I667" s="581" t="s">
        <v>12</v>
      </c>
      <c r="J667" s="583" t="s">
        <v>79</v>
      </c>
      <c r="K667" s="585" t="s">
        <v>182</v>
      </c>
      <c r="L667" s="169"/>
      <c r="M667" s="600" t="s">
        <v>181</v>
      </c>
      <c r="N667" s="602" t="s">
        <v>80</v>
      </c>
    </row>
    <row r="668" spans="1:14" ht="13.5" thickBot="1">
      <c r="A668" s="171">
        <v>1500</v>
      </c>
      <c r="B668" s="31"/>
      <c r="C668" s="570"/>
      <c r="D668" s="582"/>
      <c r="E668" s="584"/>
      <c r="F668" s="586"/>
      <c r="G668" s="167"/>
      <c r="H668" s="31"/>
      <c r="I668" s="587"/>
      <c r="J668" s="588"/>
      <c r="K668" s="586"/>
      <c r="L668" s="32"/>
      <c r="M668" s="601"/>
      <c r="N668" s="603"/>
    </row>
    <row r="669" spans="1:14" ht="27.75" customHeight="1">
      <c r="A669" s="172"/>
      <c r="B669" s="31"/>
      <c r="C669" s="173" t="s">
        <v>21</v>
      </c>
      <c r="D669" s="174" t="s">
        <v>81</v>
      </c>
      <c r="E669" s="175" t="s">
        <v>81</v>
      </c>
      <c r="F669" s="234">
        <f>F657</f>
        <v>7.55</v>
      </c>
      <c r="G669" s="167"/>
      <c r="H669" s="177" t="s">
        <v>21</v>
      </c>
      <c r="I669" s="208" t="str">
        <f>D669</f>
        <v>N/A</v>
      </c>
      <c r="J669" s="178" t="s">
        <v>81</v>
      </c>
      <c r="K669" s="227">
        <f>+K657</f>
        <v>7.057043226024896</v>
      </c>
      <c r="L669" s="179"/>
      <c r="M669" s="575"/>
      <c r="N669" s="576"/>
    </row>
    <row r="670" spans="1:14" ht="25.5" customHeight="1" thickBot="1">
      <c r="A670" s="86"/>
      <c r="B670" s="31"/>
      <c r="C670" s="180" t="s">
        <v>82</v>
      </c>
      <c r="D670" s="181">
        <f>A668</f>
        <v>1500</v>
      </c>
      <c r="E670" s="182">
        <f>E658</f>
        <v>0.0087</v>
      </c>
      <c r="F670" s="352">
        <f>D670*E670</f>
        <v>13.049999999999999</v>
      </c>
      <c r="G670" s="167"/>
      <c r="H670" s="184" t="s">
        <v>82</v>
      </c>
      <c r="I670" s="185">
        <f>D670</f>
        <v>1500</v>
      </c>
      <c r="J670" s="228">
        <f>+J658</f>
        <v>0.008588133684912487</v>
      </c>
      <c r="K670" s="186">
        <f>I670*J670</f>
        <v>12.882200527368731</v>
      </c>
      <c r="L670" s="179"/>
      <c r="M670" s="577"/>
      <c r="N670" s="578"/>
    </row>
    <row r="671" spans="1:14" ht="13.5" thickBot="1">
      <c r="A671" s="86"/>
      <c r="B671" s="31"/>
      <c r="C671" s="605"/>
      <c r="D671" s="607"/>
      <c r="E671" s="187" t="s">
        <v>52</v>
      </c>
      <c r="F671" s="373">
        <f>SUM(F669:F670)</f>
        <v>20.599999999999998</v>
      </c>
      <c r="G671" s="167"/>
      <c r="H671" s="595"/>
      <c r="I671" s="596"/>
      <c r="J671" s="187" t="s">
        <v>83</v>
      </c>
      <c r="K671" s="189">
        <f>SUM(K669:K670)</f>
        <v>19.939243753393626</v>
      </c>
      <c r="L671" s="179"/>
      <c r="M671" s="190">
        <f>K671-F671</f>
        <v>-0.6607562466063719</v>
      </c>
      <c r="N671" s="191">
        <f>M671/F671</f>
        <v>-0.03207554595176563</v>
      </c>
    </row>
    <row r="672" spans="1:14" ht="25.5">
      <c r="A672" s="86"/>
      <c r="B672" s="31"/>
      <c r="C672" s="180" t="s">
        <v>84</v>
      </c>
      <c r="D672" s="181">
        <f>A668</f>
        <v>1500</v>
      </c>
      <c r="E672" s="192">
        <v>0.0239</v>
      </c>
      <c r="F672" s="374">
        <f>D672*E672</f>
        <v>35.85</v>
      </c>
      <c r="G672" s="167"/>
      <c r="H672" s="184" t="s">
        <v>84</v>
      </c>
      <c r="I672" s="185">
        <f>D672</f>
        <v>1500</v>
      </c>
      <c r="J672" s="194">
        <f>E672</f>
        <v>0.0239</v>
      </c>
      <c r="K672" s="195">
        <f>F672</f>
        <v>35.85</v>
      </c>
      <c r="L672" s="179"/>
      <c r="M672" s="575"/>
      <c r="N672" s="576"/>
    </row>
    <row r="673" spans="1:14" ht="25.5">
      <c r="A673" s="86"/>
      <c r="B673" s="31"/>
      <c r="C673" s="196" t="s">
        <v>85</v>
      </c>
      <c r="D673" s="181">
        <v>750</v>
      </c>
      <c r="E673" s="197">
        <v>0.047</v>
      </c>
      <c r="F673" s="352">
        <f>D673*E673</f>
        <v>35.25</v>
      </c>
      <c r="G673" s="167"/>
      <c r="H673" s="196" t="s">
        <v>85</v>
      </c>
      <c r="I673" s="185">
        <f>D673</f>
        <v>750</v>
      </c>
      <c r="J673" s="197">
        <v>0.047</v>
      </c>
      <c r="K673" s="352">
        <f>I673*J673</f>
        <v>35.25</v>
      </c>
      <c r="L673" s="179"/>
      <c r="M673" s="579"/>
      <c r="N673" s="580"/>
    </row>
    <row r="674" spans="1:14" ht="26.25" thickBot="1">
      <c r="A674" s="86"/>
      <c r="B674" s="31"/>
      <c r="C674" s="196" t="s">
        <v>85</v>
      </c>
      <c r="D674" s="235">
        <f>A668-D673</f>
        <v>750</v>
      </c>
      <c r="E674" s="197">
        <v>0.055</v>
      </c>
      <c r="F674" s="352">
        <f>D674*E674</f>
        <v>41.25</v>
      </c>
      <c r="G674" s="167"/>
      <c r="H674" s="353" t="s">
        <v>85</v>
      </c>
      <c r="I674" s="376">
        <f>D674</f>
        <v>750</v>
      </c>
      <c r="J674" s="354">
        <v>0.055</v>
      </c>
      <c r="K674" s="355">
        <f>I674*J674</f>
        <v>41.25</v>
      </c>
      <c r="L674" s="179"/>
      <c r="M674" s="579"/>
      <c r="N674" s="580"/>
    </row>
    <row r="675" spans="1:14" ht="13.5" thickBot="1">
      <c r="A675" s="86"/>
      <c r="B675" s="31"/>
      <c r="C675" s="597"/>
      <c r="D675" s="598"/>
      <c r="E675" s="598"/>
      <c r="F675" s="599"/>
      <c r="G675" s="167"/>
      <c r="H675" s="598"/>
      <c r="I675" s="598"/>
      <c r="J675" s="598"/>
      <c r="K675" s="599"/>
      <c r="L675" s="31"/>
      <c r="M675" s="86"/>
      <c r="N675" s="202"/>
    </row>
    <row r="676" spans="1:14" ht="13.5" thickBot="1">
      <c r="A676" s="94"/>
      <c r="B676" s="148"/>
      <c r="C676" s="203" t="s">
        <v>200</v>
      </c>
      <c r="D676" s="204"/>
      <c r="E676" s="204"/>
      <c r="F676" s="189">
        <f>SUM(F672:F674,F671)</f>
        <v>132.95</v>
      </c>
      <c r="G676" s="206"/>
      <c r="H676" s="604" t="s">
        <v>201</v>
      </c>
      <c r="I676" s="604"/>
      <c r="J676" s="604"/>
      <c r="K676" s="189">
        <f>SUM(K671:K674)</f>
        <v>132.28924375339363</v>
      </c>
      <c r="L676" s="207"/>
      <c r="M676" s="190">
        <f>K676-F676</f>
        <v>-0.6607562466063541</v>
      </c>
      <c r="N676" s="191">
        <f>M676/F676</f>
        <v>-0.004969960485944748</v>
      </c>
    </row>
    <row r="677" spans="1:14" ht="9" customHeight="1">
      <c r="A677" s="12"/>
      <c r="D677" s="212"/>
      <c r="E677" s="10"/>
      <c r="F677" s="209"/>
      <c r="I677" s="10"/>
      <c r="J677" s="10"/>
      <c r="K677" s="210"/>
      <c r="L677" s="12"/>
      <c r="M677" s="12"/>
      <c r="N677" s="213"/>
    </row>
    <row r="678" spans="1:13" ht="9" customHeight="1" thickBot="1">
      <c r="A678" s="214"/>
      <c r="B678" s="31"/>
      <c r="C678" s="133"/>
      <c r="D678" s="30"/>
      <c r="E678" s="30"/>
      <c r="F678" s="215"/>
      <c r="H678" s="133"/>
      <c r="I678" s="30"/>
      <c r="J678" s="30"/>
      <c r="K678" s="216"/>
      <c r="L678" s="216"/>
      <c r="M678" s="216"/>
    </row>
    <row r="679" spans="1:14" ht="60.75" thickBot="1">
      <c r="A679" s="168" t="s">
        <v>78</v>
      </c>
      <c r="B679" s="169"/>
      <c r="C679" s="569"/>
      <c r="D679" s="581" t="s">
        <v>12</v>
      </c>
      <c r="E679" s="583" t="s">
        <v>79</v>
      </c>
      <c r="F679" s="585" t="s">
        <v>182</v>
      </c>
      <c r="G679" s="166"/>
      <c r="H679" s="170"/>
      <c r="I679" s="581" t="s">
        <v>12</v>
      </c>
      <c r="J679" s="583" t="s">
        <v>79</v>
      </c>
      <c r="K679" s="585" t="s">
        <v>182</v>
      </c>
      <c r="L679" s="169"/>
      <c r="M679" s="600" t="s">
        <v>181</v>
      </c>
      <c r="N679" s="602" t="s">
        <v>80</v>
      </c>
    </row>
    <row r="680" spans="1:14" ht="13.5" thickBot="1">
      <c r="A680" s="171">
        <v>2000</v>
      </c>
      <c r="B680" s="31"/>
      <c r="C680" s="570"/>
      <c r="D680" s="582"/>
      <c r="E680" s="584"/>
      <c r="F680" s="586"/>
      <c r="G680" s="167"/>
      <c r="H680" s="31"/>
      <c r="I680" s="587"/>
      <c r="J680" s="588"/>
      <c r="K680" s="586"/>
      <c r="L680" s="32"/>
      <c r="M680" s="601"/>
      <c r="N680" s="603"/>
    </row>
    <row r="681" spans="1:14" ht="27" customHeight="1">
      <c r="A681" s="172"/>
      <c r="B681" s="31"/>
      <c r="C681" s="173" t="s">
        <v>21</v>
      </c>
      <c r="D681" s="174" t="s">
        <v>81</v>
      </c>
      <c r="E681" s="175" t="s">
        <v>81</v>
      </c>
      <c r="F681" s="234">
        <f>F669</f>
        <v>7.55</v>
      </c>
      <c r="G681" s="167"/>
      <c r="H681" s="177" t="s">
        <v>21</v>
      </c>
      <c r="I681" s="208" t="str">
        <f>D681</f>
        <v>N/A</v>
      </c>
      <c r="J681" s="178" t="s">
        <v>81</v>
      </c>
      <c r="K681" s="227">
        <f>+K669</f>
        <v>7.057043226024896</v>
      </c>
      <c r="L681" s="179"/>
      <c r="M681" s="575"/>
      <c r="N681" s="576"/>
    </row>
    <row r="682" spans="1:14" ht="29.25" customHeight="1" thickBot="1">
      <c r="A682" s="86"/>
      <c r="B682" s="31"/>
      <c r="C682" s="180" t="s">
        <v>82</v>
      </c>
      <c r="D682" s="181">
        <f>A680</f>
        <v>2000</v>
      </c>
      <c r="E682" s="182">
        <f>E670</f>
        <v>0.0087</v>
      </c>
      <c r="F682" s="352">
        <f>D682*E682</f>
        <v>17.4</v>
      </c>
      <c r="G682" s="167"/>
      <c r="H682" s="184" t="s">
        <v>82</v>
      </c>
      <c r="I682" s="185">
        <f>D682</f>
        <v>2000</v>
      </c>
      <c r="J682" s="228">
        <f>+J670</f>
        <v>0.008588133684912487</v>
      </c>
      <c r="K682" s="186">
        <f>I682*J682</f>
        <v>17.176267369824973</v>
      </c>
      <c r="L682" s="179"/>
      <c r="M682" s="577"/>
      <c r="N682" s="578"/>
    </row>
    <row r="683" spans="1:14" ht="13.5" customHeight="1" thickBot="1">
      <c r="A683" s="86"/>
      <c r="B683" s="31"/>
      <c r="C683" s="605"/>
      <c r="D683" s="607"/>
      <c r="E683" s="187" t="s">
        <v>52</v>
      </c>
      <c r="F683" s="373">
        <f>SUM(F681:F682)</f>
        <v>24.95</v>
      </c>
      <c r="G683" s="167"/>
      <c r="H683" s="595"/>
      <c r="I683" s="596"/>
      <c r="J683" s="187" t="s">
        <v>83</v>
      </c>
      <c r="K683" s="189">
        <f>SUM(K681:K682)</f>
        <v>24.23331059584987</v>
      </c>
      <c r="L683" s="179"/>
      <c r="M683" s="190">
        <f>K683-F683</f>
        <v>-0.7166894041501308</v>
      </c>
      <c r="N683" s="191">
        <f>M683/F683</f>
        <v>-0.02872502621844212</v>
      </c>
    </row>
    <row r="684" spans="1:14" ht="25.5">
      <c r="A684" s="86"/>
      <c r="B684" s="31"/>
      <c r="C684" s="180" t="s">
        <v>84</v>
      </c>
      <c r="D684" s="181">
        <f>A680</f>
        <v>2000</v>
      </c>
      <c r="E684" s="192">
        <v>0.0239</v>
      </c>
      <c r="F684" s="374">
        <f>D684*E684</f>
        <v>47.800000000000004</v>
      </c>
      <c r="G684" s="167"/>
      <c r="H684" s="184" t="s">
        <v>84</v>
      </c>
      <c r="I684" s="185">
        <f>D684</f>
        <v>2000</v>
      </c>
      <c r="J684" s="194">
        <f>E684</f>
        <v>0.0239</v>
      </c>
      <c r="K684" s="195">
        <f>F684</f>
        <v>47.800000000000004</v>
      </c>
      <c r="L684" s="179"/>
      <c r="M684" s="575"/>
      <c r="N684" s="576"/>
    </row>
    <row r="685" spans="1:14" ht="25.5">
      <c r="A685" s="86"/>
      <c r="B685" s="31"/>
      <c r="C685" s="196" t="s">
        <v>85</v>
      </c>
      <c r="D685" s="181">
        <v>750</v>
      </c>
      <c r="E685" s="197">
        <v>0.047</v>
      </c>
      <c r="F685" s="352">
        <f>D685*E685</f>
        <v>35.25</v>
      </c>
      <c r="G685" s="167"/>
      <c r="H685" s="196" t="s">
        <v>85</v>
      </c>
      <c r="I685" s="185">
        <f>D685</f>
        <v>750</v>
      </c>
      <c r="J685" s="197">
        <v>0.047</v>
      </c>
      <c r="K685" s="352">
        <f>I685*J685</f>
        <v>35.25</v>
      </c>
      <c r="L685" s="179"/>
      <c r="M685" s="579"/>
      <c r="N685" s="580"/>
    </row>
    <row r="686" spans="1:14" ht="26.25" thickBot="1">
      <c r="A686" s="86"/>
      <c r="B686" s="31"/>
      <c r="C686" s="196" t="s">
        <v>85</v>
      </c>
      <c r="D686" s="235">
        <f>A680-D685</f>
        <v>1250</v>
      </c>
      <c r="E686" s="197">
        <v>0.055</v>
      </c>
      <c r="F686" s="352">
        <f>D686*E686</f>
        <v>68.75</v>
      </c>
      <c r="G686" s="167"/>
      <c r="H686" s="353" t="s">
        <v>85</v>
      </c>
      <c r="I686" s="376">
        <f>D686</f>
        <v>1250</v>
      </c>
      <c r="J686" s="354">
        <v>0.055</v>
      </c>
      <c r="K686" s="355">
        <f>I686*J686</f>
        <v>68.75</v>
      </c>
      <c r="L686" s="179"/>
      <c r="M686" s="579"/>
      <c r="N686" s="580"/>
    </row>
    <row r="687" spans="1:14" ht="13.5" thickBot="1">
      <c r="A687" s="86"/>
      <c r="B687" s="31"/>
      <c r="C687" s="597"/>
      <c r="D687" s="598"/>
      <c r="E687" s="598"/>
      <c r="F687" s="599"/>
      <c r="G687" s="167"/>
      <c r="H687" s="598"/>
      <c r="I687" s="598"/>
      <c r="J687" s="598"/>
      <c r="K687" s="599"/>
      <c r="L687" s="31"/>
      <c r="M687" s="86"/>
      <c r="N687" s="202"/>
    </row>
    <row r="688" spans="1:14" ht="13.5" thickBot="1">
      <c r="A688" s="94"/>
      <c r="B688" s="148"/>
      <c r="C688" s="203" t="s">
        <v>200</v>
      </c>
      <c r="D688" s="204"/>
      <c r="E688" s="204"/>
      <c r="F688" s="189">
        <f>SUM(F684:F686,F683)</f>
        <v>176.75</v>
      </c>
      <c r="G688" s="206"/>
      <c r="H688" s="604" t="s">
        <v>201</v>
      </c>
      <c r="I688" s="604"/>
      <c r="J688" s="604"/>
      <c r="K688" s="189">
        <f>SUM(K683:K686)</f>
        <v>176.03331059584985</v>
      </c>
      <c r="L688" s="207"/>
      <c r="M688" s="190">
        <f>K688-F688</f>
        <v>-0.716689404150145</v>
      </c>
      <c r="N688" s="191">
        <f>M688/F688</f>
        <v>-0.004054819825460509</v>
      </c>
    </row>
    <row r="691" spans="3:11" ht="18.75" customHeight="1">
      <c r="C691" s="497" t="s">
        <v>249</v>
      </c>
      <c r="D691" s="484"/>
      <c r="E691" s="160"/>
      <c r="F691" s="160"/>
      <c r="G691" s="31"/>
      <c r="K691" s="161"/>
    </row>
    <row r="692" spans="5:11" ht="9" customHeight="1" thickBot="1">
      <c r="E692" s="160"/>
      <c r="F692" s="160"/>
      <c r="G692" s="31"/>
      <c r="K692" s="161"/>
    </row>
    <row r="693" spans="1:14" ht="15.75" customHeight="1">
      <c r="A693" s="47"/>
      <c r="C693" s="589" t="s">
        <v>95</v>
      </c>
      <c r="D693" s="590"/>
      <c r="E693" s="590"/>
      <c r="F693" s="591"/>
      <c r="G693" s="166"/>
      <c r="H693" s="589" t="s">
        <v>96</v>
      </c>
      <c r="I693" s="590"/>
      <c r="J693" s="590"/>
      <c r="K693" s="590"/>
      <c r="L693" s="590"/>
      <c r="M693" s="590"/>
      <c r="N693" s="591"/>
    </row>
    <row r="694" spans="1:15" ht="13.5" customHeight="1" thickBot="1">
      <c r="A694"/>
      <c r="C694" s="592"/>
      <c r="D694" s="593"/>
      <c r="E694" s="593"/>
      <c r="F694" s="594"/>
      <c r="G694" s="167"/>
      <c r="H694" s="592"/>
      <c r="I694" s="593"/>
      <c r="J694" s="593"/>
      <c r="K694" s="593"/>
      <c r="L694" s="593"/>
      <c r="M694" s="593"/>
      <c r="N694" s="594"/>
      <c r="O694" s="31"/>
    </row>
    <row r="695" spans="1:14" ht="48.75" customHeight="1" thickBot="1">
      <c r="A695" s="168" t="s">
        <v>78</v>
      </c>
      <c r="B695" s="169"/>
      <c r="C695" s="569"/>
      <c r="D695" s="581" t="s">
        <v>12</v>
      </c>
      <c r="E695" s="583" t="s">
        <v>79</v>
      </c>
      <c r="F695" s="585" t="s">
        <v>182</v>
      </c>
      <c r="G695" s="166"/>
      <c r="H695" s="170"/>
      <c r="I695" s="581" t="s">
        <v>12</v>
      </c>
      <c r="J695" s="583" t="s">
        <v>79</v>
      </c>
      <c r="K695" s="585" t="s">
        <v>182</v>
      </c>
      <c r="L695" s="169"/>
      <c r="M695" s="600" t="s">
        <v>181</v>
      </c>
      <c r="N695" s="602" t="s">
        <v>80</v>
      </c>
    </row>
    <row r="696" spans="1:14" ht="13.5" thickBot="1">
      <c r="A696" s="171">
        <v>100</v>
      </c>
      <c r="B696" s="31"/>
      <c r="C696" s="570"/>
      <c r="D696" s="582"/>
      <c r="E696" s="584"/>
      <c r="F696" s="586"/>
      <c r="G696" s="167"/>
      <c r="H696" s="31"/>
      <c r="I696" s="587"/>
      <c r="J696" s="588"/>
      <c r="K696" s="586"/>
      <c r="L696" s="32"/>
      <c r="M696" s="601"/>
      <c r="N696" s="603"/>
    </row>
    <row r="697" spans="1:14" ht="25.5">
      <c r="A697" s="172"/>
      <c r="B697" s="31"/>
      <c r="C697" s="449" t="s">
        <v>21</v>
      </c>
      <c r="D697" s="174" t="s">
        <v>81</v>
      </c>
      <c r="E697" s="175" t="s">
        <v>81</v>
      </c>
      <c r="F697" s="234">
        <f>+'12. Current Rates'!D69</f>
        <v>11.32</v>
      </c>
      <c r="G697" s="167"/>
      <c r="H697" s="452" t="s">
        <v>21</v>
      </c>
      <c r="I697" s="174" t="s">
        <v>81</v>
      </c>
      <c r="J697" s="174" t="s">
        <v>81</v>
      </c>
      <c r="K697" s="234">
        <f>+'11. 2005 Final Rate Schedule '!F634</f>
        <v>10.723239435311964</v>
      </c>
      <c r="L697" s="179"/>
      <c r="M697" s="575"/>
      <c r="N697" s="576"/>
    </row>
    <row r="698" spans="1:14" ht="26.25" thickBot="1">
      <c r="A698" s="86"/>
      <c r="B698" s="31"/>
      <c r="C698" s="450" t="s">
        <v>82</v>
      </c>
      <c r="D698" s="235">
        <f>A696</f>
        <v>100</v>
      </c>
      <c r="E698" s="438">
        <f>+'12. Current Rates'!D67</f>
        <v>0.008</v>
      </c>
      <c r="F698" s="352">
        <f>D698*E698</f>
        <v>0.8</v>
      </c>
      <c r="G698" s="167"/>
      <c r="H698" s="453" t="s">
        <v>82</v>
      </c>
      <c r="I698" s="181">
        <f>D698</f>
        <v>100</v>
      </c>
      <c r="J698" s="444">
        <f>+'11. 2005 Final Rate Schedule '!F635</f>
        <v>0.012513444822933938</v>
      </c>
      <c r="K698" s="237">
        <f>I698*J698</f>
        <v>1.251344482293394</v>
      </c>
      <c r="L698" s="179"/>
      <c r="M698" s="577"/>
      <c r="N698" s="578"/>
    </row>
    <row r="699" spans="1:14" ht="13.5" thickBot="1">
      <c r="A699" s="86"/>
      <c r="B699" s="31"/>
      <c r="C699" s="567"/>
      <c r="D699" s="568"/>
      <c r="E699" s="187" t="s">
        <v>52</v>
      </c>
      <c r="F699" s="373">
        <f>SUM(F697:F698)</f>
        <v>12.120000000000001</v>
      </c>
      <c r="G699" s="167"/>
      <c r="H699" s="595"/>
      <c r="I699" s="596"/>
      <c r="J699" s="187" t="s">
        <v>83</v>
      </c>
      <c r="K699" s="189">
        <f>SUM(K697:K698)</f>
        <v>11.974583917605358</v>
      </c>
      <c r="L699" s="179"/>
      <c r="M699" s="190">
        <f>K699-F699</f>
        <v>-0.1454160823946431</v>
      </c>
      <c r="N699" s="191">
        <f>M699/F699</f>
        <v>-0.011998026600218077</v>
      </c>
    </row>
    <row r="700" spans="1:14" ht="27" customHeight="1">
      <c r="A700" s="86"/>
      <c r="B700" s="31"/>
      <c r="C700" s="450" t="s">
        <v>84</v>
      </c>
      <c r="D700" s="181">
        <f>A696</f>
        <v>100</v>
      </c>
      <c r="E700" s="439">
        <v>0.0239</v>
      </c>
      <c r="F700" s="374">
        <f>D700*E700</f>
        <v>2.39</v>
      </c>
      <c r="G700" s="167"/>
      <c r="H700" s="453" t="s">
        <v>84</v>
      </c>
      <c r="I700" s="181">
        <f aca="true" t="shared" si="32" ref="I700:K701">D700</f>
        <v>100</v>
      </c>
      <c r="J700" s="445">
        <f t="shared" si="32"/>
        <v>0.0239</v>
      </c>
      <c r="K700" s="239">
        <f t="shared" si="32"/>
        <v>2.39</v>
      </c>
      <c r="L700" s="179"/>
      <c r="M700" s="575"/>
      <c r="N700" s="576"/>
    </row>
    <row r="701" spans="1:14" ht="25.5" customHeight="1" thickBot="1">
      <c r="A701" s="86"/>
      <c r="B701" s="31"/>
      <c r="C701" s="451" t="s">
        <v>85</v>
      </c>
      <c r="D701" s="181">
        <f>A696</f>
        <v>100</v>
      </c>
      <c r="E701" s="440">
        <v>0.047</v>
      </c>
      <c r="F701" s="352">
        <f>D701*E701</f>
        <v>4.7</v>
      </c>
      <c r="G701" s="167"/>
      <c r="H701" s="454" t="s">
        <v>85</v>
      </c>
      <c r="I701" s="446">
        <f t="shared" si="32"/>
        <v>100</v>
      </c>
      <c r="J701" s="447">
        <f t="shared" si="32"/>
        <v>0.047</v>
      </c>
      <c r="K701" s="243">
        <f t="shared" si="32"/>
        <v>4.7</v>
      </c>
      <c r="L701" s="179"/>
      <c r="M701" s="579"/>
      <c r="N701" s="580"/>
    </row>
    <row r="702" spans="1:14" ht="7.5" customHeight="1" thickBot="1">
      <c r="A702" s="86"/>
      <c r="B702" s="31"/>
      <c r="C702" s="597"/>
      <c r="D702" s="598"/>
      <c r="E702" s="598"/>
      <c r="F702" s="599"/>
      <c r="G702" s="167"/>
      <c r="H702" s="598"/>
      <c r="I702" s="598"/>
      <c r="J702" s="598"/>
      <c r="K702" s="599"/>
      <c r="L702" s="31"/>
      <c r="M702" s="86"/>
      <c r="N702" s="202"/>
    </row>
    <row r="703" spans="1:14" ht="13.5" thickBot="1">
      <c r="A703" s="94"/>
      <c r="B703" s="148"/>
      <c r="C703" s="203" t="s">
        <v>200</v>
      </c>
      <c r="D703" s="204"/>
      <c r="E703" s="204"/>
      <c r="F703" s="189">
        <f>SUM(F700:F701,F699)</f>
        <v>19.21</v>
      </c>
      <c r="G703" s="206"/>
      <c r="H703" s="604" t="s">
        <v>201</v>
      </c>
      <c r="I703" s="604"/>
      <c r="J703" s="604"/>
      <c r="K703" s="189">
        <f>SUM(K699:K701)</f>
        <v>19.064583917605358</v>
      </c>
      <c r="L703" s="207"/>
      <c r="M703" s="190">
        <f>K703-F703</f>
        <v>-0.1454160823946431</v>
      </c>
      <c r="N703" s="191">
        <f>M703/F703</f>
        <v>-0.007569811681137069</v>
      </c>
    </row>
    <row r="704" ht="12.75">
      <c r="K704" s="161"/>
    </row>
    <row r="705" spans="6:11" ht="13.5" thickBot="1">
      <c r="F705" s="161"/>
      <c r="K705" s="161"/>
    </row>
    <row r="706" spans="1:14" ht="60.75" thickBot="1">
      <c r="A706" s="168" t="s">
        <v>78</v>
      </c>
      <c r="B706" s="169"/>
      <c r="C706" s="569"/>
      <c r="D706" s="581" t="s">
        <v>12</v>
      </c>
      <c r="E706" s="583" t="s">
        <v>79</v>
      </c>
      <c r="F706" s="585" t="s">
        <v>182</v>
      </c>
      <c r="G706" s="166"/>
      <c r="H706" s="170"/>
      <c r="I706" s="581" t="s">
        <v>12</v>
      </c>
      <c r="J706" s="583" t="s">
        <v>79</v>
      </c>
      <c r="K706" s="585" t="s">
        <v>182</v>
      </c>
      <c r="L706" s="169"/>
      <c r="M706" s="600" t="s">
        <v>181</v>
      </c>
      <c r="N706" s="602" t="s">
        <v>80</v>
      </c>
    </row>
    <row r="707" spans="1:14" ht="13.5" thickBot="1">
      <c r="A707" s="171">
        <v>250</v>
      </c>
      <c r="B707" s="31"/>
      <c r="C707" s="570"/>
      <c r="D707" s="582"/>
      <c r="E707" s="584"/>
      <c r="F707" s="586"/>
      <c r="G707" s="167"/>
      <c r="H707" s="31"/>
      <c r="I707" s="587"/>
      <c r="J707" s="588"/>
      <c r="K707" s="586"/>
      <c r="L707" s="32"/>
      <c r="M707" s="601"/>
      <c r="N707" s="603"/>
    </row>
    <row r="708" spans="1:14" ht="25.5">
      <c r="A708" s="172"/>
      <c r="B708" s="31"/>
      <c r="C708" s="173" t="s">
        <v>21</v>
      </c>
      <c r="D708" s="174" t="s">
        <v>81</v>
      </c>
      <c r="E708" s="175" t="s">
        <v>81</v>
      </c>
      <c r="F708" s="234">
        <f>F697</f>
        <v>11.32</v>
      </c>
      <c r="G708" s="167"/>
      <c r="H708" s="177" t="s">
        <v>21</v>
      </c>
      <c r="I708" s="208" t="str">
        <f>D708</f>
        <v>N/A</v>
      </c>
      <c r="J708" s="178" t="s">
        <v>81</v>
      </c>
      <c r="K708" s="227">
        <f>+K697</f>
        <v>10.723239435311964</v>
      </c>
      <c r="L708" s="179"/>
      <c r="M708" s="575"/>
      <c r="N708" s="576"/>
    </row>
    <row r="709" spans="1:14" ht="26.25" thickBot="1">
      <c r="A709" s="86"/>
      <c r="B709" s="31"/>
      <c r="C709" s="180" t="s">
        <v>82</v>
      </c>
      <c r="D709" s="235">
        <f>A707</f>
        <v>250</v>
      </c>
      <c r="E709" s="182">
        <f>E698</f>
        <v>0.008</v>
      </c>
      <c r="F709" s="352">
        <f>D709*E709</f>
        <v>2</v>
      </c>
      <c r="G709" s="167"/>
      <c r="H709" s="184" t="s">
        <v>82</v>
      </c>
      <c r="I709" s="185">
        <f>D709</f>
        <v>250</v>
      </c>
      <c r="J709" s="443">
        <f>+J698</f>
        <v>0.012513444822933938</v>
      </c>
      <c r="K709" s="186">
        <f>I709*J709</f>
        <v>3.1283612057334844</v>
      </c>
      <c r="L709" s="179"/>
      <c r="M709" s="577"/>
      <c r="N709" s="578"/>
    </row>
    <row r="710" spans="1:14" ht="24.75" customHeight="1" thickBot="1">
      <c r="A710" s="86"/>
      <c r="B710" s="31"/>
      <c r="C710" s="605"/>
      <c r="D710" s="607"/>
      <c r="E710" s="187" t="s">
        <v>52</v>
      </c>
      <c r="F710" s="373">
        <f>SUM(F708:F709)</f>
        <v>13.32</v>
      </c>
      <c r="G710" s="167"/>
      <c r="H710" s="595"/>
      <c r="I710" s="596"/>
      <c r="J710" s="187" t="s">
        <v>83</v>
      </c>
      <c r="K710" s="189">
        <f>SUM(K708:K709)</f>
        <v>13.851600641045447</v>
      </c>
      <c r="L710" s="179"/>
      <c r="M710" s="190">
        <f>K710-F710</f>
        <v>0.531600641045447</v>
      </c>
      <c r="N710" s="191">
        <f>M710/F710</f>
        <v>0.03990995803644497</v>
      </c>
    </row>
    <row r="711" spans="1:14" ht="27" customHeight="1">
      <c r="A711" s="86"/>
      <c r="B711" s="31"/>
      <c r="C711" s="180" t="s">
        <v>84</v>
      </c>
      <c r="D711" s="181">
        <f>A707</f>
        <v>250</v>
      </c>
      <c r="E711" s="439">
        <v>0.0239</v>
      </c>
      <c r="F711" s="374">
        <f>D711*E711</f>
        <v>5.9750000000000005</v>
      </c>
      <c r="G711" s="167"/>
      <c r="H711" s="184" t="s">
        <v>84</v>
      </c>
      <c r="I711" s="185">
        <f aca="true" t="shared" si="33" ref="I711:K712">D711</f>
        <v>250</v>
      </c>
      <c r="J711" s="441">
        <f t="shared" si="33"/>
        <v>0.0239</v>
      </c>
      <c r="K711" s="195">
        <f t="shared" si="33"/>
        <v>5.9750000000000005</v>
      </c>
      <c r="L711" s="179"/>
      <c r="M711" s="575"/>
      <c r="N711" s="576"/>
    </row>
    <row r="712" spans="1:14" ht="26.25" thickBot="1">
      <c r="A712" s="86"/>
      <c r="B712" s="31"/>
      <c r="C712" s="196" t="s">
        <v>85</v>
      </c>
      <c r="D712" s="181">
        <f>A707</f>
        <v>250</v>
      </c>
      <c r="E712" s="440">
        <v>0.047</v>
      </c>
      <c r="F712" s="352">
        <f>D712*E712</f>
        <v>11.75</v>
      </c>
      <c r="G712" s="167"/>
      <c r="H712" s="198" t="s">
        <v>85</v>
      </c>
      <c r="I712" s="199">
        <f t="shared" si="33"/>
        <v>250</v>
      </c>
      <c r="J712" s="442">
        <f t="shared" si="33"/>
        <v>0.047</v>
      </c>
      <c r="K712" s="201">
        <f t="shared" si="33"/>
        <v>11.75</v>
      </c>
      <c r="L712" s="179"/>
      <c r="M712" s="579"/>
      <c r="N712" s="580"/>
    </row>
    <row r="713" spans="1:14" ht="13.5" thickBot="1">
      <c r="A713" s="86"/>
      <c r="B713" s="31"/>
      <c r="C713" s="597"/>
      <c r="D713" s="598"/>
      <c r="E713" s="598"/>
      <c r="F713" s="599"/>
      <c r="G713" s="167"/>
      <c r="H713" s="598"/>
      <c r="I713" s="598"/>
      <c r="J713" s="598"/>
      <c r="K713" s="599"/>
      <c r="L713" s="31"/>
      <c r="M713" s="86"/>
      <c r="N713" s="202"/>
    </row>
    <row r="714" spans="1:14" ht="13.5" thickBot="1">
      <c r="A714" s="94"/>
      <c r="B714" s="148"/>
      <c r="C714" s="203" t="s">
        <v>200</v>
      </c>
      <c r="D714" s="204"/>
      <c r="E714" s="204"/>
      <c r="F714" s="189">
        <f>SUM(F711:F712,F710)</f>
        <v>31.045</v>
      </c>
      <c r="G714" s="206"/>
      <c r="H714" s="604" t="s">
        <v>201</v>
      </c>
      <c r="I714" s="604"/>
      <c r="J714" s="604"/>
      <c r="K714" s="189">
        <f>SUM(K710:K712)</f>
        <v>31.57660064104545</v>
      </c>
      <c r="L714" s="207"/>
      <c r="M714" s="190">
        <f>K714-F714</f>
        <v>0.531600641045447</v>
      </c>
      <c r="N714" s="191">
        <f>M714/F714</f>
        <v>0.017123551008067225</v>
      </c>
    </row>
    <row r="715" ht="12.75">
      <c r="K715" s="161"/>
    </row>
    <row r="716" spans="1:14" ht="11.25" customHeight="1" thickBot="1">
      <c r="A716" s="47"/>
      <c r="B716" s="12"/>
      <c r="D716" s="10"/>
      <c r="E716" s="10"/>
      <c r="F716" s="209"/>
      <c r="I716" s="10"/>
      <c r="J716" s="10"/>
      <c r="K716" s="210"/>
      <c r="L716" s="12"/>
      <c r="M716" s="12"/>
      <c r="N716" s="211"/>
    </row>
    <row r="717" spans="1:14" ht="60.75" thickBot="1">
      <c r="A717" s="168" t="s">
        <v>78</v>
      </c>
      <c r="B717" s="169"/>
      <c r="C717" s="608"/>
      <c r="D717" s="581" t="s">
        <v>12</v>
      </c>
      <c r="E717" s="583" t="s">
        <v>79</v>
      </c>
      <c r="F717" s="585" t="s">
        <v>182</v>
      </c>
      <c r="G717" s="166"/>
      <c r="H717" s="170"/>
      <c r="I717" s="581" t="s">
        <v>12</v>
      </c>
      <c r="J717" s="583" t="s">
        <v>79</v>
      </c>
      <c r="K717" s="585" t="s">
        <v>182</v>
      </c>
      <c r="L717" s="169"/>
      <c r="M717" s="600" t="s">
        <v>181</v>
      </c>
      <c r="N717" s="602" t="s">
        <v>80</v>
      </c>
    </row>
    <row r="718" spans="1:14" ht="13.5" thickBot="1">
      <c r="A718" s="171">
        <v>500</v>
      </c>
      <c r="B718" s="31"/>
      <c r="C718" s="609"/>
      <c r="D718" s="582"/>
      <c r="E718" s="584"/>
      <c r="F718" s="586"/>
      <c r="G718" s="167"/>
      <c r="H718" s="31"/>
      <c r="I718" s="587"/>
      <c r="J718" s="588"/>
      <c r="K718" s="586"/>
      <c r="L718" s="32"/>
      <c r="M718" s="601"/>
      <c r="N718" s="603"/>
    </row>
    <row r="719" spans="1:14" ht="25.5">
      <c r="A719" s="172"/>
      <c r="B719" s="31"/>
      <c r="C719" s="173" t="s">
        <v>21</v>
      </c>
      <c r="D719" s="174" t="s">
        <v>81</v>
      </c>
      <c r="E719" s="175" t="s">
        <v>81</v>
      </c>
      <c r="F719" s="234">
        <f>F708</f>
        <v>11.32</v>
      </c>
      <c r="G719" s="167"/>
      <c r="H719" s="177" t="s">
        <v>21</v>
      </c>
      <c r="I719" s="208" t="str">
        <f>D719</f>
        <v>N/A</v>
      </c>
      <c r="J719" s="178" t="s">
        <v>81</v>
      </c>
      <c r="K719" s="227">
        <f>+K708</f>
        <v>10.723239435311964</v>
      </c>
      <c r="L719" s="179"/>
      <c r="M719" s="575"/>
      <c r="N719" s="576"/>
    </row>
    <row r="720" spans="1:14" ht="25.5" customHeight="1" thickBot="1">
      <c r="A720" s="86"/>
      <c r="B720" s="31"/>
      <c r="C720" s="180" t="s">
        <v>82</v>
      </c>
      <c r="D720" s="235">
        <f>A718</f>
        <v>500</v>
      </c>
      <c r="E720" s="182">
        <f>E709</f>
        <v>0.008</v>
      </c>
      <c r="F720" s="352">
        <f>D720*E720</f>
        <v>4</v>
      </c>
      <c r="G720" s="167"/>
      <c r="H720" s="184" t="s">
        <v>82</v>
      </c>
      <c r="I720" s="375">
        <f>D720</f>
        <v>500</v>
      </c>
      <c r="J720" s="443">
        <f>+J709</f>
        <v>0.012513444822933938</v>
      </c>
      <c r="K720" s="186">
        <f>I720*J720</f>
        <v>6.256722411466969</v>
      </c>
      <c r="L720" s="179"/>
      <c r="M720" s="577"/>
      <c r="N720" s="578"/>
    </row>
    <row r="721" spans="1:14" ht="13.5" thickBot="1">
      <c r="A721" s="86"/>
      <c r="B721" s="31"/>
      <c r="C721" s="605"/>
      <c r="D721" s="606"/>
      <c r="E721" s="187" t="s">
        <v>52</v>
      </c>
      <c r="F721" s="373">
        <f>SUM(F719:F720)</f>
        <v>15.32</v>
      </c>
      <c r="G721" s="167"/>
      <c r="H721" s="595"/>
      <c r="I721" s="596"/>
      <c r="J721" s="187" t="s">
        <v>83</v>
      </c>
      <c r="K721" s="189">
        <f>SUM(K719:K720)</f>
        <v>16.979961846778934</v>
      </c>
      <c r="L721" s="179"/>
      <c r="M721" s="190">
        <f>K721-F721</f>
        <v>1.659961846778934</v>
      </c>
      <c r="N721" s="191">
        <f>M721/F721</f>
        <v>0.10835260096468238</v>
      </c>
    </row>
    <row r="722" spans="1:14" ht="25.5">
      <c r="A722" s="86"/>
      <c r="B722" s="31"/>
      <c r="C722" s="180" t="s">
        <v>84</v>
      </c>
      <c r="D722" s="181">
        <f>A718</f>
        <v>500</v>
      </c>
      <c r="E722" s="439">
        <v>0.0239</v>
      </c>
      <c r="F722" s="374">
        <f>D722*E722</f>
        <v>11.950000000000001</v>
      </c>
      <c r="G722" s="167"/>
      <c r="H722" s="184" t="s">
        <v>84</v>
      </c>
      <c r="I722" s="185">
        <f aca="true" t="shared" si="34" ref="I722:K723">D722</f>
        <v>500</v>
      </c>
      <c r="J722" s="441">
        <f t="shared" si="34"/>
        <v>0.0239</v>
      </c>
      <c r="K722" s="195">
        <f t="shared" si="34"/>
        <v>11.950000000000001</v>
      </c>
      <c r="L722" s="179"/>
      <c r="M722" s="575"/>
      <c r="N722" s="576"/>
    </row>
    <row r="723" spans="1:14" ht="26.25" thickBot="1">
      <c r="A723" s="86"/>
      <c r="B723" s="31"/>
      <c r="C723" s="196" t="s">
        <v>85</v>
      </c>
      <c r="D723" s="181">
        <f>A718</f>
        <v>500</v>
      </c>
      <c r="E723" s="440">
        <v>0.047</v>
      </c>
      <c r="F723" s="352">
        <f>D723*E723</f>
        <v>23.5</v>
      </c>
      <c r="G723" s="167"/>
      <c r="H723" s="198" t="s">
        <v>85</v>
      </c>
      <c r="I723" s="199">
        <f t="shared" si="34"/>
        <v>500</v>
      </c>
      <c r="J723" s="442">
        <f t="shared" si="34"/>
        <v>0.047</v>
      </c>
      <c r="K723" s="201">
        <f t="shared" si="34"/>
        <v>23.5</v>
      </c>
      <c r="L723" s="179"/>
      <c r="M723" s="579"/>
      <c r="N723" s="580"/>
    </row>
    <row r="724" spans="1:14" ht="13.5" thickBot="1">
      <c r="A724" s="86"/>
      <c r="B724" s="31"/>
      <c r="C724" s="597"/>
      <c r="D724" s="598"/>
      <c r="E724" s="598"/>
      <c r="F724" s="599"/>
      <c r="G724" s="167"/>
      <c r="H724" s="598"/>
      <c r="I724" s="598"/>
      <c r="J724" s="598"/>
      <c r="K724" s="599"/>
      <c r="L724" s="31"/>
      <c r="M724" s="86"/>
      <c r="N724" s="202"/>
    </row>
    <row r="725" spans="1:14" ht="13.5" thickBot="1">
      <c r="A725" s="94"/>
      <c r="B725" s="148"/>
      <c r="C725" s="203" t="s">
        <v>200</v>
      </c>
      <c r="D725" s="204"/>
      <c r="E725" s="204"/>
      <c r="F725" s="189">
        <f>SUM(F722:F723,F721)</f>
        <v>50.77</v>
      </c>
      <c r="G725" s="206"/>
      <c r="H725" s="604" t="s">
        <v>201</v>
      </c>
      <c r="I725" s="604"/>
      <c r="J725" s="604"/>
      <c r="K725" s="189">
        <f>SUM(K721:K723)</f>
        <v>52.42996184677894</v>
      </c>
      <c r="L725" s="207"/>
      <c r="M725" s="190">
        <f>K725-F725</f>
        <v>1.659961846778934</v>
      </c>
      <c r="N725" s="191">
        <f>M725/F725</f>
        <v>0.03269572280439106</v>
      </c>
    </row>
    <row r="726" spans="1:14" ht="15">
      <c r="A726" s="47"/>
      <c r="B726" s="12"/>
      <c r="D726" s="10"/>
      <c r="E726" s="10"/>
      <c r="F726" s="209"/>
      <c r="I726" s="10"/>
      <c r="J726" s="10"/>
      <c r="K726" s="210"/>
      <c r="L726" s="12"/>
      <c r="M726" s="12"/>
      <c r="N726" s="211"/>
    </row>
    <row r="727" spans="1:14" ht="13.5" thickBot="1">
      <c r="A727" s="12"/>
      <c r="C727" s="497" t="s">
        <v>249</v>
      </c>
      <c r="D727" s="484"/>
      <c r="E727" s="10"/>
      <c r="F727" s="209"/>
      <c r="I727" s="10"/>
      <c r="J727" s="10"/>
      <c r="K727" s="210"/>
      <c r="L727" s="12"/>
      <c r="M727" s="12"/>
      <c r="N727" s="213"/>
    </row>
    <row r="728" spans="1:14" ht="60.75" thickBot="1">
      <c r="A728" s="168" t="s">
        <v>78</v>
      </c>
      <c r="B728" s="169"/>
      <c r="C728" s="569"/>
      <c r="D728" s="581" t="s">
        <v>12</v>
      </c>
      <c r="E728" s="583" t="s">
        <v>79</v>
      </c>
      <c r="F728" s="585" t="s">
        <v>182</v>
      </c>
      <c r="G728" s="166"/>
      <c r="H728" s="170"/>
      <c r="I728" s="581" t="s">
        <v>12</v>
      </c>
      <c r="J728" s="583" t="s">
        <v>79</v>
      </c>
      <c r="K728" s="585" t="s">
        <v>182</v>
      </c>
      <c r="L728" s="169"/>
      <c r="M728" s="600" t="s">
        <v>181</v>
      </c>
      <c r="N728" s="602" t="s">
        <v>80</v>
      </c>
    </row>
    <row r="729" spans="1:14" ht="13.5" thickBot="1">
      <c r="A729" s="171">
        <v>750</v>
      </c>
      <c r="B729" s="31"/>
      <c r="C729" s="570"/>
      <c r="D729" s="582"/>
      <c r="E729" s="584"/>
      <c r="F729" s="586"/>
      <c r="G729" s="167"/>
      <c r="H729" s="31"/>
      <c r="I729" s="587"/>
      <c r="J729" s="588"/>
      <c r="K729" s="586"/>
      <c r="L729" s="32"/>
      <c r="M729" s="601"/>
      <c r="N729" s="603"/>
    </row>
    <row r="730" spans="1:14" ht="26.25" customHeight="1">
      <c r="A730" s="172"/>
      <c r="B730" s="31"/>
      <c r="C730" s="173" t="s">
        <v>21</v>
      </c>
      <c r="D730" s="174" t="s">
        <v>81</v>
      </c>
      <c r="E730" s="175" t="s">
        <v>81</v>
      </c>
      <c r="F730" s="234">
        <f>F719</f>
        <v>11.32</v>
      </c>
      <c r="G730" s="167"/>
      <c r="H730" s="177" t="s">
        <v>21</v>
      </c>
      <c r="I730" s="208" t="str">
        <f>D730</f>
        <v>N/A</v>
      </c>
      <c r="J730" s="178" t="s">
        <v>81</v>
      </c>
      <c r="K730" s="227">
        <f>+K719</f>
        <v>10.723239435311964</v>
      </c>
      <c r="L730" s="179"/>
      <c r="M730" s="575"/>
      <c r="N730" s="576"/>
    </row>
    <row r="731" spans="1:14" ht="26.25" customHeight="1" thickBot="1">
      <c r="A731" s="86"/>
      <c r="B731" s="31"/>
      <c r="C731" s="180" t="s">
        <v>82</v>
      </c>
      <c r="D731" s="235">
        <f>A729</f>
        <v>750</v>
      </c>
      <c r="E731" s="182">
        <f>E720</f>
        <v>0.008</v>
      </c>
      <c r="F731" s="352">
        <f>D731*E731</f>
        <v>6</v>
      </c>
      <c r="G731" s="167"/>
      <c r="H731" s="184" t="s">
        <v>82</v>
      </c>
      <c r="I731" s="375">
        <f>D731</f>
        <v>750</v>
      </c>
      <c r="J731" s="228">
        <f>+J720</f>
        <v>0.012513444822933938</v>
      </c>
      <c r="K731" s="186">
        <f>+J731*I731</f>
        <v>9.385083617200454</v>
      </c>
      <c r="L731" s="179"/>
      <c r="M731" s="577"/>
      <c r="N731" s="578"/>
    </row>
    <row r="732" spans="1:14" ht="13.5" thickBot="1">
      <c r="A732" s="86"/>
      <c r="B732" s="31"/>
      <c r="C732" s="605"/>
      <c r="D732" s="607"/>
      <c r="E732" s="187" t="s">
        <v>52</v>
      </c>
      <c r="F732" s="373">
        <f>SUM(F730:F731)</f>
        <v>17.32</v>
      </c>
      <c r="G732" s="167"/>
      <c r="H732" s="595"/>
      <c r="I732" s="596"/>
      <c r="J732" s="187" t="s">
        <v>83</v>
      </c>
      <c r="K732" s="189">
        <f>SUM(K730:K731)</f>
        <v>20.108323052512418</v>
      </c>
      <c r="L732" s="179"/>
      <c r="M732" s="190">
        <f>K732-F732</f>
        <v>2.7883230525124176</v>
      </c>
      <c r="N732" s="191">
        <f>M732/F732</f>
        <v>0.1609886288979456</v>
      </c>
    </row>
    <row r="733" spans="1:14" ht="25.5">
      <c r="A733" s="86"/>
      <c r="B733" s="31"/>
      <c r="C733" s="180" t="s">
        <v>84</v>
      </c>
      <c r="D733" s="181">
        <f>A729</f>
        <v>750</v>
      </c>
      <c r="E733" s="192">
        <v>0.0239</v>
      </c>
      <c r="F733" s="374">
        <f>D733*E733</f>
        <v>17.925</v>
      </c>
      <c r="G733" s="167"/>
      <c r="H733" s="184" t="s">
        <v>84</v>
      </c>
      <c r="I733" s="185">
        <f aca="true" t="shared" si="35" ref="I733:K734">D733</f>
        <v>750</v>
      </c>
      <c r="J733" s="194">
        <f t="shared" si="35"/>
        <v>0.0239</v>
      </c>
      <c r="K733" s="195">
        <f t="shared" si="35"/>
        <v>17.925</v>
      </c>
      <c r="L733" s="179"/>
      <c r="M733" s="575"/>
      <c r="N733" s="576"/>
    </row>
    <row r="734" spans="1:14" ht="26.25" thickBot="1">
      <c r="A734" s="86"/>
      <c r="B734" s="31"/>
      <c r="C734" s="196" t="s">
        <v>85</v>
      </c>
      <c r="D734" s="181">
        <f>A729</f>
        <v>750</v>
      </c>
      <c r="E734" s="197">
        <v>0.047</v>
      </c>
      <c r="F734" s="352">
        <f>D734*E734</f>
        <v>35.25</v>
      </c>
      <c r="G734" s="167"/>
      <c r="H734" s="198" t="s">
        <v>85</v>
      </c>
      <c r="I734" s="199">
        <f t="shared" si="35"/>
        <v>750</v>
      </c>
      <c r="J734" s="200">
        <f t="shared" si="35"/>
        <v>0.047</v>
      </c>
      <c r="K734" s="201">
        <f t="shared" si="35"/>
        <v>35.25</v>
      </c>
      <c r="L734" s="179"/>
      <c r="M734" s="579"/>
      <c r="N734" s="580"/>
    </row>
    <row r="735" spans="1:14" ht="13.5" thickBot="1">
      <c r="A735" s="86"/>
      <c r="B735" s="31"/>
      <c r="C735" s="597"/>
      <c r="D735" s="598"/>
      <c r="E735" s="598"/>
      <c r="F735" s="599"/>
      <c r="G735" s="167"/>
      <c r="H735" s="598"/>
      <c r="I735" s="598"/>
      <c r="J735" s="598"/>
      <c r="K735" s="599"/>
      <c r="L735" s="31"/>
      <c r="M735" s="86"/>
      <c r="N735" s="202"/>
    </row>
    <row r="736" spans="1:14" ht="13.5" thickBot="1">
      <c r="A736" s="94"/>
      <c r="B736" s="148"/>
      <c r="C736" s="203" t="s">
        <v>200</v>
      </c>
      <c r="D736" s="204"/>
      <c r="E736" s="204"/>
      <c r="F736" s="189">
        <f>SUM(F733:F734,F732)</f>
        <v>70.495</v>
      </c>
      <c r="G736" s="206"/>
      <c r="H736" s="604" t="s">
        <v>201</v>
      </c>
      <c r="I736" s="604"/>
      <c r="J736" s="604"/>
      <c r="K736" s="189">
        <f>SUM(K732:K734)</f>
        <v>73.28332305251242</v>
      </c>
      <c r="L736" s="207"/>
      <c r="M736" s="190">
        <f>K736-F736</f>
        <v>2.7883230525124105</v>
      </c>
      <c r="N736" s="191">
        <f>M736/F736</f>
        <v>0.03955348680775105</v>
      </c>
    </row>
    <row r="737" spans="1:14" ht="10.5" customHeight="1">
      <c r="A737" s="12"/>
      <c r="D737" s="212"/>
      <c r="E737" s="10"/>
      <c r="F737" s="209"/>
      <c r="I737" s="10"/>
      <c r="J737" s="10"/>
      <c r="K737" s="210"/>
      <c r="L737" s="12"/>
      <c r="M737" s="12"/>
      <c r="N737" s="213"/>
    </row>
    <row r="738" spans="1:13" ht="10.5" customHeight="1" thickBot="1">
      <c r="A738" s="214"/>
      <c r="B738" s="31"/>
      <c r="C738" s="133"/>
      <c r="D738" s="30"/>
      <c r="E738" s="30"/>
      <c r="F738" s="215"/>
      <c r="H738" s="133"/>
      <c r="I738" s="30"/>
      <c r="J738" s="30"/>
      <c r="K738" s="216"/>
      <c r="L738" s="216"/>
      <c r="M738" s="216"/>
    </row>
    <row r="739" spans="1:14" ht="60.75" thickBot="1">
      <c r="A739" s="168" t="s">
        <v>78</v>
      </c>
      <c r="B739" s="169"/>
      <c r="C739" s="569"/>
      <c r="D739" s="581" t="s">
        <v>12</v>
      </c>
      <c r="E739" s="583" t="s">
        <v>79</v>
      </c>
      <c r="F739" s="585" t="s">
        <v>182</v>
      </c>
      <c r="G739" s="166"/>
      <c r="H739" s="170"/>
      <c r="I739" s="581" t="s">
        <v>12</v>
      </c>
      <c r="J739" s="583" t="s">
        <v>79</v>
      </c>
      <c r="K739" s="585" t="s">
        <v>182</v>
      </c>
      <c r="L739" s="169"/>
      <c r="M739" s="600" t="s">
        <v>181</v>
      </c>
      <c r="N739" s="602" t="s">
        <v>80</v>
      </c>
    </row>
    <row r="740" spans="1:14" ht="13.5" thickBot="1">
      <c r="A740" s="171">
        <v>1000</v>
      </c>
      <c r="B740" s="31"/>
      <c r="C740" s="570"/>
      <c r="D740" s="582"/>
      <c r="E740" s="584"/>
      <c r="F740" s="586"/>
      <c r="G740" s="167"/>
      <c r="H740" s="31"/>
      <c r="I740" s="587"/>
      <c r="J740" s="588"/>
      <c r="K740" s="586"/>
      <c r="L740" s="32"/>
      <c r="M740" s="601"/>
      <c r="N740" s="603"/>
    </row>
    <row r="741" spans="1:14" ht="26.25" customHeight="1">
      <c r="A741" s="172"/>
      <c r="B741" s="31"/>
      <c r="C741" s="173" t="s">
        <v>21</v>
      </c>
      <c r="D741" s="174" t="s">
        <v>81</v>
      </c>
      <c r="E741" s="175" t="s">
        <v>81</v>
      </c>
      <c r="F741" s="234">
        <f>F730</f>
        <v>11.32</v>
      </c>
      <c r="G741" s="167"/>
      <c r="H741" s="173" t="s">
        <v>21</v>
      </c>
      <c r="I741" s="208" t="str">
        <f>D741</f>
        <v>N/A</v>
      </c>
      <c r="J741" s="178" t="s">
        <v>81</v>
      </c>
      <c r="K741" s="227">
        <f>+K730</f>
        <v>10.723239435311964</v>
      </c>
      <c r="L741" s="179"/>
      <c r="M741" s="575"/>
      <c r="N741" s="576"/>
    </row>
    <row r="742" spans="1:14" ht="24" customHeight="1" thickBot="1">
      <c r="A742" s="86"/>
      <c r="B742" s="31"/>
      <c r="C742" s="180" t="s">
        <v>82</v>
      </c>
      <c r="D742" s="181">
        <f>A740</f>
        <v>1000</v>
      </c>
      <c r="E742" s="182">
        <f>E731</f>
        <v>0.008</v>
      </c>
      <c r="F742" s="352">
        <f>D742*E742</f>
        <v>8</v>
      </c>
      <c r="G742" s="167"/>
      <c r="H742" s="180" t="s">
        <v>82</v>
      </c>
      <c r="I742" s="185">
        <f>D742</f>
        <v>1000</v>
      </c>
      <c r="J742" s="228">
        <f>+J731</f>
        <v>0.012513444822933938</v>
      </c>
      <c r="K742" s="186">
        <f>I742*J742</f>
        <v>12.513444822933938</v>
      </c>
      <c r="L742" s="179"/>
      <c r="M742" s="577"/>
      <c r="N742" s="578"/>
    </row>
    <row r="743" spans="1:14" ht="13.5" thickBot="1">
      <c r="A743" s="86"/>
      <c r="B743" s="31"/>
      <c r="C743" s="605"/>
      <c r="D743" s="607"/>
      <c r="E743" s="187" t="s">
        <v>52</v>
      </c>
      <c r="F743" s="373">
        <f>SUM(F741:F742)</f>
        <v>19.32</v>
      </c>
      <c r="G743" s="167"/>
      <c r="H743" s="610"/>
      <c r="I743" s="596"/>
      <c r="J743" s="187" t="s">
        <v>83</v>
      </c>
      <c r="K743" s="189">
        <f>SUM(K741:K742)</f>
        <v>23.2366842582459</v>
      </c>
      <c r="L743" s="179"/>
      <c r="M743" s="190">
        <f>K743-F743</f>
        <v>3.916684258245901</v>
      </c>
      <c r="N743" s="191">
        <f>M743/F743</f>
        <v>0.2027269284806367</v>
      </c>
    </row>
    <row r="744" spans="1:14" ht="25.5">
      <c r="A744" s="86"/>
      <c r="B744" s="31"/>
      <c r="C744" s="180" t="s">
        <v>84</v>
      </c>
      <c r="D744" s="181">
        <f>A740</f>
        <v>1000</v>
      </c>
      <c r="E744" s="192">
        <v>0.0239</v>
      </c>
      <c r="F744" s="374">
        <f>D744*E744</f>
        <v>23.900000000000002</v>
      </c>
      <c r="G744" s="167"/>
      <c r="H744" s="180" t="s">
        <v>84</v>
      </c>
      <c r="I744" s="185">
        <f>D744</f>
        <v>1000</v>
      </c>
      <c r="J744" s="194">
        <f>E744</f>
        <v>0.0239</v>
      </c>
      <c r="K744" s="195">
        <f>F744</f>
        <v>23.900000000000002</v>
      </c>
      <c r="L744" s="179"/>
      <c r="M744" s="575"/>
      <c r="N744" s="576"/>
    </row>
    <row r="745" spans="1:14" ht="25.5">
      <c r="A745" s="86"/>
      <c r="B745" s="31"/>
      <c r="C745" s="196" t="s">
        <v>85</v>
      </c>
      <c r="D745" s="181">
        <v>750</v>
      </c>
      <c r="E745" s="197">
        <v>0.047</v>
      </c>
      <c r="F745" s="352">
        <f>D745*E745</f>
        <v>35.25</v>
      </c>
      <c r="G745" s="167"/>
      <c r="H745" s="196" t="s">
        <v>85</v>
      </c>
      <c r="I745" s="181">
        <f>D745</f>
        <v>750</v>
      </c>
      <c r="J745" s="197">
        <v>0.047</v>
      </c>
      <c r="K745" s="352">
        <f>I745*J745</f>
        <v>35.25</v>
      </c>
      <c r="L745" s="179"/>
      <c r="M745" s="579"/>
      <c r="N745" s="580"/>
    </row>
    <row r="746" spans="1:14" ht="26.25" thickBot="1">
      <c r="A746" s="86"/>
      <c r="B746" s="31"/>
      <c r="C746" s="196" t="s">
        <v>85</v>
      </c>
      <c r="D746" s="235">
        <f>A740-D745</f>
        <v>250</v>
      </c>
      <c r="E746" s="197">
        <v>0.055</v>
      </c>
      <c r="F746" s="352">
        <f>D746*E746</f>
        <v>13.75</v>
      </c>
      <c r="G746" s="167"/>
      <c r="H746" s="353" t="s">
        <v>85</v>
      </c>
      <c r="I746" s="376">
        <f>D746</f>
        <v>250</v>
      </c>
      <c r="J746" s="354">
        <v>0.055</v>
      </c>
      <c r="K746" s="355">
        <f>I746*J746</f>
        <v>13.75</v>
      </c>
      <c r="L746" s="179"/>
      <c r="M746" s="579"/>
      <c r="N746" s="580"/>
    </row>
    <row r="747" spans="1:14" ht="13.5" thickBot="1">
      <c r="A747" s="86"/>
      <c r="B747" s="31"/>
      <c r="C747" s="597"/>
      <c r="D747" s="598"/>
      <c r="E747" s="598"/>
      <c r="F747" s="599"/>
      <c r="G747" s="167"/>
      <c r="H747" s="598"/>
      <c r="I747" s="598"/>
      <c r="J747" s="598"/>
      <c r="K747" s="599"/>
      <c r="L747" s="31"/>
      <c r="M747" s="86"/>
      <c r="N747" s="202"/>
    </row>
    <row r="748" spans="1:14" ht="13.5" thickBot="1">
      <c r="A748" s="94"/>
      <c r="B748" s="148"/>
      <c r="C748" s="203" t="s">
        <v>200</v>
      </c>
      <c r="D748" s="204"/>
      <c r="E748" s="204"/>
      <c r="F748" s="189">
        <f>SUM(F744:F746,F743)</f>
        <v>92.22</v>
      </c>
      <c r="G748" s="206"/>
      <c r="H748" s="604" t="s">
        <v>201</v>
      </c>
      <c r="I748" s="604"/>
      <c r="J748" s="604"/>
      <c r="K748" s="189">
        <f>SUM(K743:K746)</f>
        <v>96.13668425824591</v>
      </c>
      <c r="L748" s="207"/>
      <c r="M748" s="190">
        <f>K748-F748</f>
        <v>3.9166842582459083</v>
      </c>
      <c r="N748" s="191">
        <f>M748/F748</f>
        <v>0.04247109366998383</v>
      </c>
    </row>
    <row r="749" spans="1:14" ht="12.75">
      <c r="A749" s="12"/>
      <c r="D749" s="212"/>
      <c r="E749" s="10"/>
      <c r="F749" s="209"/>
      <c r="I749" s="10"/>
      <c r="J749" s="10"/>
      <c r="K749" s="210"/>
      <c r="L749" s="12"/>
      <c r="M749" s="12"/>
      <c r="N749" s="213"/>
    </row>
    <row r="750" spans="1:13" ht="15.75" thickBot="1">
      <c r="A750" s="214"/>
      <c r="B750" s="31"/>
      <c r="C750" s="133"/>
      <c r="D750" s="30"/>
      <c r="E750" s="30"/>
      <c r="F750" s="215"/>
      <c r="H750" s="133"/>
      <c r="I750" s="30"/>
      <c r="J750" s="30"/>
      <c r="K750" s="216"/>
      <c r="L750" s="216"/>
      <c r="M750" s="216"/>
    </row>
    <row r="751" spans="1:14" ht="60.75" thickBot="1">
      <c r="A751" s="168" t="s">
        <v>78</v>
      </c>
      <c r="B751" s="169"/>
      <c r="C751" s="569"/>
      <c r="D751" s="581" t="s">
        <v>12</v>
      </c>
      <c r="E751" s="583" t="s">
        <v>79</v>
      </c>
      <c r="F751" s="585" t="s">
        <v>182</v>
      </c>
      <c r="G751" s="166"/>
      <c r="H751" s="170"/>
      <c r="I751" s="581" t="s">
        <v>12</v>
      </c>
      <c r="J751" s="583" t="s">
        <v>79</v>
      </c>
      <c r="K751" s="585" t="s">
        <v>182</v>
      </c>
      <c r="L751" s="169"/>
      <c r="M751" s="600" t="s">
        <v>181</v>
      </c>
      <c r="N751" s="602" t="s">
        <v>80</v>
      </c>
    </row>
    <row r="752" spans="1:14" ht="13.5" thickBot="1">
      <c r="A752" s="171">
        <v>1500</v>
      </c>
      <c r="B752" s="31"/>
      <c r="C752" s="570"/>
      <c r="D752" s="582"/>
      <c r="E752" s="584"/>
      <c r="F752" s="586"/>
      <c r="G752" s="167"/>
      <c r="H752" s="31"/>
      <c r="I752" s="587"/>
      <c r="J752" s="588"/>
      <c r="K752" s="586"/>
      <c r="L752" s="32"/>
      <c r="M752" s="601"/>
      <c r="N752" s="603"/>
    </row>
    <row r="753" spans="1:14" ht="27.75" customHeight="1">
      <c r="A753" s="172"/>
      <c r="B753" s="31"/>
      <c r="C753" s="173" t="s">
        <v>21</v>
      </c>
      <c r="D753" s="174" t="s">
        <v>81</v>
      </c>
      <c r="E753" s="175" t="s">
        <v>81</v>
      </c>
      <c r="F753" s="234">
        <f>F741</f>
        <v>11.32</v>
      </c>
      <c r="G753" s="167"/>
      <c r="H753" s="177" t="s">
        <v>21</v>
      </c>
      <c r="I753" s="208" t="str">
        <f>D753</f>
        <v>N/A</v>
      </c>
      <c r="J753" s="178" t="s">
        <v>81</v>
      </c>
      <c r="K753" s="227">
        <f>+K741</f>
        <v>10.723239435311964</v>
      </c>
      <c r="L753" s="179"/>
      <c r="M753" s="575"/>
      <c r="N753" s="576"/>
    </row>
    <row r="754" spans="1:14" ht="25.5" customHeight="1" thickBot="1">
      <c r="A754" s="86"/>
      <c r="B754" s="31"/>
      <c r="C754" s="180" t="s">
        <v>82</v>
      </c>
      <c r="D754" s="181">
        <f>A752</f>
        <v>1500</v>
      </c>
      <c r="E754" s="182">
        <f>E742</f>
        <v>0.008</v>
      </c>
      <c r="F754" s="352">
        <f>D754*E754</f>
        <v>12</v>
      </c>
      <c r="G754" s="167"/>
      <c r="H754" s="184" t="s">
        <v>82</v>
      </c>
      <c r="I754" s="185">
        <f>D754</f>
        <v>1500</v>
      </c>
      <c r="J754" s="228">
        <f>+J742</f>
        <v>0.012513444822933938</v>
      </c>
      <c r="K754" s="186">
        <f>I754*J754</f>
        <v>18.77016723440091</v>
      </c>
      <c r="L754" s="179"/>
      <c r="M754" s="577"/>
      <c r="N754" s="578"/>
    </row>
    <row r="755" spans="1:14" ht="13.5" thickBot="1">
      <c r="A755" s="86"/>
      <c r="B755" s="31"/>
      <c r="C755" s="605"/>
      <c r="D755" s="607"/>
      <c r="E755" s="187" t="s">
        <v>52</v>
      </c>
      <c r="F755" s="373">
        <f>SUM(F753:F754)</f>
        <v>23.32</v>
      </c>
      <c r="G755" s="167"/>
      <c r="H755" s="595"/>
      <c r="I755" s="596"/>
      <c r="J755" s="187" t="s">
        <v>83</v>
      </c>
      <c r="K755" s="189">
        <f>SUM(K753:K754)</f>
        <v>29.493406669712872</v>
      </c>
      <c r="L755" s="179"/>
      <c r="M755" s="190">
        <f>K755-F755</f>
        <v>6.173406669712872</v>
      </c>
      <c r="N755" s="191">
        <f>M755/F755</f>
        <v>0.26472584346967715</v>
      </c>
    </row>
    <row r="756" spans="1:14" ht="25.5">
      <c r="A756" s="86"/>
      <c r="B756" s="31"/>
      <c r="C756" s="180" t="s">
        <v>84</v>
      </c>
      <c r="D756" s="181">
        <f>A752</f>
        <v>1500</v>
      </c>
      <c r="E756" s="192">
        <v>0.0239</v>
      </c>
      <c r="F756" s="374">
        <f>D756*E756</f>
        <v>35.85</v>
      </c>
      <c r="G756" s="167"/>
      <c r="H756" s="184" t="s">
        <v>84</v>
      </c>
      <c r="I756" s="185">
        <f>D756</f>
        <v>1500</v>
      </c>
      <c r="J756" s="194">
        <f>E756</f>
        <v>0.0239</v>
      </c>
      <c r="K756" s="195">
        <f>F756</f>
        <v>35.85</v>
      </c>
      <c r="L756" s="179"/>
      <c r="M756" s="575"/>
      <c r="N756" s="576"/>
    </row>
    <row r="757" spans="1:14" ht="25.5">
      <c r="A757" s="86"/>
      <c r="B757" s="31"/>
      <c r="C757" s="196" t="s">
        <v>85</v>
      </c>
      <c r="D757" s="181">
        <v>750</v>
      </c>
      <c r="E757" s="197">
        <v>0.047</v>
      </c>
      <c r="F757" s="352">
        <f>D757*E757</f>
        <v>35.25</v>
      </c>
      <c r="G757" s="167"/>
      <c r="H757" s="196" t="s">
        <v>85</v>
      </c>
      <c r="I757" s="185">
        <f>D757</f>
        <v>750</v>
      </c>
      <c r="J757" s="197">
        <v>0.047</v>
      </c>
      <c r="K757" s="352">
        <f>I757*J757</f>
        <v>35.25</v>
      </c>
      <c r="L757" s="179"/>
      <c r="M757" s="579"/>
      <c r="N757" s="580"/>
    </row>
    <row r="758" spans="1:14" ht="26.25" thickBot="1">
      <c r="A758" s="86"/>
      <c r="B758" s="31"/>
      <c r="C758" s="196" t="s">
        <v>85</v>
      </c>
      <c r="D758" s="235">
        <f>A752-D757</f>
        <v>750</v>
      </c>
      <c r="E758" s="197">
        <v>0.055</v>
      </c>
      <c r="F758" s="352">
        <f>D758*E758</f>
        <v>41.25</v>
      </c>
      <c r="G758" s="167"/>
      <c r="H758" s="353" t="s">
        <v>85</v>
      </c>
      <c r="I758" s="376">
        <f>D758</f>
        <v>750</v>
      </c>
      <c r="J758" s="354">
        <v>0.055</v>
      </c>
      <c r="K758" s="355">
        <f>I758*J758</f>
        <v>41.25</v>
      </c>
      <c r="L758" s="179"/>
      <c r="M758" s="579"/>
      <c r="N758" s="580"/>
    </row>
    <row r="759" spans="1:14" ht="13.5" thickBot="1">
      <c r="A759" s="86"/>
      <c r="B759" s="31"/>
      <c r="C759" s="597"/>
      <c r="D759" s="598"/>
      <c r="E759" s="598"/>
      <c r="F759" s="599"/>
      <c r="G759" s="167"/>
      <c r="H759" s="598"/>
      <c r="I759" s="598"/>
      <c r="J759" s="598"/>
      <c r="K759" s="599"/>
      <c r="L759" s="31"/>
      <c r="M759" s="86"/>
      <c r="N759" s="202"/>
    </row>
    <row r="760" spans="1:14" ht="13.5" thickBot="1">
      <c r="A760" s="94"/>
      <c r="B760" s="148"/>
      <c r="C760" s="203" t="s">
        <v>200</v>
      </c>
      <c r="D760" s="204"/>
      <c r="E760" s="204"/>
      <c r="F760" s="189">
        <f>SUM(F756:F758,F755)</f>
        <v>135.67</v>
      </c>
      <c r="G760" s="206"/>
      <c r="H760" s="604" t="s">
        <v>201</v>
      </c>
      <c r="I760" s="604"/>
      <c r="J760" s="604"/>
      <c r="K760" s="189">
        <f>SUM(K755:K758)</f>
        <v>141.84340666971286</v>
      </c>
      <c r="L760" s="207"/>
      <c r="M760" s="190">
        <f>K760-F760</f>
        <v>6.173406669712875</v>
      </c>
      <c r="N760" s="191">
        <f>M760/F760</f>
        <v>0.04550310805419677</v>
      </c>
    </row>
    <row r="761" spans="1:14" ht="9" customHeight="1">
      <c r="A761" s="12"/>
      <c r="D761" s="212"/>
      <c r="E761" s="10"/>
      <c r="F761" s="209"/>
      <c r="I761" s="10"/>
      <c r="J761" s="10"/>
      <c r="K761" s="210"/>
      <c r="L761" s="12"/>
      <c r="M761" s="12"/>
      <c r="N761" s="213"/>
    </row>
    <row r="762" spans="1:13" ht="9" customHeight="1" thickBot="1">
      <c r="A762" s="214"/>
      <c r="B762" s="31"/>
      <c r="C762" s="133"/>
      <c r="D762" s="30"/>
      <c r="E762" s="30"/>
      <c r="F762" s="215"/>
      <c r="H762" s="133"/>
      <c r="I762" s="30"/>
      <c r="J762" s="30"/>
      <c r="K762" s="216"/>
      <c r="L762" s="216"/>
      <c r="M762" s="216"/>
    </row>
    <row r="763" spans="1:14" ht="60.75" thickBot="1">
      <c r="A763" s="168" t="s">
        <v>78</v>
      </c>
      <c r="B763" s="169"/>
      <c r="C763" s="569"/>
      <c r="D763" s="581" t="s">
        <v>12</v>
      </c>
      <c r="E763" s="583" t="s">
        <v>79</v>
      </c>
      <c r="F763" s="585" t="s">
        <v>182</v>
      </c>
      <c r="G763" s="166"/>
      <c r="H763" s="170"/>
      <c r="I763" s="581" t="s">
        <v>12</v>
      </c>
      <c r="J763" s="583" t="s">
        <v>79</v>
      </c>
      <c r="K763" s="585" t="s">
        <v>182</v>
      </c>
      <c r="L763" s="169"/>
      <c r="M763" s="600" t="s">
        <v>181</v>
      </c>
      <c r="N763" s="602" t="s">
        <v>80</v>
      </c>
    </row>
    <row r="764" spans="1:14" ht="13.5" thickBot="1">
      <c r="A764" s="171">
        <v>2000</v>
      </c>
      <c r="B764" s="31"/>
      <c r="C764" s="570"/>
      <c r="D764" s="582"/>
      <c r="E764" s="584"/>
      <c r="F764" s="586"/>
      <c r="G764" s="167"/>
      <c r="H764" s="31"/>
      <c r="I764" s="587"/>
      <c r="J764" s="588"/>
      <c r="K764" s="586"/>
      <c r="L764" s="32"/>
      <c r="M764" s="601"/>
      <c r="N764" s="603"/>
    </row>
    <row r="765" spans="1:14" ht="27" customHeight="1">
      <c r="A765" s="172"/>
      <c r="B765" s="31"/>
      <c r="C765" s="173" t="s">
        <v>21</v>
      </c>
      <c r="D765" s="174" t="s">
        <v>81</v>
      </c>
      <c r="E765" s="175" t="s">
        <v>81</v>
      </c>
      <c r="F765" s="234">
        <f>F753</f>
        <v>11.32</v>
      </c>
      <c r="G765" s="167"/>
      <c r="H765" s="177" t="s">
        <v>21</v>
      </c>
      <c r="I765" s="208" t="str">
        <f>D765</f>
        <v>N/A</v>
      </c>
      <c r="J765" s="178" t="s">
        <v>81</v>
      </c>
      <c r="K765" s="227">
        <f>+K753</f>
        <v>10.723239435311964</v>
      </c>
      <c r="L765" s="179"/>
      <c r="M765" s="575"/>
      <c r="N765" s="576"/>
    </row>
    <row r="766" spans="1:14" ht="29.25" customHeight="1" thickBot="1">
      <c r="A766" s="86"/>
      <c r="B766" s="31"/>
      <c r="C766" s="180" t="s">
        <v>82</v>
      </c>
      <c r="D766" s="181">
        <f>A764</f>
        <v>2000</v>
      </c>
      <c r="E766" s="182">
        <f>E754</f>
        <v>0.008</v>
      </c>
      <c r="F766" s="352">
        <f>D766*E766</f>
        <v>16</v>
      </c>
      <c r="G766" s="167"/>
      <c r="H766" s="184" t="s">
        <v>82</v>
      </c>
      <c r="I766" s="185">
        <f>D766</f>
        <v>2000</v>
      </c>
      <c r="J766" s="228">
        <f>+J754</f>
        <v>0.012513444822933938</v>
      </c>
      <c r="K766" s="186">
        <f>I766*J766</f>
        <v>25.026889645867875</v>
      </c>
      <c r="L766" s="179"/>
      <c r="M766" s="577"/>
      <c r="N766" s="578"/>
    </row>
    <row r="767" spans="1:14" ht="13.5" customHeight="1" thickBot="1">
      <c r="A767" s="86"/>
      <c r="B767" s="31"/>
      <c r="C767" s="605"/>
      <c r="D767" s="607"/>
      <c r="E767" s="187" t="s">
        <v>52</v>
      </c>
      <c r="F767" s="373">
        <f>SUM(F765:F766)</f>
        <v>27.32</v>
      </c>
      <c r="G767" s="167"/>
      <c r="H767" s="595"/>
      <c r="I767" s="596"/>
      <c r="J767" s="187" t="s">
        <v>83</v>
      </c>
      <c r="K767" s="189">
        <f>SUM(K765:K766)</f>
        <v>35.750129081179836</v>
      </c>
      <c r="L767" s="179"/>
      <c r="M767" s="190">
        <f>K767-F767</f>
        <v>8.430129081179835</v>
      </c>
      <c r="N767" s="191">
        <f>M767/F767</f>
        <v>0.3085698785204918</v>
      </c>
    </row>
    <row r="768" spans="1:14" ht="25.5">
      <c r="A768" s="86"/>
      <c r="B768" s="31"/>
      <c r="C768" s="180" t="s">
        <v>84</v>
      </c>
      <c r="D768" s="181">
        <f>A764</f>
        <v>2000</v>
      </c>
      <c r="E768" s="192">
        <v>0.0239</v>
      </c>
      <c r="F768" s="374">
        <f>D768*E768</f>
        <v>47.800000000000004</v>
      </c>
      <c r="G768" s="167"/>
      <c r="H768" s="184" t="s">
        <v>84</v>
      </c>
      <c r="I768" s="185">
        <f>D768</f>
        <v>2000</v>
      </c>
      <c r="J768" s="194">
        <f>E768</f>
        <v>0.0239</v>
      </c>
      <c r="K768" s="195">
        <f>F768</f>
        <v>47.800000000000004</v>
      </c>
      <c r="L768" s="179"/>
      <c r="M768" s="575"/>
      <c r="N768" s="576"/>
    </row>
    <row r="769" spans="1:14" ht="25.5">
      <c r="A769" s="86"/>
      <c r="B769" s="31"/>
      <c r="C769" s="196" t="s">
        <v>85</v>
      </c>
      <c r="D769" s="181">
        <v>750</v>
      </c>
      <c r="E769" s="197">
        <v>0.047</v>
      </c>
      <c r="F769" s="352">
        <f>D769*E769</f>
        <v>35.25</v>
      </c>
      <c r="G769" s="167"/>
      <c r="H769" s="196" t="s">
        <v>85</v>
      </c>
      <c r="I769" s="185">
        <f>D769</f>
        <v>750</v>
      </c>
      <c r="J769" s="197">
        <v>0.047</v>
      </c>
      <c r="K769" s="352">
        <f>I769*J769</f>
        <v>35.25</v>
      </c>
      <c r="L769" s="179"/>
      <c r="M769" s="579"/>
      <c r="N769" s="580"/>
    </row>
    <row r="770" spans="1:14" ht="26.25" thickBot="1">
      <c r="A770" s="86"/>
      <c r="B770" s="31"/>
      <c r="C770" s="196" t="s">
        <v>85</v>
      </c>
      <c r="D770" s="235">
        <f>A764-D769</f>
        <v>1250</v>
      </c>
      <c r="E770" s="197">
        <v>0.055</v>
      </c>
      <c r="F770" s="352">
        <f>D770*E770</f>
        <v>68.75</v>
      </c>
      <c r="G770" s="167"/>
      <c r="H770" s="353" t="s">
        <v>85</v>
      </c>
      <c r="I770" s="376">
        <f>D770</f>
        <v>1250</v>
      </c>
      <c r="J770" s="354">
        <v>0.055</v>
      </c>
      <c r="K770" s="355">
        <f>I770*J770</f>
        <v>68.75</v>
      </c>
      <c r="L770" s="179"/>
      <c r="M770" s="579"/>
      <c r="N770" s="580"/>
    </row>
    <row r="771" spans="1:14" ht="13.5" thickBot="1">
      <c r="A771" s="86"/>
      <c r="B771" s="31"/>
      <c r="C771" s="597"/>
      <c r="D771" s="598"/>
      <c r="E771" s="598"/>
      <c r="F771" s="599"/>
      <c r="G771" s="167"/>
      <c r="H771" s="598"/>
      <c r="I771" s="598"/>
      <c r="J771" s="598"/>
      <c r="K771" s="599"/>
      <c r="L771" s="31"/>
      <c r="M771" s="86"/>
      <c r="N771" s="202"/>
    </row>
    <row r="772" spans="1:14" ht="13.5" thickBot="1">
      <c r="A772" s="94"/>
      <c r="B772" s="148"/>
      <c r="C772" s="203" t="s">
        <v>200</v>
      </c>
      <c r="D772" s="204"/>
      <c r="E772" s="204"/>
      <c r="F772" s="189">
        <f>SUM(F768:F770,F767)</f>
        <v>179.12</v>
      </c>
      <c r="G772" s="206"/>
      <c r="H772" s="604" t="s">
        <v>201</v>
      </c>
      <c r="I772" s="604"/>
      <c r="J772" s="604"/>
      <c r="K772" s="189">
        <f>SUM(K767:K770)</f>
        <v>187.55012908117985</v>
      </c>
      <c r="L772" s="207"/>
      <c r="M772" s="190">
        <f>K772-F772</f>
        <v>8.430129081179842</v>
      </c>
      <c r="N772" s="191">
        <f>M772/F772</f>
        <v>0.047064141810963835</v>
      </c>
    </row>
    <row r="775" spans="3:11" ht="15.75">
      <c r="C775" s="497" t="s">
        <v>251</v>
      </c>
      <c r="D775" s="484"/>
      <c r="E775" s="160"/>
      <c r="F775" s="160"/>
      <c r="G775" s="31"/>
      <c r="K775" s="161"/>
    </row>
    <row r="776" spans="5:11" ht="16.5" thickBot="1">
      <c r="E776" s="160"/>
      <c r="F776" s="160"/>
      <c r="G776" s="31"/>
      <c r="K776" s="161"/>
    </row>
    <row r="777" spans="1:14" ht="15">
      <c r="A777" s="47"/>
      <c r="C777" s="589" t="s">
        <v>95</v>
      </c>
      <c r="D777" s="590"/>
      <c r="E777" s="590"/>
      <c r="F777" s="591"/>
      <c r="G777" s="166"/>
      <c r="H777" s="589" t="s">
        <v>96</v>
      </c>
      <c r="I777" s="590"/>
      <c r="J777" s="590"/>
      <c r="K777" s="590"/>
      <c r="L777" s="590"/>
      <c r="M777" s="590"/>
      <c r="N777" s="591"/>
    </row>
    <row r="778" spans="1:14" ht="13.5" thickBot="1">
      <c r="A778"/>
      <c r="C778" s="592"/>
      <c r="D778" s="593"/>
      <c r="E778" s="593"/>
      <c r="F778" s="594"/>
      <c r="G778" s="167"/>
      <c r="H778" s="592"/>
      <c r="I778" s="593"/>
      <c r="J778" s="593"/>
      <c r="K778" s="593"/>
      <c r="L778" s="593"/>
      <c r="M778" s="593"/>
      <c r="N778" s="594"/>
    </row>
    <row r="779" spans="1:14" ht="60.75" thickBot="1">
      <c r="A779" s="168" t="s">
        <v>78</v>
      </c>
      <c r="B779" s="169"/>
      <c r="C779" s="569"/>
      <c r="D779" s="581" t="s">
        <v>12</v>
      </c>
      <c r="E779" s="583" t="s">
        <v>79</v>
      </c>
      <c r="F779" s="585" t="s">
        <v>182</v>
      </c>
      <c r="G779" s="166"/>
      <c r="H779" s="170"/>
      <c r="I779" s="581" t="s">
        <v>12</v>
      </c>
      <c r="J779" s="583" t="s">
        <v>79</v>
      </c>
      <c r="K779" s="585" t="s">
        <v>182</v>
      </c>
      <c r="L779" s="169"/>
      <c r="M779" s="600" t="s">
        <v>181</v>
      </c>
      <c r="N779" s="602" t="s">
        <v>80</v>
      </c>
    </row>
    <row r="780" spans="1:14" ht="13.5" thickBot="1">
      <c r="A780" s="171">
        <v>100</v>
      </c>
      <c r="B780" s="31"/>
      <c r="C780" s="570"/>
      <c r="D780" s="582"/>
      <c r="E780" s="584"/>
      <c r="F780" s="586"/>
      <c r="G780" s="167"/>
      <c r="H780" s="31"/>
      <c r="I780" s="587"/>
      <c r="J780" s="588"/>
      <c r="K780" s="586"/>
      <c r="L780" s="32"/>
      <c r="M780" s="601"/>
      <c r="N780" s="603"/>
    </row>
    <row r="781" spans="1:14" ht="25.5">
      <c r="A781" s="172"/>
      <c r="B781" s="31"/>
      <c r="C781" s="449" t="s">
        <v>21</v>
      </c>
      <c r="D781" s="174" t="s">
        <v>81</v>
      </c>
      <c r="E781" s="175" t="s">
        <v>81</v>
      </c>
      <c r="F781" s="234">
        <f>+'12. Current Rates'!D75</f>
        <v>14.93</v>
      </c>
      <c r="G781" s="167"/>
      <c r="H781" s="452" t="s">
        <v>21</v>
      </c>
      <c r="I781" s="174" t="s">
        <v>81</v>
      </c>
      <c r="J781" s="174" t="s">
        <v>81</v>
      </c>
      <c r="K781" s="234">
        <f>+'11. 2005 Final Rate Schedule '!F712</f>
        <v>14.222490480733107</v>
      </c>
      <c r="L781" s="179"/>
      <c r="M781" s="575"/>
      <c r="N781" s="576"/>
    </row>
    <row r="782" spans="1:14" ht="26.25" thickBot="1">
      <c r="A782" s="86"/>
      <c r="B782" s="31"/>
      <c r="C782" s="450" t="s">
        <v>82</v>
      </c>
      <c r="D782" s="235">
        <f>A780</f>
        <v>100</v>
      </c>
      <c r="E782" s="438">
        <f>+'12. Current Rates'!D73</f>
        <v>0.0121</v>
      </c>
      <c r="F782" s="352">
        <f>D782*E782</f>
        <v>1.21</v>
      </c>
      <c r="G782" s="167"/>
      <c r="H782" s="453" t="s">
        <v>82</v>
      </c>
      <c r="I782" s="181">
        <f>D782</f>
        <v>100</v>
      </c>
      <c r="J782" s="444">
        <f>+'11. 2005 Final Rate Schedule '!F713</f>
        <v>0.016895977714591216</v>
      </c>
      <c r="K782" s="237">
        <f>I782*J782</f>
        <v>1.6895977714591215</v>
      </c>
      <c r="L782" s="179"/>
      <c r="M782" s="577"/>
      <c r="N782" s="578"/>
    </row>
    <row r="783" spans="1:14" ht="13.5" thickBot="1">
      <c r="A783" s="86"/>
      <c r="B783" s="31"/>
      <c r="C783" s="567"/>
      <c r="D783" s="568"/>
      <c r="E783" s="187" t="s">
        <v>52</v>
      </c>
      <c r="F783" s="373">
        <f>SUM(F781:F782)</f>
        <v>16.14</v>
      </c>
      <c r="G783" s="167"/>
      <c r="H783" s="595"/>
      <c r="I783" s="596"/>
      <c r="J783" s="187" t="s">
        <v>83</v>
      </c>
      <c r="K783" s="189">
        <f>SUM(K781:K782)</f>
        <v>15.912088252192229</v>
      </c>
      <c r="L783" s="179"/>
      <c r="M783" s="190">
        <f>K783-F783</f>
        <v>-0.2279117478077719</v>
      </c>
      <c r="N783" s="191">
        <f>M783/F783</f>
        <v>-0.014120926134310527</v>
      </c>
    </row>
    <row r="784" spans="1:14" ht="25.5">
      <c r="A784" s="86"/>
      <c r="B784" s="31"/>
      <c r="C784" s="450" t="s">
        <v>84</v>
      </c>
      <c r="D784" s="181">
        <f>A780</f>
        <v>100</v>
      </c>
      <c r="E784" s="439">
        <v>0.0239</v>
      </c>
      <c r="F784" s="374">
        <f>D784*E784</f>
        <v>2.39</v>
      </c>
      <c r="G784" s="167"/>
      <c r="H784" s="453" t="s">
        <v>84</v>
      </c>
      <c r="I784" s="181">
        <f aca="true" t="shared" si="36" ref="I784:K785">D784</f>
        <v>100</v>
      </c>
      <c r="J784" s="445">
        <f t="shared" si="36"/>
        <v>0.0239</v>
      </c>
      <c r="K784" s="239">
        <f t="shared" si="36"/>
        <v>2.39</v>
      </c>
      <c r="L784" s="179"/>
      <c r="M784" s="575"/>
      <c r="N784" s="576"/>
    </row>
    <row r="785" spans="1:14" ht="26.25" thickBot="1">
      <c r="A785" s="86"/>
      <c r="B785" s="31"/>
      <c r="C785" s="451" t="s">
        <v>85</v>
      </c>
      <c r="D785" s="181">
        <f>A780</f>
        <v>100</v>
      </c>
      <c r="E785" s="440">
        <v>0.047</v>
      </c>
      <c r="F785" s="352">
        <f>D785*E785</f>
        <v>4.7</v>
      </c>
      <c r="G785" s="167"/>
      <c r="H785" s="454" t="s">
        <v>85</v>
      </c>
      <c r="I785" s="446">
        <f t="shared" si="36"/>
        <v>100</v>
      </c>
      <c r="J785" s="447">
        <f t="shared" si="36"/>
        <v>0.047</v>
      </c>
      <c r="K785" s="243">
        <f t="shared" si="36"/>
        <v>4.7</v>
      </c>
      <c r="L785" s="179"/>
      <c r="M785" s="579"/>
      <c r="N785" s="580"/>
    </row>
    <row r="786" spans="1:14" ht="13.5" thickBot="1">
      <c r="A786" s="86"/>
      <c r="B786" s="31"/>
      <c r="C786" s="597"/>
      <c r="D786" s="598"/>
      <c r="E786" s="598"/>
      <c r="F786" s="599"/>
      <c r="G786" s="167"/>
      <c r="H786" s="598"/>
      <c r="I786" s="598"/>
      <c r="J786" s="598"/>
      <c r="K786" s="599"/>
      <c r="L786" s="31"/>
      <c r="M786" s="86"/>
      <c r="N786" s="202"/>
    </row>
    <row r="787" spans="1:14" ht="13.5" thickBot="1">
      <c r="A787" s="94"/>
      <c r="B787" s="148"/>
      <c r="C787" s="203" t="s">
        <v>200</v>
      </c>
      <c r="D787" s="204"/>
      <c r="E787" s="204"/>
      <c r="F787" s="189">
        <f>SUM(F784:F785,F783)</f>
        <v>23.23</v>
      </c>
      <c r="G787" s="206"/>
      <c r="H787" s="604" t="s">
        <v>201</v>
      </c>
      <c r="I787" s="604"/>
      <c r="J787" s="604"/>
      <c r="K787" s="189">
        <f>SUM(K783:K785)</f>
        <v>23.002088252192227</v>
      </c>
      <c r="L787" s="207"/>
      <c r="M787" s="190">
        <f>K787-F787</f>
        <v>-0.22791174780777368</v>
      </c>
      <c r="N787" s="191">
        <f>M787/F787</f>
        <v>-0.009811095471707864</v>
      </c>
    </row>
    <row r="788" ht="12.75">
      <c r="K788" s="161"/>
    </row>
    <row r="789" spans="6:11" ht="13.5" thickBot="1">
      <c r="F789" s="161"/>
      <c r="K789" s="161"/>
    </row>
    <row r="790" spans="1:14" ht="60.75" thickBot="1">
      <c r="A790" s="168" t="s">
        <v>78</v>
      </c>
      <c r="B790" s="169"/>
      <c r="C790" s="569"/>
      <c r="D790" s="581" t="s">
        <v>12</v>
      </c>
      <c r="E790" s="583" t="s">
        <v>79</v>
      </c>
      <c r="F790" s="585" t="s">
        <v>182</v>
      </c>
      <c r="G790" s="166"/>
      <c r="H790" s="170"/>
      <c r="I790" s="581" t="s">
        <v>12</v>
      </c>
      <c r="J790" s="583" t="s">
        <v>79</v>
      </c>
      <c r="K790" s="585" t="s">
        <v>182</v>
      </c>
      <c r="L790" s="169"/>
      <c r="M790" s="600" t="s">
        <v>181</v>
      </c>
      <c r="N790" s="602" t="s">
        <v>80</v>
      </c>
    </row>
    <row r="791" spans="1:14" ht="13.5" thickBot="1">
      <c r="A791" s="171">
        <v>250</v>
      </c>
      <c r="B791" s="31"/>
      <c r="C791" s="570"/>
      <c r="D791" s="582"/>
      <c r="E791" s="584"/>
      <c r="F791" s="586"/>
      <c r="G791" s="167"/>
      <c r="H791" s="31"/>
      <c r="I791" s="587"/>
      <c r="J791" s="588"/>
      <c r="K791" s="586"/>
      <c r="L791" s="32"/>
      <c r="M791" s="601"/>
      <c r="N791" s="603"/>
    </row>
    <row r="792" spans="1:14" ht="25.5">
      <c r="A792" s="172"/>
      <c r="B792" s="31"/>
      <c r="C792" s="173" t="s">
        <v>21</v>
      </c>
      <c r="D792" s="174" t="s">
        <v>81</v>
      </c>
      <c r="E792" s="175" t="s">
        <v>81</v>
      </c>
      <c r="F792" s="234">
        <f>F781</f>
        <v>14.93</v>
      </c>
      <c r="G792" s="167"/>
      <c r="H792" s="177" t="s">
        <v>21</v>
      </c>
      <c r="I792" s="208" t="str">
        <f>D792</f>
        <v>N/A</v>
      </c>
      <c r="J792" s="178" t="s">
        <v>81</v>
      </c>
      <c r="K792" s="227">
        <f>+K781</f>
        <v>14.222490480733107</v>
      </c>
      <c r="L792" s="179"/>
      <c r="M792" s="575"/>
      <c r="N792" s="576"/>
    </row>
    <row r="793" spans="1:14" ht="26.25" thickBot="1">
      <c r="A793" s="86"/>
      <c r="B793" s="31"/>
      <c r="C793" s="180" t="s">
        <v>82</v>
      </c>
      <c r="D793" s="235">
        <f>A791</f>
        <v>250</v>
      </c>
      <c r="E793" s="182">
        <f>E782</f>
        <v>0.0121</v>
      </c>
      <c r="F793" s="352">
        <f>D793*E793</f>
        <v>3.025</v>
      </c>
      <c r="G793" s="167"/>
      <c r="H793" s="184" t="s">
        <v>82</v>
      </c>
      <c r="I793" s="185">
        <f>D793</f>
        <v>250</v>
      </c>
      <c r="J793" s="443">
        <f>+J782</f>
        <v>0.016895977714591216</v>
      </c>
      <c r="K793" s="186">
        <f>I793*J793</f>
        <v>4.223994428647804</v>
      </c>
      <c r="L793" s="179"/>
      <c r="M793" s="577"/>
      <c r="N793" s="578"/>
    </row>
    <row r="794" spans="1:14" ht="13.5" thickBot="1">
      <c r="A794" s="86"/>
      <c r="B794" s="31"/>
      <c r="C794" s="605"/>
      <c r="D794" s="607"/>
      <c r="E794" s="187" t="s">
        <v>52</v>
      </c>
      <c r="F794" s="373">
        <f>SUM(F792:F793)</f>
        <v>17.955</v>
      </c>
      <c r="G794" s="167"/>
      <c r="H794" s="595"/>
      <c r="I794" s="596"/>
      <c r="J794" s="187" t="s">
        <v>83</v>
      </c>
      <c r="K794" s="189">
        <f>SUM(K792:K793)</f>
        <v>18.44648490938091</v>
      </c>
      <c r="L794" s="179"/>
      <c r="M794" s="190">
        <f>K794-F794</f>
        <v>0.4914849093809117</v>
      </c>
      <c r="N794" s="191">
        <f>M794/F794</f>
        <v>0.027373150062985897</v>
      </c>
    </row>
    <row r="795" spans="1:14" ht="25.5">
      <c r="A795" s="86"/>
      <c r="B795" s="31"/>
      <c r="C795" s="180" t="s">
        <v>84</v>
      </c>
      <c r="D795" s="181">
        <f>A791</f>
        <v>250</v>
      </c>
      <c r="E795" s="439">
        <v>0.0239</v>
      </c>
      <c r="F795" s="374">
        <f>D795*E795</f>
        <v>5.9750000000000005</v>
      </c>
      <c r="G795" s="167"/>
      <c r="H795" s="184" t="s">
        <v>84</v>
      </c>
      <c r="I795" s="185">
        <f aca="true" t="shared" si="37" ref="I795:K796">D795</f>
        <v>250</v>
      </c>
      <c r="J795" s="441">
        <f t="shared" si="37"/>
        <v>0.0239</v>
      </c>
      <c r="K795" s="195">
        <f t="shared" si="37"/>
        <v>5.9750000000000005</v>
      </c>
      <c r="L795" s="179"/>
      <c r="M795" s="575"/>
      <c r="N795" s="576"/>
    </row>
    <row r="796" spans="1:14" ht="26.25" thickBot="1">
      <c r="A796" s="86"/>
      <c r="B796" s="31"/>
      <c r="C796" s="196" t="s">
        <v>85</v>
      </c>
      <c r="D796" s="181">
        <f>A791</f>
        <v>250</v>
      </c>
      <c r="E796" s="440">
        <v>0.047</v>
      </c>
      <c r="F796" s="352">
        <f>D796*E796</f>
        <v>11.75</v>
      </c>
      <c r="G796" s="167"/>
      <c r="H796" s="198" t="s">
        <v>85</v>
      </c>
      <c r="I796" s="199">
        <f t="shared" si="37"/>
        <v>250</v>
      </c>
      <c r="J796" s="442">
        <f t="shared" si="37"/>
        <v>0.047</v>
      </c>
      <c r="K796" s="201">
        <f t="shared" si="37"/>
        <v>11.75</v>
      </c>
      <c r="L796" s="179"/>
      <c r="M796" s="579"/>
      <c r="N796" s="580"/>
    </row>
    <row r="797" spans="1:14" ht="13.5" thickBot="1">
      <c r="A797" s="86"/>
      <c r="B797" s="31"/>
      <c r="C797" s="597"/>
      <c r="D797" s="598"/>
      <c r="E797" s="598"/>
      <c r="F797" s="599"/>
      <c r="G797" s="167"/>
      <c r="H797" s="598"/>
      <c r="I797" s="598"/>
      <c r="J797" s="598"/>
      <c r="K797" s="599"/>
      <c r="L797" s="31"/>
      <c r="M797" s="86"/>
      <c r="N797" s="202"/>
    </row>
    <row r="798" spans="1:14" ht="13.5" thickBot="1">
      <c r="A798" s="94"/>
      <c r="B798" s="148"/>
      <c r="C798" s="203" t="s">
        <v>200</v>
      </c>
      <c r="D798" s="204"/>
      <c r="E798" s="204"/>
      <c r="F798" s="189">
        <f>SUM(F795:F796,F794)</f>
        <v>35.68</v>
      </c>
      <c r="G798" s="206"/>
      <c r="H798" s="604" t="s">
        <v>201</v>
      </c>
      <c r="I798" s="604"/>
      <c r="J798" s="604"/>
      <c r="K798" s="189">
        <f>SUM(K794:K796)</f>
        <v>36.17148490938091</v>
      </c>
      <c r="L798" s="207"/>
      <c r="M798" s="190">
        <f>K798-F798</f>
        <v>0.49148490938090816</v>
      </c>
      <c r="N798" s="191">
        <f>M798/F798</f>
        <v>0.01377480127188644</v>
      </c>
    </row>
    <row r="799" ht="12.75">
      <c r="K799" s="161"/>
    </row>
    <row r="800" spans="1:14" ht="15.75" thickBot="1">
      <c r="A800" s="47"/>
      <c r="B800" s="12"/>
      <c r="D800" s="10"/>
      <c r="E800" s="10"/>
      <c r="F800" s="209"/>
      <c r="I800" s="10"/>
      <c r="J800" s="10"/>
      <c r="K800" s="210"/>
      <c r="L800" s="12"/>
      <c r="M800" s="12"/>
      <c r="N800" s="211"/>
    </row>
    <row r="801" spans="1:14" ht="60.75" thickBot="1">
      <c r="A801" s="168" t="s">
        <v>78</v>
      </c>
      <c r="B801" s="169"/>
      <c r="C801" s="608"/>
      <c r="D801" s="581" t="s">
        <v>12</v>
      </c>
      <c r="E801" s="583" t="s">
        <v>79</v>
      </c>
      <c r="F801" s="585" t="s">
        <v>182</v>
      </c>
      <c r="G801" s="166"/>
      <c r="H801" s="170"/>
      <c r="I801" s="581" t="s">
        <v>12</v>
      </c>
      <c r="J801" s="583" t="s">
        <v>79</v>
      </c>
      <c r="K801" s="585" t="s">
        <v>182</v>
      </c>
      <c r="L801" s="169"/>
      <c r="M801" s="600" t="s">
        <v>181</v>
      </c>
      <c r="N801" s="602" t="s">
        <v>80</v>
      </c>
    </row>
    <row r="802" spans="1:14" ht="13.5" thickBot="1">
      <c r="A802" s="171">
        <v>500</v>
      </c>
      <c r="B802" s="31"/>
      <c r="C802" s="609"/>
      <c r="D802" s="582"/>
      <c r="E802" s="584"/>
      <c r="F802" s="586"/>
      <c r="G802" s="167"/>
      <c r="H802" s="31"/>
      <c r="I802" s="587"/>
      <c r="J802" s="588"/>
      <c r="K802" s="586"/>
      <c r="L802" s="32"/>
      <c r="M802" s="601"/>
      <c r="N802" s="603"/>
    </row>
    <row r="803" spans="1:14" ht="25.5">
      <c r="A803" s="172"/>
      <c r="B803" s="31"/>
      <c r="C803" s="173" t="s">
        <v>21</v>
      </c>
      <c r="D803" s="174" t="s">
        <v>81</v>
      </c>
      <c r="E803" s="175" t="s">
        <v>81</v>
      </c>
      <c r="F803" s="234">
        <f>F792</f>
        <v>14.93</v>
      </c>
      <c r="G803" s="167"/>
      <c r="H803" s="177" t="s">
        <v>21</v>
      </c>
      <c r="I803" s="208" t="str">
        <f>D803</f>
        <v>N/A</v>
      </c>
      <c r="J803" s="178" t="s">
        <v>81</v>
      </c>
      <c r="K803" s="227">
        <f>+K792</f>
        <v>14.222490480733107</v>
      </c>
      <c r="L803" s="179"/>
      <c r="M803" s="575"/>
      <c r="N803" s="576"/>
    </row>
    <row r="804" spans="1:14" ht="26.25" thickBot="1">
      <c r="A804" s="86"/>
      <c r="B804" s="31"/>
      <c r="C804" s="180" t="s">
        <v>82</v>
      </c>
      <c r="D804" s="235">
        <f>A802</f>
        <v>500</v>
      </c>
      <c r="E804" s="182">
        <f>E793</f>
        <v>0.0121</v>
      </c>
      <c r="F804" s="352">
        <f>D804*E804</f>
        <v>6.05</v>
      </c>
      <c r="G804" s="167"/>
      <c r="H804" s="184" t="s">
        <v>82</v>
      </c>
      <c r="I804" s="375">
        <f>D804</f>
        <v>500</v>
      </c>
      <c r="J804" s="443">
        <f>+J793</f>
        <v>0.016895977714591216</v>
      </c>
      <c r="K804" s="186">
        <f>I804*J804</f>
        <v>8.447988857295607</v>
      </c>
      <c r="L804" s="179"/>
      <c r="M804" s="577"/>
      <c r="N804" s="578"/>
    </row>
    <row r="805" spans="1:14" ht="13.5" thickBot="1">
      <c r="A805" s="86"/>
      <c r="B805" s="31"/>
      <c r="C805" s="605"/>
      <c r="D805" s="606"/>
      <c r="E805" s="187" t="s">
        <v>52</v>
      </c>
      <c r="F805" s="373">
        <f>SUM(F803:F804)</f>
        <v>20.98</v>
      </c>
      <c r="G805" s="167"/>
      <c r="H805" s="595"/>
      <c r="I805" s="596"/>
      <c r="J805" s="187" t="s">
        <v>83</v>
      </c>
      <c r="K805" s="189">
        <f>SUM(K803:K804)</f>
        <v>22.670479338028713</v>
      </c>
      <c r="L805" s="179"/>
      <c r="M805" s="190">
        <f>K805-F805</f>
        <v>1.6904793380287124</v>
      </c>
      <c r="N805" s="191">
        <f>M805/F805</f>
        <v>0.08057575491080612</v>
      </c>
    </row>
    <row r="806" spans="1:14" ht="25.5">
      <c r="A806" s="86"/>
      <c r="B806" s="31"/>
      <c r="C806" s="180" t="s">
        <v>84</v>
      </c>
      <c r="D806" s="181">
        <f>A802</f>
        <v>500</v>
      </c>
      <c r="E806" s="439">
        <v>0.0239</v>
      </c>
      <c r="F806" s="374">
        <f>D806*E806</f>
        <v>11.950000000000001</v>
      </c>
      <c r="G806" s="167"/>
      <c r="H806" s="184" t="s">
        <v>84</v>
      </c>
      <c r="I806" s="185">
        <f aca="true" t="shared" si="38" ref="I806:K807">D806</f>
        <v>500</v>
      </c>
      <c r="J806" s="441">
        <f t="shared" si="38"/>
        <v>0.0239</v>
      </c>
      <c r="K806" s="195">
        <f t="shared" si="38"/>
        <v>11.950000000000001</v>
      </c>
      <c r="L806" s="179"/>
      <c r="M806" s="575"/>
      <c r="N806" s="576"/>
    </row>
    <row r="807" spans="1:14" ht="26.25" thickBot="1">
      <c r="A807" s="86"/>
      <c r="B807" s="31"/>
      <c r="C807" s="196" t="s">
        <v>85</v>
      </c>
      <c r="D807" s="181">
        <f>A802</f>
        <v>500</v>
      </c>
      <c r="E807" s="440">
        <v>0.047</v>
      </c>
      <c r="F807" s="352">
        <f>D807*E807</f>
        <v>23.5</v>
      </c>
      <c r="G807" s="167"/>
      <c r="H807" s="198" t="s">
        <v>85</v>
      </c>
      <c r="I807" s="199">
        <f t="shared" si="38"/>
        <v>500</v>
      </c>
      <c r="J807" s="442">
        <f t="shared" si="38"/>
        <v>0.047</v>
      </c>
      <c r="K807" s="201">
        <f t="shared" si="38"/>
        <v>23.5</v>
      </c>
      <c r="L807" s="179"/>
      <c r="M807" s="579"/>
      <c r="N807" s="580"/>
    </row>
    <row r="808" spans="1:14" ht="13.5" thickBot="1">
      <c r="A808" s="86"/>
      <c r="B808" s="31"/>
      <c r="C808" s="597"/>
      <c r="D808" s="598"/>
      <c r="E808" s="598"/>
      <c r="F808" s="599"/>
      <c r="G808" s="167"/>
      <c r="H808" s="598"/>
      <c r="I808" s="598"/>
      <c r="J808" s="598"/>
      <c r="K808" s="599"/>
      <c r="L808" s="31"/>
      <c r="M808" s="86"/>
      <c r="N808" s="202"/>
    </row>
    <row r="809" spans="1:14" ht="13.5" thickBot="1">
      <c r="A809" s="94"/>
      <c r="B809" s="148"/>
      <c r="C809" s="203" t="s">
        <v>200</v>
      </c>
      <c r="D809" s="204"/>
      <c r="E809" s="204"/>
      <c r="F809" s="189">
        <f>SUM(F806:F807,F805)</f>
        <v>56.43000000000001</v>
      </c>
      <c r="G809" s="206"/>
      <c r="H809" s="604" t="s">
        <v>201</v>
      </c>
      <c r="I809" s="604"/>
      <c r="J809" s="604"/>
      <c r="K809" s="189">
        <f>SUM(K805:K807)</f>
        <v>58.120479338028716</v>
      </c>
      <c r="L809" s="207"/>
      <c r="M809" s="190">
        <f>K809-F809</f>
        <v>1.6904793380287089</v>
      </c>
      <c r="N809" s="191">
        <f>M809/F809</f>
        <v>0.029957103278906765</v>
      </c>
    </row>
    <row r="810" spans="1:14" ht="15">
      <c r="A810" s="47"/>
      <c r="B810" s="12"/>
      <c r="D810" s="10"/>
      <c r="E810" s="10"/>
      <c r="F810" s="209"/>
      <c r="I810" s="10"/>
      <c r="J810" s="10"/>
      <c r="K810" s="210"/>
      <c r="L810" s="12"/>
      <c r="M810" s="12"/>
      <c r="N810" s="211"/>
    </row>
    <row r="811" spans="1:14" ht="13.5" thickBot="1">
      <c r="A811" s="12"/>
      <c r="C811" s="497" t="s">
        <v>251</v>
      </c>
      <c r="D811" s="484"/>
      <c r="E811" s="10"/>
      <c r="F811" s="209"/>
      <c r="I811" s="10"/>
      <c r="J811" s="10"/>
      <c r="K811" s="210"/>
      <c r="L811" s="12"/>
      <c r="M811" s="12"/>
      <c r="N811" s="213"/>
    </row>
    <row r="812" spans="1:14" ht="60.75" thickBot="1">
      <c r="A812" s="168" t="s">
        <v>78</v>
      </c>
      <c r="B812" s="169"/>
      <c r="C812" s="569"/>
      <c r="D812" s="581" t="s">
        <v>12</v>
      </c>
      <c r="E812" s="583" t="s">
        <v>79</v>
      </c>
      <c r="F812" s="585" t="s">
        <v>182</v>
      </c>
      <c r="G812" s="166"/>
      <c r="H812" s="170"/>
      <c r="I812" s="581" t="s">
        <v>12</v>
      </c>
      <c r="J812" s="583" t="s">
        <v>79</v>
      </c>
      <c r="K812" s="585" t="s">
        <v>182</v>
      </c>
      <c r="L812" s="169"/>
      <c r="M812" s="600" t="s">
        <v>181</v>
      </c>
      <c r="N812" s="602" t="s">
        <v>80</v>
      </c>
    </row>
    <row r="813" spans="1:14" ht="13.5" thickBot="1">
      <c r="A813" s="171">
        <v>750</v>
      </c>
      <c r="B813" s="31"/>
      <c r="C813" s="570"/>
      <c r="D813" s="582"/>
      <c r="E813" s="584"/>
      <c r="F813" s="586"/>
      <c r="G813" s="167"/>
      <c r="H813" s="31"/>
      <c r="I813" s="587"/>
      <c r="J813" s="588"/>
      <c r="K813" s="586"/>
      <c r="L813" s="32"/>
      <c r="M813" s="601"/>
      <c r="N813" s="603"/>
    </row>
    <row r="814" spans="1:14" ht="25.5">
      <c r="A814" s="172"/>
      <c r="B814" s="31"/>
      <c r="C814" s="173" t="s">
        <v>21</v>
      </c>
      <c r="D814" s="174" t="s">
        <v>81</v>
      </c>
      <c r="E814" s="175" t="s">
        <v>81</v>
      </c>
      <c r="F814" s="234">
        <f>F803</f>
        <v>14.93</v>
      </c>
      <c r="G814" s="167"/>
      <c r="H814" s="177" t="s">
        <v>21</v>
      </c>
      <c r="I814" s="208" t="str">
        <f>D814</f>
        <v>N/A</v>
      </c>
      <c r="J814" s="178" t="s">
        <v>81</v>
      </c>
      <c r="K814" s="227">
        <f>+K803</f>
        <v>14.222490480733107</v>
      </c>
      <c r="L814" s="179"/>
      <c r="M814" s="575"/>
      <c r="N814" s="576"/>
    </row>
    <row r="815" spans="1:14" ht="26.25" thickBot="1">
      <c r="A815" s="86"/>
      <c r="B815" s="31"/>
      <c r="C815" s="180" t="s">
        <v>82</v>
      </c>
      <c r="D815" s="235">
        <f>A813</f>
        <v>750</v>
      </c>
      <c r="E815" s="182">
        <f>E804</f>
        <v>0.0121</v>
      </c>
      <c r="F815" s="352">
        <f>D815*E815</f>
        <v>9.075</v>
      </c>
      <c r="G815" s="167"/>
      <c r="H815" s="184" t="s">
        <v>82</v>
      </c>
      <c r="I815" s="375">
        <f>+D815</f>
        <v>750</v>
      </c>
      <c r="J815" s="228">
        <f>+J804</f>
        <v>0.016895977714591216</v>
      </c>
      <c r="K815" s="186">
        <f>I815*J815</f>
        <v>12.671983285943412</v>
      </c>
      <c r="L815" s="179"/>
      <c r="M815" s="577"/>
      <c r="N815" s="578"/>
    </row>
    <row r="816" spans="1:14" ht="13.5" thickBot="1">
      <c r="A816" s="86"/>
      <c r="B816" s="31"/>
      <c r="C816" s="605"/>
      <c r="D816" s="607"/>
      <c r="E816" s="187" t="s">
        <v>52</v>
      </c>
      <c r="F816" s="373">
        <f>SUM(F814:F815)</f>
        <v>24.005</v>
      </c>
      <c r="G816" s="167"/>
      <c r="H816" s="595"/>
      <c r="I816" s="596"/>
      <c r="J816" s="187" t="s">
        <v>83</v>
      </c>
      <c r="K816" s="189">
        <f>SUM(K814:K815)</f>
        <v>26.89447376667652</v>
      </c>
      <c r="L816" s="179"/>
      <c r="M816" s="190">
        <f>K816-F816</f>
        <v>2.8894737666765202</v>
      </c>
      <c r="N816" s="191">
        <f>M816/F816</f>
        <v>0.12036966326500814</v>
      </c>
    </row>
    <row r="817" spans="1:14" ht="25.5">
      <c r="A817" s="86"/>
      <c r="B817" s="31"/>
      <c r="C817" s="180" t="s">
        <v>84</v>
      </c>
      <c r="D817" s="181">
        <f>A813</f>
        <v>750</v>
      </c>
      <c r="E817" s="192">
        <v>0.0239</v>
      </c>
      <c r="F817" s="374">
        <f>D817*E817</f>
        <v>17.925</v>
      </c>
      <c r="G817" s="167"/>
      <c r="H817" s="184" t="s">
        <v>84</v>
      </c>
      <c r="I817" s="185">
        <f aca="true" t="shared" si="39" ref="I817:K818">D817</f>
        <v>750</v>
      </c>
      <c r="J817" s="194">
        <f t="shared" si="39"/>
        <v>0.0239</v>
      </c>
      <c r="K817" s="195">
        <f t="shared" si="39"/>
        <v>17.925</v>
      </c>
      <c r="L817" s="179"/>
      <c r="M817" s="575"/>
      <c r="N817" s="576"/>
    </row>
    <row r="818" spans="1:14" ht="26.25" thickBot="1">
      <c r="A818" s="86"/>
      <c r="B818" s="31"/>
      <c r="C818" s="196" t="s">
        <v>85</v>
      </c>
      <c r="D818" s="181">
        <f>A813</f>
        <v>750</v>
      </c>
      <c r="E818" s="197">
        <v>0.047</v>
      </c>
      <c r="F818" s="352">
        <f>D818*E818</f>
        <v>35.25</v>
      </c>
      <c r="G818" s="167"/>
      <c r="H818" s="198" t="s">
        <v>85</v>
      </c>
      <c r="I818" s="199">
        <f t="shared" si="39"/>
        <v>750</v>
      </c>
      <c r="J818" s="200">
        <f t="shared" si="39"/>
        <v>0.047</v>
      </c>
      <c r="K818" s="201">
        <f t="shared" si="39"/>
        <v>35.25</v>
      </c>
      <c r="L818" s="179"/>
      <c r="M818" s="579"/>
      <c r="N818" s="580"/>
    </row>
    <row r="819" spans="1:14" ht="13.5" thickBot="1">
      <c r="A819" s="86"/>
      <c r="B819" s="31"/>
      <c r="C819" s="597"/>
      <c r="D819" s="598"/>
      <c r="E819" s="598"/>
      <c r="F819" s="599"/>
      <c r="G819" s="167"/>
      <c r="H819" s="598"/>
      <c r="I819" s="598"/>
      <c r="J819" s="598"/>
      <c r="K819" s="599"/>
      <c r="L819" s="31"/>
      <c r="M819" s="86"/>
      <c r="N819" s="202"/>
    </row>
    <row r="820" spans="1:14" ht="13.5" thickBot="1">
      <c r="A820" s="94"/>
      <c r="B820" s="148"/>
      <c r="C820" s="203" t="s">
        <v>200</v>
      </c>
      <c r="D820" s="204"/>
      <c r="E820" s="204"/>
      <c r="F820" s="189">
        <f>SUM(F817:F818,F816)</f>
        <v>77.17999999999999</v>
      </c>
      <c r="G820" s="206"/>
      <c r="H820" s="604" t="s">
        <v>201</v>
      </c>
      <c r="I820" s="604"/>
      <c r="J820" s="604"/>
      <c r="K820" s="189">
        <f>SUM(K816:K818)</f>
        <v>80.06947376667652</v>
      </c>
      <c r="L820" s="207"/>
      <c r="M820" s="190">
        <f>K820-F820</f>
        <v>2.889473766676531</v>
      </c>
      <c r="N820" s="191">
        <f>M820/F820</f>
        <v>0.03743811566048887</v>
      </c>
    </row>
    <row r="821" spans="1:14" ht="12.75">
      <c r="A821" s="12"/>
      <c r="D821" s="212"/>
      <c r="E821" s="10"/>
      <c r="F821" s="209"/>
      <c r="I821" s="10"/>
      <c r="J821" s="10"/>
      <c r="K821" s="210"/>
      <c r="L821" s="12"/>
      <c r="M821" s="12"/>
      <c r="N821" s="213"/>
    </row>
    <row r="822" spans="1:13" ht="15.75" thickBot="1">
      <c r="A822" s="214"/>
      <c r="B822" s="31"/>
      <c r="C822" s="133"/>
      <c r="D822" s="30"/>
      <c r="E822" s="30"/>
      <c r="F822" s="215"/>
      <c r="H822" s="133"/>
      <c r="I822" s="30"/>
      <c r="J822" s="30"/>
      <c r="K822" s="216"/>
      <c r="L822" s="216"/>
      <c r="M822" s="216"/>
    </row>
    <row r="823" spans="1:14" ht="60.75" thickBot="1">
      <c r="A823" s="168" t="s">
        <v>78</v>
      </c>
      <c r="B823" s="169"/>
      <c r="C823" s="569"/>
      <c r="D823" s="581" t="s">
        <v>12</v>
      </c>
      <c r="E823" s="583" t="s">
        <v>79</v>
      </c>
      <c r="F823" s="585" t="s">
        <v>182</v>
      </c>
      <c r="G823" s="166"/>
      <c r="H823" s="170"/>
      <c r="I823" s="581" t="s">
        <v>12</v>
      </c>
      <c r="J823" s="583" t="s">
        <v>79</v>
      </c>
      <c r="K823" s="585" t="s">
        <v>182</v>
      </c>
      <c r="L823" s="169"/>
      <c r="M823" s="600" t="s">
        <v>181</v>
      </c>
      <c r="N823" s="602" t="s">
        <v>80</v>
      </c>
    </row>
    <row r="824" spans="1:14" ht="13.5" thickBot="1">
      <c r="A824" s="171">
        <v>1000</v>
      </c>
      <c r="B824" s="31"/>
      <c r="C824" s="570"/>
      <c r="D824" s="582"/>
      <c r="E824" s="584"/>
      <c r="F824" s="586"/>
      <c r="G824" s="167"/>
      <c r="H824" s="31"/>
      <c r="I824" s="587"/>
      <c r="J824" s="588"/>
      <c r="K824" s="586"/>
      <c r="L824" s="32"/>
      <c r="M824" s="601"/>
      <c r="N824" s="603"/>
    </row>
    <row r="825" spans="1:14" ht="25.5">
      <c r="A825" s="172"/>
      <c r="B825" s="31"/>
      <c r="C825" s="173" t="s">
        <v>21</v>
      </c>
      <c r="D825" s="174" t="s">
        <v>81</v>
      </c>
      <c r="E825" s="175" t="s">
        <v>81</v>
      </c>
      <c r="F825" s="234">
        <f>F814</f>
        <v>14.93</v>
      </c>
      <c r="G825" s="167"/>
      <c r="H825" s="173" t="s">
        <v>21</v>
      </c>
      <c r="I825" s="208" t="str">
        <f>D825</f>
        <v>N/A</v>
      </c>
      <c r="J825" s="178" t="s">
        <v>81</v>
      </c>
      <c r="K825" s="227">
        <f>+K814</f>
        <v>14.222490480733107</v>
      </c>
      <c r="L825" s="179"/>
      <c r="M825" s="575"/>
      <c r="N825" s="576"/>
    </row>
    <row r="826" spans="1:14" ht="26.25" thickBot="1">
      <c r="A826" s="86"/>
      <c r="B826" s="31"/>
      <c r="C826" s="180" t="s">
        <v>82</v>
      </c>
      <c r="D826" s="181">
        <f>A824</f>
        <v>1000</v>
      </c>
      <c r="E826" s="182">
        <f>E815</f>
        <v>0.0121</v>
      </c>
      <c r="F826" s="352">
        <f>D826*E826</f>
        <v>12.1</v>
      </c>
      <c r="G826" s="167"/>
      <c r="H826" s="180" t="s">
        <v>82</v>
      </c>
      <c r="I826" s="185">
        <f>D826</f>
        <v>1000</v>
      </c>
      <c r="J826" s="228">
        <f>+J815</f>
        <v>0.016895977714591216</v>
      </c>
      <c r="K826" s="186">
        <f>I826*J826</f>
        <v>16.895977714591215</v>
      </c>
      <c r="L826" s="179"/>
      <c r="M826" s="577"/>
      <c r="N826" s="578"/>
    </row>
    <row r="827" spans="1:14" ht="13.5" thickBot="1">
      <c r="A827" s="86"/>
      <c r="B827" s="31"/>
      <c r="C827" s="605"/>
      <c r="D827" s="607"/>
      <c r="E827" s="187" t="s">
        <v>52</v>
      </c>
      <c r="F827" s="373">
        <f>SUM(F825:F826)</f>
        <v>27.03</v>
      </c>
      <c r="G827" s="167"/>
      <c r="H827" s="610"/>
      <c r="I827" s="596"/>
      <c r="J827" s="187" t="s">
        <v>83</v>
      </c>
      <c r="K827" s="189">
        <f>SUM(K825:K826)</f>
        <v>31.118468195324322</v>
      </c>
      <c r="L827" s="179"/>
      <c r="M827" s="190">
        <f>K827-F827</f>
        <v>4.088468195324321</v>
      </c>
      <c r="N827" s="191">
        <f>M827/F827</f>
        <v>0.1512566849916508</v>
      </c>
    </row>
    <row r="828" spans="1:14" ht="25.5">
      <c r="A828" s="86"/>
      <c r="B828" s="31"/>
      <c r="C828" s="180" t="s">
        <v>84</v>
      </c>
      <c r="D828" s="181">
        <f>A824</f>
        <v>1000</v>
      </c>
      <c r="E828" s="192">
        <v>0.0239</v>
      </c>
      <c r="F828" s="374">
        <f>D828*E828</f>
        <v>23.900000000000002</v>
      </c>
      <c r="G828" s="167"/>
      <c r="H828" s="180" t="s">
        <v>84</v>
      </c>
      <c r="I828" s="185">
        <f>D828</f>
        <v>1000</v>
      </c>
      <c r="J828" s="194">
        <f>E828</f>
        <v>0.0239</v>
      </c>
      <c r="K828" s="195">
        <f>F828</f>
        <v>23.900000000000002</v>
      </c>
      <c r="L828" s="179"/>
      <c r="M828" s="575"/>
      <c r="N828" s="576"/>
    </row>
    <row r="829" spans="1:14" ht="25.5">
      <c r="A829" s="86"/>
      <c r="B829" s="31"/>
      <c r="C829" s="196" t="s">
        <v>85</v>
      </c>
      <c r="D829" s="181">
        <v>750</v>
      </c>
      <c r="E829" s="197">
        <v>0.047</v>
      </c>
      <c r="F829" s="352">
        <f>D829*E829</f>
        <v>35.25</v>
      </c>
      <c r="G829" s="167"/>
      <c r="H829" s="196" t="s">
        <v>85</v>
      </c>
      <c r="I829" s="181">
        <f>D829</f>
        <v>750</v>
      </c>
      <c r="J829" s="197">
        <v>0.047</v>
      </c>
      <c r="K829" s="352">
        <f>I829*J829</f>
        <v>35.25</v>
      </c>
      <c r="L829" s="179"/>
      <c r="M829" s="579"/>
      <c r="N829" s="580"/>
    </row>
    <row r="830" spans="1:14" ht="26.25" thickBot="1">
      <c r="A830" s="86"/>
      <c r="B830" s="31"/>
      <c r="C830" s="196" t="s">
        <v>85</v>
      </c>
      <c r="D830" s="235">
        <f>A824-D829</f>
        <v>250</v>
      </c>
      <c r="E830" s="197">
        <v>0.055</v>
      </c>
      <c r="F830" s="352">
        <f>D830*E830</f>
        <v>13.75</v>
      </c>
      <c r="G830" s="167"/>
      <c r="H830" s="353" t="s">
        <v>85</v>
      </c>
      <c r="I830" s="376">
        <f>D830</f>
        <v>250</v>
      </c>
      <c r="J830" s="354">
        <v>0.055</v>
      </c>
      <c r="K830" s="355">
        <f>I830*J830</f>
        <v>13.75</v>
      </c>
      <c r="L830" s="179"/>
      <c r="M830" s="579"/>
      <c r="N830" s="580"/>
    </row>
    <row r="831" spans="1:14" ht="13.5" thickBot="1">
      <c r="A831" s="86"/>
      <c r="B831" s="31"/>
      <c r="C831" s="597"/>
      <c r="D831" s="598"/>
      <c r="E831" s="598"/>
      <c r="F831" s="599"/>
      <c r="G831" s="167"/>
      <c r="H831" s="598"/>
      <c r="I831" s="598"/>
      <c r="J831" s="598"/>
      <c r="K831" s="599"/>
      <c r="L831" s="31"/>
      <c r="M831" s="86"/>
      <c r="N831" s="202"/>
    </row>
    <row r="832" spans="1:14" ht="13.5" thickBot="1">
      <c r="A832" s="94"/>
      <c r="B832" s="148"/>
      <c r="C832" s="203" t="s">
        <v>200</v>
      </c>
      <c r="D832" s="204"/>
      <c r="E832" s="204"/>
      <c r="F832" s="189">
        <f>SUM(F828:F830,F827)</f>
        <v>99.93</v>
      </c>
      <c r="G832" s="206"/>
      <c r="H832" s="604" t="s">
        <v>201</v>
      </c>
      <c r="I832" s="604"/>
      <c r="J832" s="604"/>
      <c r="K832" s="189">
        <f>SUM(K827:K830)</f>
        <v>104.01846819532432</v>
      </c>
      <c r="L832" s="207"/>
      <c r="M832" s="190">
        <f>K832-F832</f>
        <v>4.08846819532431</v>
      </c>
      <c r="N832" s="191">
        <f>M832/F832</f>
        <v>0.04091332127813779</v>
      </c>
    </row>
    <row r="833" spans="1:14" ht="12.75">
      <c r="A833" s="12"/>
      <c r="D833" s="212"/>
      <c r="E833" s="10"/>
      <c r="F833" s="209"/>
      <c r="I833" s="10"/>
      <c r="J833" s="10"/>
      <c r="K833" s="210"/>
      <c r="L833" s="12"/>
      <c r="M833" s="12"/>
      <c r="N833" s="213"/>
    </row>
    <row r="834" spans="1:13" ht="15.75" thickBot="1">
      <c r="A834" s="214"/>
      <c r="B834" s="31"/>
      <c r="C834" s="133"/>
      <c r="D834" s="30"/>
      <c r="E834" s="30"/>
      <c r="F834" s="215"/>
      <c r="H834" s="133"/>
      <c r="I834" s="30"/>
      <c r="J834" s="30"/>
      <c r="K834" s="216"/>
      <c r="L834" s="216"/>
      <c r="M834" s="216"/>
    </row>
    <row r="835" spans="1:14" ht="60.75" thickBot="1">
      <c r="A835" s="168" t="s">
        <v>78</v>
      </c>
      <c r="B835" s="169"/>
      <c r="C835" s="569"/>
      <c r="D835" s="581" t="s">
        <v>12</v>
      </c>
      <c r="E835" s="583" t="s">
        <v>79</v>
      </c>
      <c r="F835" s="585" t="s">
        <v>182</v>
      </c>
      <c r="G835" s="166"/>
      <c r="H835" s="170"/>
      <c r="I835" s="581" t="s">
        <v>12</v>
      </c>
      <c r="J835" s="583" t="s">
        <v>79</v>
      </c>
      <c r="K835" s="585" t="s">
        <v>182</v>
      </c>
      <c r="L835" s="169"/>
      <c r="M835" s="600" t="s">
        <v>181</v>
      </c>
      <c r="N835" s="602" t="s">
        <v>80</v>
      </c>
    </row>
    <row r="836" spans="1:14" ht="13.5" thickBot="1">
      <c r="A836" s="171">
        <v>1500</v>
      </c>
      <c r="B836" s="31"/>
      <c r="C836" s="570"/>
      <c r="D836" s="582"/>
      <c r="E836" s="584"/>
      <c r="F836" s="586"/>
      <c r="G836" s="167"/>
      <c r="H836" s="31"/>
      <c r="I836" s="587"/>
      <c r="J836" s="588"/>
      <c r="K836" s="586"/>
      <c r="L836" s="32"/>
      <c r="M836" s="601"/>
      <c r="N836" s="603"/>
    </row>
    <row r="837" spans="1:14" ht="25.5">
      <c r="A837" s="172"/>
      <c r="B837" s="31"/>
      <c r="C837" s="173" t="s">
        <v>21</v>
      </c>
      <c r="D837" s="174" t="s">
        <v>81</v>
      </c>
      <c r="E837" s="175" t="s">
        <v>81</v>
      </c>
      <c r="F837" s="234">
        <f>F825</f>
        <v>14.93</v>
      </c>
      <c r="G837" s="167"/>
      <c r="H837" s="177" t="s">
        <v>21</v>
      </c>
      <c r="I837" s="208" t="str">
        <f>D837</f>
        <v>N/A</v>
      </c>
      <c r="J837" s="178" t="s">
        <v>81</v>
      </c>
      <c r="K837" s="227">
        <f>+K825</f>
        <v>14.222490480733107</v>
      </c>
      <c r="L837" s="179"/>
      <c r="M837" s="575"/>
      <c r="N837" s="576"/>
    </row>
    <row r="838" spans="1:14" ht="26.25" thickBot="1">
      <c r="A838" s="86"/>
      <c r="B838" s="31"/>
      <c r="C838" s="180" t="s">
        <v>82</v>
      </c>
      <c r="D838" s="181">
        <f>A836</f>
        <v>1500</v>
      </c>
      <c r="E838" s="182">
        <f>E826</f>
        <v>0.0121</v>
      </c>
      <c r="F838" s="352">
        <f>D838*E838</f>
        <v>18.15</v>
      </c>
      <c r="G838" s="167"/>
      <c r="H838" s="184" t="s">
        <v>82</v>
      </c>
      <c r="I838" s="185">
        <f>D838</f>
        <v>1500</v>
      </c>
      <c r="J838" s="228">
        <f>+J826</f>
        <v>0.016895977714591216</v>
      </c>
      <c r="K838" s="186">
        <f>I838*J838</f>
        <v>25.343966571886824</v>
      </c>
      <c r="L838" s="179"/>
      <c r="M838" s="577"/>
      <c r="N838" s="578"/>
    </row>
    <row r="839" spans="1:14" ht="13.5" thickBot="1">
      <c r="A839" s="86"/>
      <c r="B839" s="31"/>
      <c r="C839" s="605"/>
      <c r="D839" s="607"/>
      <c r="E839" s="187" t="s">
        <v>52</v>
      </c>
      <c r="F839" s="373">
        <f>SUM(F837:F838)</f>
        <v>33.08</v>
      </c>
      <c r="G839" s="167"/>
      <c r="H839" s="595"/>
      <c r="I839" s="596"/>
      <c r="J839" s="187" t="s">
        <v>83</v>
      </c>
      <c r="K839" s="189">
        <f>SUM(K837:K838)</f>
        <v>39.56645705261993</v>
      </c>
      <c r="L839" s="179"/>
      <c r="M839" s="190">
        <f>K839-F839</f>
        <v>6.486457052619933</v>
      </c>
      <c r="N839" s="191">
        <f>M839/F839</f>
        <v>0.19608394959552397</v>
      </c>
    </row>
    <row r="840" spans="1:14" ht="25.5">
      <c r="A840" s="86"/>
      <c r="B840" s="31"/>
      <c r="C840" s="180" t="s">
        <v>84</v>
      </c>
      <c r="D840" s="181">
        <f>A836</f>
        <v>1500</v>
      </c>
      <c r="E840" s="192">
        <v>0.0239</v>
      </c>
      <c r="F840" s="374">
        <f>D840*E840</f>
        <v>35.85</v>
      </c>
      <c r="G840" s="167"/>
      <c r="H840" s="184" t="s">
        <v>84</v>
      </c>
      <c r="I840" s="185">
        <f>D840</f>
        <v>1500</v>
      </c>
      <c r="J840" s="194">
        <f>E840</f>
        <v>0.0239</v>
      </c>
      <c r="K840" s="195">
        <f>F840</f>
        <v>35.85</v>
      </c>
      <c r="L840" s="179"/>
      <c r="M840" s="575"/>
      <c r="N840" s="576"/>
    </row>
    <row r="841" spans="1:14" ht="25.5">
      <c r="A841" s="86"/>
      <c r="B841" s="31"/>
      <c r="C841" s="196" t="s">
        <v>85</v>
      </c>
      <c r="D841" s="181">
        <v>750</v>
      </c>
      <c r="E841" s="197">
        <v>0.047</v>
      </c>
      <c r="F841" s="352">
        <f>D841*E841</f>
        <v>35.25</v>
      </c>
      <c r="G841" s="167"/>
      <c r="H841" s="196" t="s">
        <v>85</v>
      </c>
      <c r="I841" s="185">
        <f>D841</f>
        <v>750</v>
      </c>
      <c r="J841" s="197">
        <v>0.047</v>
      </c>
      <c r="K841" s="352">
        <f>I841*J841</f>
        <v>35.25</v>
      </c>
      <c r="L841" s="179"/>
      <c r="M841" s="579"/>
      <c r="N841" s="580"/>
    </row>
    <row r="842" spans="1:14" ht="26.25" thickBot="1">
      <c r="A842" s="86"/>
      <c r="B842" s="31"/>
      <c r="C842" s="196" t="s">
        <v>85</v>
      </c>
      <c r="D842" s="235">
        <f>A836-D841</f>
        <v>750</v>
      </c>
      <c r="E842" s="197">
        <v>0.055</v>
      </c>
      <c r="F842" s="352">
        <f>D842*E842</f>
        <v>41.25</v>
      </c>
      <c r="G842" s="167"/>
      <c r="H842" s="353" t="s">
        <v>85</v>
      </c>
      <c r="I842" s="376">
        <f>D842</f>
        <v>750</v>
      </c>
      <c r="J842" s="354">
        <v>0.055</v>
      </c>
      <c r="K842" s="355">
        <f>I842*J842</f>
        <v>41.25</v>
      </c>
      <c r="L842" s="179"/>
      <c r="M842" s="579"/>
      <c r="N842" s="580"/>
    </row>
    <row r="843" spans="1:14" ht="13.5" thickBot="1">
      <c r="A843" s="86"/>
      <c r="B843" s="31"/>
      <c r="C843" s="597"/>
      <c r="D843" s="598"/>
      <c r="E843" s="598"/>
      <c r="F843" s="599"/>
      <c r="G843" s="167"/>
      <c r="H843" s="598"/>
      <c r="I843" s="598"/>
      <c r="J843" s="598"/>
      <c r="K843" s="599"/>
      <c r="L843" s="31"/>
      <c r="M843" s="86"/>
      <c r="N843" s="202"/>
    </row>
    <row r="844" spans="1:14" ht="13.5" thickBot="1">
      <c r="A844" s="94"/>
      <c r="B844" s="148"/>
      <c r="C844" s="203" t="s">
        <v>200</v>
      </c>
      <c r="D844" s="204"/>
      <c r="E844" s="204"/>
      <c r="F844" s="189">
        <f>SUM(F840:F842,F839)</f>
        <v>145.43</v>
      </c>
      <c r="G844" s="206"/>
      <c r="H844" s="604" t="s">
        <v>201</v>
      </c>
      <c r="I844" s="604"/>
      <c r="J844" s="604"/>
      <c r="K844" s="189">
        <f>SUM(K839:K842)</f>
        <v>151.91645705261993</v>
      </c>
      <c r="L844" s="207"/>
      <c r="M844" s="190">
        <f>K844-F844</f>
        <v>6.486457052619926</v>
      </c>
      <c r="N844" s="191">
        <f>M844/F844</f>
        <v>0.04460191881056127</v>
      </c>
    </row>
    <row r="845" spans="1:14" ht="12.75">
      <c r="A845" s="12"/>
      <c r="D845" s="212"/>
      <c r="E845" s="10"/>
      <c r="F845" s="209"/>
      <c r="I845" s="10"/>
      <c r="J845" s="10"/>
      <c r="K845" s="210"/>
      <c r="L845" s="12"/>
      <c r="M845" s="12"/>
      <c r="N845" s="213"/>
    </row>
    <row r="846" spans="1:13" ht="15.75" thickBot="1">
      <c r="A846" s="214"/>
      <c r="B846" s="31"/>
      <c r="C846" s="133"/>
      <c r="D846" s="30"/>
      <c r="E846" s="30"/>
      <c r="F846" s="215"/>
      <c r="H846" s="133"/>
      <c r="I846" s="30"/>
      <c r="J846" s="30"/>
      <c r="K846" s="216"/>
      <c r="L846" s="216"/>
      <c r="M846" s="216"/>
    </row>
    <row r="847" spans="1:14" ht="60.75" thickBot="1">
      <c r="A847" s="168" t="s">
        <v>78</v>
      </c>
      <c r="B847" s="169"/>
      <c r="C847" s="569"/>
      <c r="D847" s="581" t="s">
        <v>12</v>
      </c>
      <c r="E847" s="583" t="s">
        <v>79</v>
      </c>
      <c r="F847" s="585" t="s">
        <v>182</v>
      </c>
      <c r="G847" s="166"/>
      <c r="H847" s="170"/>
      <c r="I847" s="581" t="s">
        <v>12</v>
      </c>
      <c r="J847" s="583" t="s">
        <v>79</v>
      </c>
      <c r="K847" s="585" t="s">
        <v>182</v>
      </c>
      <c r="L847" s="169"/>
      <c r="M847" s="600" t="s">
        <v>181</v>
      </c>
      <c r="N847" s="602" t="s">
        <v>80</v>
      </c>
    </row>
    <row r="848" spans="1:14" ht="13.5" thickBot="1">
      <c r="A848" s="171">
        <v>2000</v>
      </c>
      <c r="B848" s="31"/>
      <c r="C848" s="570"/>
      <c r="D848" s="582"/>
      <c r="E848" s="584"/>
      <c r="F848" s="586"/>
      <c r="G848" s="167"/>
      <c r="H848" s="31"/>
      <c r="I848" s="587"/>
      <c r="J848" s="588"/>
      <c r="K848" s="586"/>
      <c r="L848" s="32"/>
      <c r="M848" s="601"/>
      <c r="N848" s="603"/>
    </row>
    <row r="849" spans="1:14" ht="25.5">
      <c r="A849" s="172"/>
      <c r="B849" s="31"/>
      <c r="C849" s="173" t="s">
        <v>21</v>
      </c>
      <c r="D849" s="174" t="s">
        <v>81</v>
      </c>
      <c r="E849" s="175" t="s">
        <v>81</v>
      </c>
      <c r="F849" s="234">
        <f>F837</f>
        <v>14.93</v>
      </c>
      <c r="G849" s="167"/>
      <c r="H849" s="177" t="s">
        <v>21</v>
      </c>
      <c r="I849" s="208" t="str">
        <f>D849</f>
        <v>N/A</v>
      </c>
      <c r="J849" s="208" t="str">
        <f>E849</f>
        <v>N/A</v>
      </c>
      <c r="K849" s="227">
        <f>+K837</f>
        <v>14.222490480733107</v>
      </c>
      <c r="L849" s="179"/>
      <c r="M849" s="575"/>
      <c r="N849" s="576"/>
    </row>
    <row r="850" spans="1:14" ht="26.25" thickBot="1">
      <c r="A850" s="86"/>
      <c r="B850" s="31"/>
      <c r="C850" s="180" t="s">
        <v>82</v>
      </c>
      <c r="D850" s="181">
        <f>A848</f>
        <v>2000</v>
      </c>
      <c r="E850" s="182">
        <f>E838</f>
        <v>0.0121</v>
      </c>
      <c r="F850" s="352">
        <f>D850*E850</f>
        <v>24.2</v>
      </c>
      <c r="G850" s="167"/>
      <c r="H850" s="184" t="s">
        <v>82</v>
      </c>
      <c r="I850" s="185">
        <f>D850</f>
        <v>2000</v>
      </c>
      <c r="J850" s="228">
        <f>+J838</f>
        <v>0.016895977714591216</v>
      </c>
      <c r="K850" s="186">
        <f>I850*J850</f>
        <v>33.79195542918243</v>
      </c>
      <c r="L850" s="179"/>
      <c r="M850" s="577"/>
      <c r="N850" s="578"/>
    </row>
    <row r="851" spans="1:14" ht="13.5" thickBot="1">
      <c r="A851" s="86"/>
      <c r="B851" s="31"/>
      <c r="C851" s="605"/>
      <c r="D851" s="607"/>
      <c r="E851" s="187" t="s">
        <v>52</v>
      </c>
      <c r="F851" s="373">
        <f>SUM(F849:F850)</f>
        <v>39.129999999999995</v>
      </c>
      <c r="G851" s="167"/>
      <c r="H851" s="595"/>
      <c r="I851" s="596"/>
      <c r="J851" s="187" t="s">
        <v>83</v>
      </c>
      <c r="K851" s="189">
        <f>SUM(K849:K850)</f>
        <v>48.01444590991554</v>
      </c>
      <c r="L851" s="179"/>
      <c r="M851" s="190">
        <f>K851-F851</f>
        <v>8.884445909915542</v>
      </c>
      <c r="N851" s="191">
        <f>M851/F851</f>
        <v>0.2270494738031061</v>
      </c>
    </row>
    <row r="852" spans="1:14" ht="25.5">
      <c r="A852" s="86"/>
      <c r="B852" s="31"/>
      <c r="C852" s="180" t="s">
        <v>84</v>
      </c>
      <c r="D852" s="181">
        <f>A848</f>
        <v>2000</v>
      </c>
      <c r="E852" s="192">
        <v>0.0239</v>
      </c>
      <c r="F852" s="374">
        <f>D852*E852</f>
        <v>47.800000000000004</v>
      </c>
      <c r="G852" s="167"/>
      <c r="H852" s="184" t="s">
        <v>84</v>
      </c>
      <c r="I852" s="185">
        <f>D852</f>
        <v>2000</v>
      </c>
      <c r="J852" s="194">
        <f>E852</f>
        <v>0.0239</v>
      </c>
      <c r="K852" s="195">
        <f>F852</f>
        <v>47.800000000000004</v>
      </c>
      <c r="L852" s="179"/>
      <c r="M852" s="575"/>
      <c r="N852" s="576"/>
    </row>
    <row r="853" spans="1:14" ht="25.5">
      <c r="A853" s="86"/>
      <c r="B853" s="31"/>
      <c r="C853" s="196" t="s">
        <v>85</v>
      </c>
      <c r="D853" s="181">
        <v>750</v>
      </c>
      <c r="E853" s="197">
        <v>0.047</v>
      </c>
      <c r="F853" s="352">
        <f>D853*E853</f>
        <v>35.25</v>
      </c>
      <c r="G853" s="167"/>
      <c r="H853" s="196" t="s">
        <v>85</v>
      </c>
      <c r="I853" s="185">
        <f>D853</f>
        <v>750</v>
      </c>
      <c r="J853" s="197">
        <v>0.047</v>
      </c>
      <c r="K853" s="352">
        <f>I853*J853</f>
        <v>35.25</v>
      </c>
      <c r="L853" s="179"/>
      <c r="M853" s="579"/>
      <c r="N853" s="580"/>
    </row>
    <row r="854" spans="1:14" ht="26.25" thickBot="1">
      <c r="A854" s="86"/>
      <c r="B854" s="31"/>
      <c r="C854" s="196" t="s">
        <v>85</v>
      </c>
      <c r="D854" s="235">
        <f>A848-D853</f>
        <v>1250</v>
      </c>
      <c r="E854" s="197">
        <v>0.055</v>
      </c>
      <c r="F854" s="352">
        <f>D854*E854</f>
        <v>68.75</v>
      </c>
      <c r="G854" s="167"/>
      <c r="H854" s="353" t="s">
        <v>85</v>
      </c>
      <c r="I854" s="376">
        <f>D854</f>
        <v>1250</v>
      </c>
      <c r="J854" s="354">
        <v>0.055</v>
      </c>
      <c r="K854" s="355">
        <f>I854*J854</f>
        <v>68.75</v>
      </c>
      <c r="L854" s="179"/>
      <c r="M854" s="579"/>
      <c r="N854" s="580"/>
    </row>
    <row r="855" spans="1:14" ht="13.5" thickBot="1">
      <c r="A855" s="86"/>
      <c r="B855" s="31"/>
      <c r="C855" s="597"/>
      <c r="D855" s="598"/>
      <c r="E855" s="598"/>
      <c r="F855" s="599"/>
      <c r="G855" s="167"/>
      <c r="H855" s="598"/>
      <c r="I855" s="598"/>
      <c r="J855" s="598"/>
      <c r="K855" s="599"/>
      <c r="L855" s="31"/>
      <c r="M855" s="86"/>
      <c r="N855" s="202"/>
    </row>
    <row r="856" spans="1:14" ht="13.5" thickBot="1">
      <c r="A856" s="94"/>
      <c r="B856" s="148"/>
      <c r="C856" s="203" t="s">
        <v>200</v>
      </c>
      <c r="D856" s="204"/>
      <c r="E856" s="204"/>
      <c r="F856" s="189">
        <f>SUM(F852:F854,F851)</f>
        <v>190.93</v>
      </c>
      <c r="G856" s="206"/>
      <c r="H856" s="604" t="s">
        <v>201</v>
      </c>
      <c r="I856" s="604"/>
      <c r="J856" s="604"/>
      <c r="K856" s="189">
        <f>SUM(K851:K854)</f>
        <v>199.81444590991555</v>
      </c>
      <c r="L856" s="207"/>
      <c r="M856" s="190">
        <f>K856-F856</f>
        <v>8.884445909915542</v>
      </c>
      <c r="N856" s="191">
        <f>M856/F856</f>
        <v>0.04653247739965192</v>
      </c>
    </row>
    <row r="859" spans="3:11" ht="15.75">
      <c r="C859" s="497" t="s">
        <v>252</v>
      </c>
      <c r="D859" s="484"/>
      <c r="E859" s="160"/>
      <c r="F859" s="160"/>
      <c r="G859" s="31"/>
      <c r="K859" s="161"/>
    </row>
    <row r="860" spans="5:11" ht="16.5" thickBot="1">
      <c r="E860" s="160"/>
      <c r="F860" s="160"/>
      <c r="G860" s="31"/>
      <c r="K860" s="161"/>
    </row>
    <row r="861" spans="1:14" ht="15">
      <c r="A861" s="47"/>
      <c r="C861" s="589" t="s">
        <v>95</v>
      </c>
      <c r="D861" s="590"/>
      <c r="E861" s="590"/>
      <c r="F861" s="591"/>
      <c r="G861" s="166"/>
      <c r="H861" s="589" t="s">
        <v>96</v>
      </c>
      <c r="I861" s="590"/>
      <c r="J861" s="590"/>
      <c r="K861" s="590"/>
      <c r="L861" s="590"/>
      <c r="M861" s="590"/>
      <c r="N861" s="591"/>
    </row>
    <row r="862" spans="1:14" ht="13.5" thickBot="1">
      <c r="A862"/>
      <c r="C862" s="592"/>
      <c r="D862" s="593"/>
      <c r="E862" s="593"/>
      <c r="F862" s="594"/>
      <c r="G862" s="167"/>
      <c r="H862" s="592"/>
      <c r="I862" s="593"/>
      <c r="J862" s="593"/>
      <c r="K862" s="593"/>
      <c r="L862" s="593"/>
      <c r="M862" s="593"/>
      <c r="N862" s="594"/>
    </row>
    <row r="863" spans="1:14" ht="60.75" thickBot="1">
      <c r="A863" s="168" t="s">
        <v>78</v>
      </c>
      <c r="B863" s="169"/>
      <c r="C863" s="569"/>
      <c r="D863" s="581" t="s">
        <v>12</v>
      </c>
      <c r="E863" s="583" t="s">
        <v>79</v>
      </c>
      <c r="F863" s="585" t="s">
        <v>182</v>
      </c>
      <c r="G863" s="166"/>
      <c r="H863" s="170"/>
      <c r="I863" s="581" t="s">
        <v>12</v>
      </c>
      <c r="J863" s="583" t="s">
        <v>79</v>
      </c>
      <c r="K863" s="585" t="s">
        <v>182</v>
      </c>
      <c r="L863" s="169"/>
      <c r="M863" s="600" t="s">
        <v>181</v>
      </c>
      <c r="N863" s="602" t="s">
        <v>80</v>
      </c>
    </row>
    <row r="864" spans="1:14" ht="13.5" thickBot="1">
      <c r="A864" s="171">
        <v>100</v>
      </c>
      <c r="B864" s="31"/>
      <c r="C864" s="570"/>
      <c r="D864" s="582"/>
      <c r="E864" s="584"/>
      <c r="F864" s="586"/>
      <c r="G864" s="167"/>
      <c r="H864" s="31"/>
      <c r="I864" s="587"/>
      <c r="J864" s="588"/>
      <c r="K864" s="586"/>
      <c r="L864" s="32"/>
      <c r="M864" s="601"/>
      <c r="N864" s="603"/>
    </row>
    <row r="865" spans="1:14" ht="25.5">
      <c r="A865" s="172"/>
      <c r="B865" s="31"/>
      <c r="C865" s="449" t="s">
        <v>21</v>
      </c>
      <c r="D865" s="174" t="s">
        <v>81</v>
      </c>
      <c r="E865" s="175" t="s">
        <v>81</v>
      </c>
      <c r="F865" s="234">
        <f>+'12. Current Rates'!D81</f>
        <v>10.74</v>
      </c>
      <c r="G865" s="167"/>
      <c r="H865" s="452" t="s">
        <v>21</v>
      </c>
      <c r="I865" s="174" t="s">
        <v>81</v>
      </c>
      <c r="J865" s="174" t="s">
        <v>81</v>
      </c>
      <c r="K865" s="234">
        <f>+'11. 2005 Final Rate Schedule '!F790</f>
        <v>10.102733291558184</v>
      </c>
      <c r="L865" s="179"/>
      <c r="M865" s="575"/>
      <c r="N865" s="576"/>
    </row>
    <row r="866" spans="1:14" ht="26.25" thickBot="1">
      <c r="A866" s="86"/>
      <c r="B866" s="31"/>
      <c r="C866" s="450" t="s">
        <v>82</v>
      </c>
      <c r="D866" s="235">
        <f>A864</f>
        <v>100</v>
      </c>
      <c r="E866" s="438">
        <f>+'12. Current Rates'!D79</f>
        <v>0.0081</v>
      </c>
      <c r="F866" s="352">
        <f>D866*E866</f>
        <v>0.8099999999999999</v>
      </c>
      <c r="G866" s="167"/>
      <c r="H866" s="453" t="s">
        <v>82</v>
      </c>
      <c r="I866" s="181">
        <f>D866</f>
        <v>100</v>
      </c>
      <c r="J866" s="444">
        <f>+'11. 2005 Final Rate Schedule '!F791</f>
        <v>0.0112178452172141</v>
      </c>
      <c r="K866" s="237">
        <f>I866*J866</f>
        <v>1.12178452172141</v>
      </c>
      <c r="L866" s="179"/>
      <c r="M866" s="577"/>
      <c r="N866" s="578"/>
    </row>
    <row r="867" spans="1:14" ht="13.5" thickBot="1">
      <c r="A867" s="86"/>
      <c r="B867" s="31"/>
      <c r="C867" s="567"/>
      <c r="D867" s="568"/>
      <c r="E867" s="187" t="s">
        <v>52</v>
      </c>
      <c r="F867" s="373">
        <f>SUM(F865:F866)</f>
        <v>11.55</v>
      </c>
      <c r="G867" s="167"/>
      <c r="H867" s="595"/>
      <c r="I867" s="596"/>
      <c r="J867" s="187" t="s">
        <v>83</v>
      </c>
      <c r="K867" s="189">
        <f>SUM(K865:K866)</f>
        <v>11.224517813279594</v>
      </c>
      <c r="L867" s="179"/>
      <c r="M867" s="190">
        <f>K867-F867</f>
        <v>-0.3254821867204072</v>
      </c>
      <c r="N867" s="191">
        <f>M867/F867</f>
        <v>-0.02818027590652876</v>
      </c>
    </row>
    <row r="868" spans="1:14" ht="25.5">
      <c r="A868" s="86"/>
      <c r="B868" s="31"/>
      <c r="C868" s="450" t="s">
        <v>84</v>
      </c>
      <c r="D868" s="181">
        <f>A864</f>
        <v>100</v>
      </c>
      <c r="E868" s="439">
        <v>0.0239</v>
      </c>
      <c r="F868" s="374">
        <f>D868*E868</f>
        <v>2.39</v>
      </c>
      <c r="G868" s="167"/>
      <c r="H868" s="453" t="s">
        <v>84</v>
      </c>
      <c r="I868" s="181">
        <f aca="true" t="shared" si="40" ref="I868:K869">D868</f>
        <v>100</v>
      </c>
      <c r="J868" s="445">
        <f t="shared" si="40"/>
        <v>0.0239</v>
      </c>
      <c r="K868" s="239">
        <f t="shared" si="40"/>
        <v>2.39</v>
      </c>
      <c r="L868" s="179"/>
      <c r="M868" s="575"/>
      <c r="N868" s="576"/>
    </row>
    <row r="869" spans="1:14" ht="26.25" thickBot="1">
      <c r="A869" s="86"/>
      <c r="B869" s="31"/>
      <c r="C869" s="451" t="s">
        <v>85</v>
      </c>
      <c r="D869" s="181">
        <f>A864</f>
        <v>100</v>
      </c>
      <c r="E869" s="440">
        <v>0.047</v>
      </c>
      <c r="F869" s="352">
        <f>D869*E869</f>
        <v>4.7</v>
      </c>
      <c r="G869" s="167"/>
      <c r="H869" s="454" t="s">
        <v>85</v>
      </c>
      <c r="I869" s="446">
        <f t="shared" si="40"/>
        <v>100</v>
      </c>
      <c r="J869" s="447">
        <f t="shared" si="40"/>
        <v>0.047</v>
      </c>
      <c r="K869" s="243">
        <f t="shared" si="40"/>
        <v>4.7</v>
      </c>
      <c r="L869" s="179"/>
      <c r="M869" s="579"/>
      <c r="N869" s="580"/>
    </row>
    <row r="870" spans="1:14" ht="13.5" thickBot="1">
      <c r="A870" s="86"/>
      <c r="B870" s="31"/>
      <c r="C870" s="597"/>
      <c r="D870" s="598"/>
      <c r="E870" s="598"/>
      <c r="F870" s="599"/>
      <c r="G870" s="167"/>
      <c r="H870" s="598"/>
      <c r="I870" s="598"/>
      <c r="J870" s="598"/>
      <c r="K870" s="599"/>
      <c r="L870" s="31"/>
      <c r="M870" s="86"/>
      <c r="N870" s="202"/>
    </row>
    <row r="871" spans="1:14" ht="13.5" thickBot="1">
      <c r="A871" s="94"/>
      <c r="B871" s="148"/>
      <c r="C871" s="203" t="s">
        <v>200</v>
      </c>
      <c r="D871" s="204"/>
      <c r="E871" s="204"/>
      <c r="F871" s="189">
        <f>SUM(F868:F869,F867)</f>
        <v>18.64</v>
      </c>
      <c r="G871" s="206"/>
      <c r="H871" s="604" t="s">
        <v>201</v>
      </c>
      <c r="I871" s="604"/>
      <c r="J871" s="604"/>
      <c r="K871" s="189">
        <f>SUM(K867:K869)</f>
        <v>18.314517813279593</v>
      </c>
      <c r="L871" s="207"/>
      <c r="M871" s="190">
        <f>K871-F871</f>
        <v>-0.3254821867204072</v>
      </c>
      <c r="N871" s="191">
        <f>M871/F871</f>
        <v>-0.017461490703884506</v>
      </c>
    </row>
    <row r="872" ht="12.75">
      <c r="K872" s="161"/>
    </row>
    <row r="873" spans="6:11" ht="13.5" thickBot="1">
      <c r="F873" s="161"/>
      <c r="K873" s="161"/>
    </row>
    <row r="874" spans="1:14" ht="60.75" thickBot="1">
      <c r="A874" s="168" t="s">
        <v>78</v>
      </c>
      <c r="B874" s="169"/>
      <c r="C874" s="569"/>
      <c r="D874" s="581" t="s">
        <v>12</v>
      </c>
      <c r="E874" s="583" t="s">
        <v>79</v>
      </c>
      <c r="F874" s="585" t="s">
        <v>182</v>
      </c>
      <c r="G874" s="166"/>
      <c r="H874" s="170"/>
      <c r="I874" s="581" t="s">
        <v>12</v>
      </c>
      <c r="J874" s="583" t="s">
        <v>79</v>
      </c>
      <c r="K874" s="585" t="s">
        <v>182</v>
      </c>
      <c r="L874" s="169"/>
      <c r="M874" s="600" t="s">
        <v>181</v>
      </c>
      <c r="N874" s="602" t="s">
        <v>80</v>
      </c>
    </row>
    <row r="875" spans="1:14" ht="13.5" thickBot="1">
      <c r="A875" s="171">
        <v>250</v>
      </c>
      <c r="B875" s="31"/>
      <c r="C875" s="570"/>
      <c r="D875" s="582"/>
      <c r="E875" s="584"/>
      <c r="F875" s="586"/>
      <c r="G875" s="167"/>
      <c r="H875" s="31"/>
      <c r="I875" s="587"/>
      <c r="J875" s="588"/>
      <c r="K875" s="586"/>
      <c r="L875" s="32"/>
      <c r="M875" s="601"/>
      <c r="N875" s="603"/>
    </row>
    <row r="876" spans="1:14" ht="25.5">
      <c r="A876" s="172"/>
      <c r="B876" s="31"/>
      <c r="C876" s="173" t="s">
        <v>21</v>
      </c>
      <c r="D876" s="174" t="s">
        <v>81</v>
      </c>
      <c r="E876" s="175" t="s">
        <v>81</v>
      </c>
      <c r="F876" s="234">
        <f>F865</f>
        <v>10.74</v>
      </c>
      <c r="G876" s="167"/>
      <c r="H876" s="177" t="s">
        <v>21</v>
      </c>
      <c r="I876" s="208" t="str">
        <f>D876</f>
        <v>N/A</v>
      </c>
      <c r="J876" s="178" t="s">
        <v>81</v>
      </c>
      <c r="K876" s="227">
        <f>+K865</f>
        <v>10.102733291558184</v>
      </c>
      <c r="L876" s="179"/>
      <c r="M876" s="575"/>
      <c r="N876" s="576"/>
    </row>
    <row r="877" spans="1:14" ht="26.25" thickBot="1">
      <c r="A877" s="86"/>
      <c r="B877" s="31"/>
      <c r="C877" s="180" t="s">
        <v>82</v>
      </c>
      <c r="D877" s="235">
        <f>A875</f>
        <v>250</v>
      </c>
      <c r="E877" s="182">
        <f>E866</f>
        <v>0.0081</v>
      </c>
      <c r="F877" s="352">
        <f>D877*E877</f>
        <v>2.025</v>
      </c>
      <c r="G877" s="167"/>
      <c r="H877" s="184" t="s">
        <v>82</v>
      </c>
      <c r="I877" s="185">
        <f>D877</f>
        <v>250</v>
      </c>
      <c r="J877" s="443">
        <f>+J866</f>
        <v>0.0112178452172141</v>
      </c>
      <c r="K877" s="186">
        <f>I877*J877</f>
        <v>2.804461304303525</v>
      </c>
      <c r="L877" s="179"/>
      <c r="M877" s="577"/>
      <c r="N877" s="578"/>
    </row>
    <row r="878" spans="1:14" ht="13.5" thickBot="1">
      <c r="A878" s="86"/>
      <c r="B878" s="31"/>
      <c r="C878" s="605"/>
      <c r="D878" s="607"/>
      <c r="E878" s="187" t="s">
        <v>52</v>
      </c>
      <c r="F878" s="373">
        <f>SUM(F876:F877)</f>
        <v>12.765</v>
      </c>
      <c r="G878" s="167"/>
      <c r="H878" s="595"/>
      <c r="I878" s="596"/>
      <c r="J878" s="187" t="s">
        <v>83</v>
      </c>
      <c r="K878" s="189">
        <f>SUM(K876:K877)</f>
        <v>12.907194595861709</v>
      </c>
      <c r="L878" s="179"/>
      <c r="M878" s="190">
        <f>K878-F878</f>
        <v>0.14219459586170835</v>
      </c>
      <c r="N878" s="191">
        <f>M878/F878</f>
        <v>0.0111394121317437</v>
      </c>
    </row>
    <row r="879" spans="1:14" ht="25.5">
      <c r="A879" s="86"/>
      <c r="B879" s="31"/>
      <c r="C879" s="180" t="s">
        <v>84</v>
      </c>
      <c r="D879" s="181">
        <f>A875</f>
        <v>250</v>
      </c>
      <c r="E879" s="439">
        <v>0.0239</v>
      </c>
      <c r="F879" s="374">
        <f>D879*E879</f>
        <v>5.9750000000000005</v>
      </c>
      <c r="G879" s="167"/>
      <c r="H879" s="184" t="s">
        <v>84</v>
      </c>
      <c r="I879" s="185">
        <f aca="true" t="shared" si="41" ref="I879:K880">D879</f>
        <v>250</v>
      </c>
      <c r="J879" s="441">
        <f t="shared" si="41"/>
        <v>0.0239</v>
      </c>
      <c r="K879" s="195">
        <f t="shared" si="41"/>
        <v>5.9750000000000005</v>
      </c>
      <c r="L879" s="179"/>
      <c r="M879" s="575"/>
      <c r="N879" s="576"/>
    </row>
    <row r="880" spans="1:14" ht="26.25" thickBot="1">
      <c r="A880" s="86"/>
      <c r="B880" s="31"/>
      <c r="C880" s="196" t="s">
        <v>85</v>
      </c>
      <c r="D880" s="181">
        <f>A875</f>
        <v>250</v>
      </c>
      <c r="E880" s="440">
        <v>0.047</v>
      </c>
      <c r="F880" s="352">
        <f>D880*E880</f>
        <v>11.75</v>
      </c>
      <c r="G880" s="167"/>
      <c r="H880" s="198" t="s">
        <v>85</v>
      </c>
      <c r="I880" s="199">
        <f t="shared" si="41"/>
        <v>250</v>
      </c>
      <c r="J880" s="442">
        <f t="shared" si="41"/>
        <v>0.047</v>
      </c>
      <c r="K880" s="201">
        <f t="shared" si="41"/>
        <v>11.75</v>
      </c>
      <c r="L880" s="179"/>
      <c r="M880" s="579"/>
      <c r="N880" s="580"/>
    </row>
    <row r="881" spans="1:14" ht="13.5" thickBot="1">
      <c r="A881" s="86"/>
      <c r="B881" s="31"/>
      <c r="C881" s="597"/>
      <c r="D881" s="598"/>
      <c r="E881" s="598"/>
      <c r="F881" s="599"/>
      <c r="G881" s="167"/>
      <c r="H881" s="598"/>
      <c r="I881" s="598"/>
      <c r="J881" s="598"/>
      <c r="K881" s="599"/>
      <c r="L881" s="31"/>
      <c r="M881" s="86"/>
      <c r="N881" s="202"/>
    </row>
    <row r="882" spans="1:14" ht="13.5" thickBot="1">
      <c r="A882" s="94"/>
      <c r="B882" s="148"/>
      <c r="C882" s="203" t="s">
        <v>200</v>
      </c>
      <c r="D882" s="204"/>
      <c r="E882" s="204"/>
      <c r="F882" s="189">
        <f>SUM(F879:F880,F878)</f>
        <v>30.490000000000002</v>
      </c>
      <c r="G882" s="206"/>
      <c r="H882" s="604" t="s">
        <v>201</v>
      </c>
      <c r="I882" s="604"/>
      <c r="J882" s="604"/>
      <c r="K882" s="189">
        <f>SUM(K878:K880)</f>
        <v>30.63219459586171</v>
      </c>
      <c r="L882" s="207"/>
      <c r="M882" s="190">
        <f>K882-F882</f>
        <v>0.14219459586170657</v>
      </c>
      <c r="N882" s="191">
        <f>M882/F882</f>
        <v>0.004663646961682734</v>
      </c>
    </row>
    <row r="883" ht="12.75">
      <c r="K883" s="161"/>
    </row>
    <row r="884" spans="1:14" ht="15.75" thickBot="1">
      <c r="A884" s="47"/>
      <c r="B884" s="12"/>
      <c r="D884" s="10"/>
      <c r="E884" s="10"/>
      <c r="F884" s="209"/>
      <c r="I884" s="10"/>
      <c r="J884" s="10"/>
      <c r="K884" s="210"/>
      <c r="L884" s="12"/>
      <c r="M884" s="12"/>
      <c r="N884" s="211"/>
    </row>
    <row r="885" spans="1:14" ht="60.75" thickBot="1">
      <c r="A885" s="168" t="s">
        <v>78</v>
      </c>
      <c r="B885" s="169"/>
      <c r="C885" s="608"/>
      <c r="D885" s="581" t="s">
        <v>12</v>
      </c>
      <c r="E885" s="583" t="s">
        <v>79</v>
      </c>
      <c r="F885" s="585" t="s">
        <v>182</v>
      </c>
      <c r="G885" s="166"/>
      <c r="H885" s="170"/>
      <c r="I885" s="581" t="s">
        <v>12</v>
      </c>
      <c r="J885" s="583" t="s">
        <v>79</v>
      </c>
      <c r="K885" s="585" t="s">
        <v>182</v>
      </c>
      <c r="L885" s="169"/>
      <c r="M885" s="600" t="s">
        <v>181</v>
      </c>
      <c r="N885" s="602" t="s">
        <v>80</v>
      </c>
    </row>
    <row r="886" spans="1:14" ht="13.5" thickBot="1">
      <c r="A886" s="171">
        <v>500</v>
      </c>
      <c r="B886" s="31"/>
      <c r="C886" s="609"/>
      <c r="D886" s="582"/>
      <c r="E886" s="584"/>
      <c r="F886" s="586"/>
      <c r="G886" s="167"/>
      <c r="H886" s="31"/>
      <c r="I886" s="587"/>
      <c r="J886" s="588"/>
      <c r="K886" s="586"/>
      <c r="L886" s="32"/>
      <c r="M886" s="601"/>
      <c r="N886" s="603"/>
    </row>
    <row r="887" spans="1:14" ht="25.5">
      <c r="A887" s="172"/>
      <c r="B887" s="31"/>
      <c r="C887" s="173" t="s">
        <v>21</v>
      </c>
      <c r="D887" s="174" t="s">
        <v>81</v>
      </c>
      <c r="E887" s="175" t="s">
        <v>81</v>
      </c>
      <c r="F887" s="234">
        <f>F876</f>
        <v>10.74</v>
      </c>
      <c r="G887" s="167"/>
      <c r="H887" s="177" t="s">
        <v>21</v>
      </c>
      <c r="I887" s="208" t="str">
        <f>D887</f>
        <v>N/A</v>
      </c>
      <c r="J887" s="178" t="s">
        <v>81</v>
      </c>
      <c r="K887" s="227">
        <f>+K876</f>
        <v>10.102733291558184</v>
      </c>
      <c r="L887" s="179"/>
      <c r="M887" s="575"/>
      <c r="N887" s="576"/>
    </row>
    <row r="888" spans="1:14" ht="26.25" thickBot="1">
      <c r="A888" s="86"/>
      <c r="B888" s="31"/>
      <c r="C888" s="180" t="s">
        <v>82</v>
      </c>
      <c r="D888" s="235">
        <f>A886</f>
        <v>500</v>
      </c>
      <c r="E888" s="182">
        <f>E877</f>
        <v>0.0081</v>
      </c>
      <c r="F888" s="352">
        <f>D888*E888</f>
        <v>4.05</v>
      </c>
      <c r="G888" s="167"/>
      <c r="H888" s="184" t="s">
        <v>82</v>
      </c>
      <c r="I888" s="375">
        <f>D888</f>
        <v>500</v>
      </c>
      <c r="J888" s="443">
        <f>+J877</f>
        <v>0.0112178452172141</v>
      </c>
      <c r="K888" s="186">
        <f>+J888*I888</f>
        <v>5.60892260860705</v>
      </c>
      <c r="L888" s="179"/>
      <c r="M888" s="577"/>
      <c r="N888" s="578"/>
    </row>
    <row r="889" spans="1:14" ht="13.5" thickBot="1">
      <c r="A889" s="86"/>
      <c r="B889" s="31"/>
      <c r="C889" s="605"/>
      <c r="D889" s="606"/>
      <c r="E889" s="187" t="s">
        <v>52</v>
      </c>
      <c r="F889" s="373">
        <f>SUM(F887:F888)</f>
        <v>14.79</v>
      </c>
      <c r="G889" s="167"/>
      <c r="H889" s="595"/>
      <c r="I889" s="596"/>
      <c r="J889" s="187" t="s">
        <v>83</v>
      </c>
      <c r="K889" s="189">
        <f>SUM(K887:K888)</f>
        <v>15.711655900165233</v>
      </c>
      <c r="L889" s="179"/>
      <c r="M889" s="190">
        <f>K889-F889</f>
        <v>0.9216559001652342</v>
      </c>
      <c r="N889" s="191">
        <f>M889/F889</f>
        <v>0.062316152817121995</v>
      </c>
    </row>
    <row r="890" spans="1:14" ht="25.5">
      <c r="A890" s="86"/>
      <c r="B890" s="31"/>
      <c r="C890" s="180" t="s">
        <v>84</v>
      </c>
      <c r="D890" s="181">
        <f>A886</f>
        <v>500</v>
      </c>
      <c r="E890" s="439">
        <v>0.0239</v>
      </c>
      <c r="F890" s="374">
        <f>D890*E890</f>
        <v>11.950000000000001</v>
      </c>
      <c r="G890" s="167"/>
      <c r="H890" s="184" t="s">
        <v>84</v>
      </c>
      <c r="I890" s="185">
        <f aca="true" t="shared" si="42" ref="I890:K891">D890</f>
        <v>500</v>
      </c>
      <c r="J890" s="441">
        <f t="shared" si="42"/>
        <v>0.0239</v>
      </c>
      <c r="K890" s="195">
        <f t="shared" si="42"/>
        <v>11.950000000000001</v>
      </c>
      <c r="L890" s="179"/>
      <c r="M890" s="575"/>
      <c r="N890" s="576"/>
    </row>
    <row r="891" spans="1:14" ht="26.25" thickBot="1">
      <c r="A891" s="86"/>
      <c r="B891" s="31"/>
      <c r="C891" s="196" t="s">
        <v>85</v>
      </c>
      <c r="D891" s="181">
        <f>A886</f>
        <v>500</v>
      </c>
      <c r="E891" s="440">
        <v>0.047</v>
      </c>
      <c r="F891" s="352">
        <f>D891*E891</f>
        <v>23.5</v>
      </c>
      <c r="G891" s="167"/>
      <c r="H891" s="198" t="s">
        <v>85</v>
      </c>
      <c r="I891" s="199">
        <f t="shared" si="42"/>
        <v>500</v>
      </c>
      <c r="J891" s="442">
        <f t="shared" si="42"/>
        <v>0.047</v>
      </c>
      <c r="K891" s="201">
        <f t="shared" si="42"/>
        <v>23.5</v>
      </c>
      <c r="L891" s="179"/>
      <c r="M891" s="579"/>
      <c r="N891" s="580"/>
    </row>
    <row r="892" spans="1:14" ht="13.5" thickBot="1">
      <c r="A892" s="86"/>
      <c r="B892" s="31"/>
      <c r="C892" s="597"/>
      <c r="D892" s="598"/>
      <c r="E892" s="598"/>
      <c r="F892" s="599"/>
      <c r="G892" s="167"/>
      <c r="H892" s="598"/>
      <c r="I892" s="598"/>
      <c r="J892" s="598"/>
      <c r="K892" s="599"/>
      <c r="L892" s="31"/>
      <c r="M892" s="86"/>
      <c r="N892" s="202"/>
    </row>
    <row r="893" spans="1:14" ht="13.5" thickBot="1">
      <c r="A893" s="94"/>
      <c r="B893" s="148"/>
      <c r="C893" s="203" t="s">
        <v>200</v>
      </c>
      <c r="D893" s="204"/>
      <c r="E893" s="204"/>
      <c r="F893" s="189">
        <f>SUM(F890:F891,F889)</f>
        <v>50.24</v>
      </c>
      <c r="G893" s="206"/>
      <c r="H893" s="604" t="s">
        <v>201</v>
      </c>
      <c r="I893" s="604"/>
      <c r="J893" s="604"/>
      <c r="K893" s="189">
        <f>SUM(K889:K891)</f>
        <v>51.161655900165236</v>
      </c>
      <c r="L893" s="207"/>
      <c r="M893" s="190">
        <f>K893-F893</f>
        <v>0.9216559001652342</v>
      </c>
      <c r="N893" s="191">
        <f>M893/F893</f>
        <v>0.018345061707110553</v>
      </c>
    </row>
    <row r="894" spans="1:14" ht="15">
      <c r="A894" s="47"/>
      <c r="B894" s="12"/>
      <c r="D894" s="10"/>
      <c r="E894" s="10"/>
      <c r="F894" s="209"/>
      <c r="I894" s="10"/>
      <c r="J894" s="10"/>
      <c r="K894" s="210"/>
      <c r="L894" s="12"/>
      <c r="M894" s="12"/>
      <c r="N894" s="211"/>
    </row>
    <row r="895" spans="1:14" ht="13.5" thickBot="1">
      <c r="A895" s="12"/>
      <c r="C895" s="497" t="s">
        <v>252</v>
      </c>
      <c r="D895" s="484"/>
      <c r="E895" s="10"/>
      <c r="F895" s="209"/>
      <c r="I895" s="10"/>
      <c r="J895" s="10"/>
      <c r="K895" s="210"/>
      <c r="L895" s="12"/>
      <c r="M895" s="12"/>
      <c r="N895" s="213"/>
    </row>
    <row r="896" spans="1:14" ht="60.75" thickBot="1">
      <c r="A896" s="168" t="s">
        <v>78</v>
      </c>
      <c r="B896" s="169"/>
      <c r="C896" s="569"/>
      <c r="D896" s="581" t="s">
        <v>12</v>
      </c>
      <c r="E896" s="583" t="s">
        <v>79</v>
      </c>
      <c r="F896" s="585" t="s">
        <v>182</v>
      </c>
      <c r="G896" s="166"/>
      <c r="H896" s="170"/>
      <c r="I896" s="581" t="s">
        <v>12</v>
      </c>
      <c r="J896" s="583" t="s">
        <v>79</v>
      </c>
      <c r="K896" s="585" t="s">
        <v>182</v>
      </c>
      <c r="L896" s="169"/>
      <c r="M896" s="600" t="s">
        <v>181</v>
      </c>
      <c r="N896" s="602" t="s">
        <v>80</v>
      </c>
    </row>
    <row r="897" spans="1:14" ht="13.5" thickBot="1">
      <c r="A897" s="171">
        <v>750</v>
      </c>
      <c r="B897" s="31"/>
      <c r="C897" s="570"/>
      <c r="D897" s="582"/>
      <c r="E897" s="584"/>
      <c r="F897" s="586"/>
      <c r="G897" s="167"/>
      <c r="H897" s="31"/>
      <c r="I897" s="587"/>
      <c r="J897" s="588"/>
      <c r="K897" s="586"/>
      <c r="L897" s="32"/>
      <c r="M897" s="601"/>
      <c r="N897" s="603"/>
    </row>
    <row r="898" spans="1:14" ht="25.5">
      <c r="A898" s="172"/>
      <c r="B898" s="31"/>
      <c r="C898" s="173" t="s">
        <v>21</v>
      </c>
      <c r="D898" s="174" t="s">
        <v>81</v>
      </c>
      <c r="E898" s="175" t="s">
        <v>81</v>
      </c>
      <c r="F898" s="234">
        <f>F887</f>
        <v>10.74</v>
      </c>
      <c r="G898" s="167"/>
      <c r="H898" s="177" t="s">
        <v>21</v>
      </c>
      <c r="I898" s="208" t="str">
        <f>D898</f>
        <v>N/A</v>
      </c>
      <c r="J898" s="178" t="s">
        <v>81</v>
      </c>
      <c r="K898" s="227">
        <f>+K887</f>
        <v>10.102733291558184</v>
      </c>
      <c r="L898" s="179"/>
      <c r="M898" s="575"/>
      <c r="N898" s="576"/>
    </row>
    <row r="899" spans="1:14" ht="26.25" thickBot="1">
      <c r="A899" s="86"/>
      <c r="B899" s="31"/>
      <c r="C899" s="180" t="s">
        <v>82</v>
      </c>
      <c r="D899" s="235">
        <f>A897</f>
        <v>750</v>
      </c>
      <c r="E899" s="182">
        <f>E888</f>
        <v>0.0081</v>
      </c>
      <c r="F899" s="352">
        <f>D899*E899</f>
        <v>6.074999999999999</v>
      </c>
      <c r="G899" s="167"/>
      <c r="H899" s="184" t="s">
        <v>82</v>
      </c>
      <c r="I899" s="375">
        <f>D899</f>
        <v>750</v>
      </c>
      <c r="J899" s="228">
        <f>+J888</f>
        <v>0.0112178452172141</v>
      </c>
      <c r="K899" s="186">
        <f>I899*J899</f>
        <v>8.413383912910575</v>
      </c>
      <c r="L899" s="179"/>
      <c r="M899" s="577"/>
      <c r="N899" s="578"/>
    </row>
    <row r="900" spans="1:14" ht="13.5" thickBot="1">
      <c r="A900" s="86"/>
      <c r="B900" s="31"/>
      <c r="C900" s="605"/>
      <c r="D900" s="607"/>
      <c r="E900" s="187" t="s">
        <v>52</v>
      </c>
      <c r="F900" s="373">
        <f>SUM(F898:F899)</f>
        <v>16.814999999999998</v>
      </c>
      <c r="G900" s="167"/>
      <c r="H900" s="595"/>
      <c r="I900" s="596"/>
      <c r="J900" s="187" t="s">
        <v>83</v>
      </c>
      <c r="K900" s="189">
        <f>SUM(K898:K899)</f>
        <v>18.51611720446876</v>
      </c>
      <c r="L900" s="179"/>
      <c r="M900" s="190">
        <f>K900-F900</f>
        <v>1.701117204468762</v>
      </c>
      <c r="N900" s="191">
        <f>M900/F900</f>
        <v>0.10116664909121392</v>
      </c>
    </row>
    <row r="901" spans="1:14" ht="25.5">
      <c r="A901" s="86"/>
      <c r="B901" s="31"/>
      <c r="C901" s="180" t="s">
        <v>84</v>
      </c>
      <c r="D901" s="181">
        <f>A897</f>
        <v>750</v>
      </c>
      <c r="E901" s="192">
        <v>0.0239</v>
      </c>
      <c r="F901" s="374">
        <f>D901*E901</f>
        <v>17.925</v>
      </c>
      <c r="G901" s="167"/>
      <c r="H901" s="184" t="s">
        <v>84</v>
      </c>
      <c r="I901" s="185">
        <f aca="true" t="shared" si="43" ref="I901:K902">D901</f>
        <v>750</v>
      </c>
      <c r="J901" s="194">
        <f t="shared" si="43"/>
        <v>0.0239</v>
      </c>
      <c r="K901" s="195">
        <f t="shared" si="43"/>
        <v>17.925</v>
      </c>
      <c r="L901" s="179"/>
      <c r="M901" s="575"/>
      <c r="N901" s="576"/>
    </row>
    <row r="902" spans="1:14" ht="26.25" thickBot="1">
      <c r="A902" s="86"/>
      <c r="B902" s="31"/>
      <c r="C902" s="196" t="s">
        <v>85</v>
      </c>
      <c r="D902" s="181">
        <f>A897</f>
        <v>750</v>
      </c>
      <c r="E902" s="197">
        <v>0.047</v>
      </c>
      <c r="F902" s="352">
        <f>D902*E902</f>
        <v>35.25</v>
      </c>
      <c r="G902" s="167"/>
      <c r="H902" s="198" t="s">
        <v>85</v>
      </c>
      <c r="I902" s="199">
        <f t="shared" si="43"/>
        <v>750</v>
      </c>
      <c r="J902" s="200">
        <f t="shared" si="43"/>
        <v>0.047</v>
      </c>
      <c r="K902" s="201">
        <f t="shared" si="43"/>
        <v>35.25</v>
      </c>
      <c r="L902" s="179"/>
      <c r="M902" s="579"/>
      <c r="N902" s="580"/>
    </row>
    <row r="903" spans="1:14" ht="13.5" thickBot="1">
      <c r="A903" s="86"/>
      <c r="B903" s="31"/>
      <c r="C903" s="597"/>
      <c r="D903" s="598"/>
      <c r="E903" s="598"/>
      <c r="F903" s="599"/>
      <c r="G903" s="167"/>
      <c r="H903" s="598"/>
      <c r="I903" s="598"/>
      <c r="J903" s="598"/>
      <c r="K903" s="599"/>
      <c r="L903" s="31"/>
      <c r="M903" s="86"/>
      <c r="N903" s="202"/>
    </row>
    <row r="904" spans="1:14" ht="13.5" thickBot="1">
      <c r="A904" s="94"/>
      <c r="B904" s="148"/>
      <c r="C904" s="203" t="s">
        <v>200</v>
      </c>
      <c r="D904" s="204"/>
      <c r="E904" s="204"/>
      <c r="F904" s="189">
        <f>SUM(F901:F902,F900)</f>
        <v>69.99</v>
      </c>
      <c r="G904" s="206"/>
      <c r="H904" s="604" t="s">
        <v>201</v>
      </c>
      <c r="I904" s="604"/>
      <c r="J904" s="604"/>
      <c r="K904" s="189">
        <f>SUM(K900:K902)</f>
        <v>71.69111720446875</v>
      </c>
      <c r="L904" s="207"/>
      <c r="M904" s="190">
        <f>K904-F904</f>
        <v>1.7011172044687584</v>
      </c>
      <c r="N904" s="191">
        <f>M904/F904</f>
        <v>0.024305146513341314</v>
      </c>
    </row>
    <row r="905" spans="1:14" ht="12.75">
      <c r="A905" s="12"/>
      <c r="D905" s="212"/>
      <c r="E905" s="10"/>
      <c r="F905" s="209"/>
      <c r="I905" s="10"/>
      <c r="J905" s="10"/>
      <c r="K905" s="210"/>
      <c r="L905" s="12"/>
      <c r="M905" s="12"/>
      <c r="N905" s="213"/>
    </row>
    <row r="906" spans="1:13" ht="15.75" thickBot="1">
      <c r="A906" s="214"/>
      <c r="B906" s="31"/>
      <c r="C906" s="133"/>
      <c r="D906" s="30"/>
      <c r="E906" s="30"/>
      <c r="F906" s="215"/>
      <c r="H906" s="133"/>
      <c r="I906" s="30"/>
      <c r="J906" s="30"/>
      <c r="K906" s="216"/>
      <c r="L906" s="216"/>
      <c r="M906" s="216"/>
    </row>
    <row r="907" spans="1:14" ht="60.75" thickBot="1">
      <c r="A907" s="168" t="s">
        <v>78</v>
      </c>
      <c r="B907" s="169"/>
      <c r="C907" s="569"/>
      <c r="D907" s="581" t="s">
        <v>12</v>
      </c>
      <c r="E907" s="583" t="s">
        <v>79</v>
      </c>
      <c r="F907" s="585" t="s">
        <v>182</v>
      </c>
      <c r="G907" s="166"/>
      <c r="H907" s="170"/>
      <c r="I907" s="581" t="s">
        <v>12</v>
      </c>
      <c r="J907" s="583" t="s">
        <v>79</v>
      </c>
      <c r="K907" s="585" t="s">
        <v>182</v>
      </c>
      <c r="L907" s="169"/>
      <c r="M907" s="600" t="s">
        <v>181</v>
      </c>
      <c r="N907" s="602" t="s">
        <v>80</v>
      </c>
    </row>
    <row r="908" spans="1:14" ht="13.5" thickBot="1">
      <c r="A908" s="171">
        <v>1000</v>
      </c>
      <c r="B908" s="31"/>
      <c r="C908" s="570"/>
      <c r="D908" s="582"/>
      <c r="E908" s="584"/>
      <c r="F908" s="586"/>
      <c r="G908" s="167"/>
      <c r="H908" s="31"/>
      <c r="I908" s="587"/>
      <c r="J908" s="588"/>
      <c r="K908" s="586"/>
      <c r="L908" s="32"/>
      <c r="M908" s="601"/>
      <c r="N908" s="603"/>
    </row>
    <row r="909" spans="1:14" ht="25.5">
      <c r="A909" s="172"/>
      <c r="B909" s="31"/>
      <c r="C909" s="173" t="s">
        <v>21</v>
      </c>
      <c r="D909" s="174" t="s">
        <v>81</v>
      </c>
      <c r="E909" s="175" t="s">
        <v>81</v>
      </c>
      <c r="F909" s="234">
        <f>F898</f>
        <v>10.74</v>
      </c>
      <c r="G909" s="167"/>
      <c r="H909" s="173" t="s">
        <v>21</v>
      </c>
      <c r="I909" s="208" t="str">
        <f>D909</f>
        <v>N/A</v>
      </c>
      <c r="J909" s="178" t="s">
        <v>81</v>
      </c>
      <c r="K909" s="227">
        <f>+K898</f>
        <v>10.102733291558184</v>
      </c>
      <c r="L909" s="179"/>
      <c r="M909" s="575"/>
      <c r="N909" s="576"/>
    </row>
    <row r="910" spans="1:14" ht="26.25" thickBot="1">
      <c r="A910" s="86"/>
      <c r="B910" s="31"/>
      <c r="C910" s="180" t="s">
        <v>82</v>
      </c>
      <c r="D910" s="181">
        <f>A908</f>
        <v>1000</v>
      </c>
      <c r="E910" s="182">
        <f>E899</f>
        <v>0.0081</v>
      </c>
      <c r="F910" s="352">
        <f>D910*E910</f>
        <v>8.1</v>
      </c>
      <c r="G910" s="167"/>
      <c r="H910" s="180" t="s">
        <v>82</v>
      </c>
      <c r="I910" s="185">
        <f>D910</f>
        <v>1000</v>
      </c>
      <c r="J910" s="228">
        <f>+J899</f>
        <v>0.0112178452172141</v>
      </c>
      <c r="K910" s="186">
        <f>I910*J910</f>
        <v>11.2178452172141</v>
      </c>
      <c r="L910" s="179"/>
      <c r="M910" s="577"/>
      <c r="N910" s="578"/>
    </row>
    <row r="911" spans="1:14" ht="13.5" thickBot="1">
      <c r="A911" s="86"/>
      <c r="B911" s="31"/>
      <c r="C911" s="605"/>
      <c r="D911" s="607"/>
      <c r="E911" s="187" t="s">
        <v>52</v>
      </c>
      <c r="F911" s="373">
        <f>SUM(F909:F910)</f>
        <v>18.84</v>
      </c>
      <c r="G911" s="167"/>
      <c r="H911" s="610"/>
      <c r="I911" s="596"/>
      <c r="J911" s="187" t="s">
        <v>83</v>
      </c>
      <c r="K911" s="189">
        <f>SUM(K909:K910)</f>
        <v>21.320578508772286</v>
      </c>
      <c r="L911" s="179"/>
      <c r="M911" s="190">
        <f>K911-F911</f>
        <v>2.480578508772286</v>
      </c>
      <c r="N911" s="191">
        <f>M911/F911</f>
        <v>0.13166552594332728</v>
      </c>
    </row>
    <row r="912" spans="1:14" ht="25.5">
      <c r="A912" s="86"/>
      <c r="B912" s="31"/>
      <c r="C912" s="180" t="s">
        <v>84</v>
      </c>
      <c r="D912" s="181">
        <f>A908</f>
        <v>1000</v>
      </c>
      <c r="E912" s="192">
        <v>0.0239</v>
      </c>
      <c r="F912" s="374">
        <f>D912*E912</f>
        <v>23.900000000000002</v>
      </c>
      <c r="G912" s="167"/>
      <c r="H912" s="180" t="s">
        <v>84</v>
      </c>
      <c r="I912" s="185">
        <f>D912</f>
        <v>1000</v>
      </c>
      <c r="J912" s="194">
        <f>E912</f>
        <v>0.0239</v>
      </c>
      <c r="K912" s="195">
        <f>F912</f>
        <v>23.900000000000002</v>
      </c>
      <c r="L912" s="179"/>
      <c r="M912" s="575"/>
      <c r="N912" s="576"/>
    </row>
    <row r="913" spans="1:14" ht="25.5">
      <c r="A913" s="86"/>
      <c r="B913" s="31"/>
      <c r="C913" s="196" t="s">
        <v>85</v>
      </c>
      <c r="D913" s="181">
        <v>750</v>
      </c>
      <c r="E913" s="197">
        <v>0.047</v>
      </c>
      <c r="F913" s="352">
        <f>D913*E913</f>
        <v>35.25</v>
      </c>
      <c r="G913" s="167"/>
      <c r="H913" s="196" t="s">
        <v>85</v>
      </c>
      <c r="I913" s="181">
        <f>D913</f>
        <v>750</v>
      </c>
      <c r="J913" s="197">
        <v>0.047</v>
      </c>
      <c r="K913" s="352">
        <f>I913*J913</f>
        <v>35.25</v>
      </c>
      <c r="L913" s="179"/>
      <c r="M913" s="579"/>
      <c r="N913" s="580"/>
    </row>
    <row r="914" spans="1:14" ht="26.25" thickBot="1">
      <c r="A914" s="86"/>
      <c r="B914" s="31"/>
      <c r="C914" s="196" t="s">
        <v>85</v>
      </c>
      <c r="D914" s="235">
        <f>A908-D913</f>
        <v>250</v>
      </c>
      <c r="E914" s="197">
        <v>0.055</v>
      </c>
      <c r="F914" s="352">
        <f>D914*E914</f>
        <v>13.75</v>
      </c>
      <c r="G914" s="167"/>
      <c r="H914" s="353" t="s">
        <v>85</v>
      </c>
      <c r="I914" s="376">
        <f>D914</f>
        <v>250</v>
      </c>
      <c r="J914" s="354">
        <v>0.055</v>
      </c>
      <c r="K914" s="355">
        <f>I914*J914</f>
        <v>13.75</v>
      </c>
      <c r="L914" s="179"/>
      <c r="M914" s="579"/>
      <c r="N914" s="580"/>
    </row>
    <row r="915" spans="1:14" ht="13.5" thickBot="1">
      <c r="A915" s="86"/>
      <c r="B915" s="31"/>
      <c r="C915" s="597"/>
      <c r="D915" s="598"/>
      <c r="E915" s="598"/>
      <c r="F915" s="599"/>
      <c r="G915" s="167"/>
      <c r="H915" s="598"/>
      <c r="I915" s="598"/>
      <c r="J915" s="598"/>
      <c r="K915" s="599"/>
      <c r="L915" s="31"/>
      <c r="M915" s="86"/>
      <c r="N915" s="202"/>
    </row>
    <row r="916" spans="1:14" ht="13.5" thickBot="1">
      <c r="A916" s="94"/>
      <c r="B916" s="148"/>
      <c r="C916" s="203" t="s">
        <v>200</v>
      </c>
      <c r="D916" s="204"/>
      <c r="E916" s="204"/>
      <c r="F916" s="189">
        <f>SUM(F912:F914,F911)</f>
        <v>91.74000000000001</v>
      </c>
      <c r="G916" s="206"/>
      <c r="H916" s="604" t="s">
        <v>201</v>
      </c>
      <c r="I916" s="604"/>
      <c r="J916" s="604"/>
      <c r="K916" s="189">
        <f>SUM(K911:K914)</f>
        <v>94.22057850877229</v>
      </c>
      <c r="L916" s="207"/>
      <c r="M916" s="190">
        <f>K916-F916</f>
        <v>2.4805785087722825</v>
      </c>
      <c r="N916" s="191">
        <f>M916/F916</f>
        <v>0.027039225079270573</v>
      </c>
    </row>
    <row r="917" spans="1:14" ht="12.75">
      <c r="A917" s="12"/>
      <c r="D917" s="212"/>
      <c r="E917" s="10"/>
      <c r="F917" s="209"/>
      <c r="I917" s="10"/>
      <c r="J917" s="10"/>
      <c r="K917" s="210"/>
      <c r="L917" s="12"/>
      <c r="M917" s="12"/>
      <c r="N917" s="213"/>
    </row>
    <row r="918" spans="1:13" ht="15.75" thickBot="1">
      <c r="A918" s="214"/>
      <c r="B918" s="31"/>
      <c r="C918" s="133"/>
      <c r="D918" s="30"/>
      <c r="E918" s="30"/>
      <c r="F918" s="215"/>
      <c r="H918" s="133"/>
      <c r="I918" s="30"/>
      <c r="J918" s="30"/>
      <c r="K918" s="216"/>
      <c r="L918" s="216"/>
      <c r="M918" s="216"/>
    </row>
    <row r="919" spans="1:14" ht="60.75" thickBot="1">
      <c r="A919" s="168" t="s">
        <v>78</v>
      </c>
      <c r="B919" s="169"/>
      <c r="C919" s="569"/>
      <c r="D919" s="581" t="s">
        <v>12</v>
      </c>
      <c r="E919" s="583" t="s">
        <v>79</v>
      </c>
      <c r="F919" s="585" t="s">
        <v>182</v>
      </c>
      <c r="G919" s="166"/>
      <c r="H919" s="170"/>
      <c r="I919" s="581" t="s">
        <v>12</v>
      </c>
      <c r="J919" s="583" t="s">
        <v>79</v>
      </c>
      <c r="K919" s="585" t="s">
        <v>182</v>
      </c>
      <c r="L919" s="169"/>
      <c r="M919" s="600" t="s">
        <v>181</v>
      </c>
      <c r="N919" s="602" t="s">
        <v>80</v>
      </c>
    </row>
    <row r="920" spans="1:14" ht="13.5" thickBot="1">
      <c r="A920" s="171">
        <v>1500</v>
      </c>
      <c r="B920" s="31"/>
      <c r="C920" s="570"/>
      <c r="D920" s="582"/>
      <c r="E920" s="584"/>
      <c r="F920" s="586"/>
      <c r="G920" s="167"/>
      <c r="H920" s="31"/>
      <c r="I920" s="587"/>
      <c r="J920" s="588"/>
      <c r="K920" s="586"/>
      <c r="L920" s="32"/>
      <c r="M920" s="601"/>
      <c r="N920" s="603"/>
    </row>
    <row r="921" spans="1:14" ht="25.5">
      <c r="A921" s="172"/>
      <c r="B921" s="31"/>
      <c r="C921" s="173" t="s">
        <v>21</v>
      </c>
      <c r="D921" s="174" t="s">
        <v>81</v>
      </c>
      <c r="E921" s="175" t="s">
        <v>81</v>
      </c>
      <c r="F921" s="234">
        <f>F909</f>
        <v>10.74</v>
      </c>
      <c r="G921" s="167"/>
      <c r="H921" s="177" t="s">
        <v>21</v>
      </c>
      <c r="I921" s="208" t="str">
        <f>D921</f>
        <v>N/A</v>
      </c>
      <c r="J921" s="178" t="s">
        <v>81</v>
      </c>
      <c r="K921" s="227">
        <f>+K909</f>
        <v>10.102733291558184</v>
      </c>
      <c r="L921" s="179"/>
      <c r="M921" s="575"/>
      <c r="N921" s="576"/>
    </row>
    <row r="922" spans="1:14" ht="26.25" thickBot="1">
      <c r="A922" s="86"/>
      <c r="B922" s="31"/>
      <c r="C922" s="180" t="s">
        <v>82</v>
      </c>
      <c r="D922" s="181">
        <f>A920</f>
        <v>1500</v>
      </c>
      <c r="E922" s="182">
        <f>E910</f>
        <v>0.0081</v>
      </c>
      <c r="F922" s="352">
        <f>D922*E922</f>
        <v>12.149999999999999</v>
      </c>
      <c r="G922" s="167"/>
      <c r="H922" s="184" t="s">
        <v>82</v>
      </c>
      <c r="I922" s="185">
        <f>D922</f>
        <v>1500</v>
      </c>
      <c r="J922" s="228">
        <f>+J910</f>
        <v>0.0112178452172141</v>
      </c>
      <c r="K922" s="186">
        <f>I922*J922</f>
        <v>16.82676782582115</v>
      </c>
      <c r="L922" s="179"/>
      <c r="M922" s="577"/>
      <c r="N922" s="578"/>
    </row>
    <row r="923" spans="1:14" ht="13.5" thickBot="1">
      <c r="A923" s="86"/>
      <c r="B923" s="31"/>
      <c r="C923" s="605"/>
      <c r="D923" s="607"/>
      <c r="E923" s="187" t="s">
        <v>52</v>
      </c>
      <c r="F923" s="373">
        <f>SUM(F921:F922)</f>
        <v>22.89</v>
      </c>
      <c r="G923" s="167"/>
      <c r="H923" s="595"/>
      <c r="I923" s="596"/>
      <c r="J923" s="187" t="s">
        <v>83</v>
      </c>
      <c r="K923" s="189">
        <f>SUM(K921:K922)</f>
        <v>26.929501117379335</v>
      </c>
      <c r="L923" s="179"/>
      <c r="M923" s="190">
        <f>K923-F923</f>
        <v>4.039501117379334</v>
      </c>
      <c r="N923" s="191">
        <f>M923/F923</f>
        <v>0.1764744918033785</v>
      </c>
    </row>
    <row r="924" spans="1:14" ht="25.5">
      <c r="A924" s="86"/>
      <c r="B924" s="31"/>
      <c r="C924" s="180" t="s">
        <v>84</v>
      </c>
      <c r="D924" s="181">
        <f>A920</f>
        <v>1500</v>
      </c>
      <c r="E924" s="192">
        <v>0.0239</v>
      </c>
      <c r="F924" s="374">
        <f>D924*E924</f>
        <v>35.85</v>
      </c>
      <c r="G924" s="167"/>
      <c r="H924" s="184" t="s">
        <v>84</v>
      </c>
      <c r="I924" s="185">
        <f>D924</f>
        <v>1500</v>
      </c>
      <c r="J924" s="194">
        <f>E924</f>
        <v>0.0239</v>
      </c>
      <c r="K924" s="195">
        <f>F924</f>
        <v>35.85</v>
      </c>
      <c r="L924" s="179"/>
      <c r="M924" s="575"/>
      <c r="N924" s="576"/>
    </row>
    <row r="925" spans="1:14" ht="25.5">
      <c r="A925" s="86"/>
      <c r="B925" s="31"/>
      <c r="C925" s="196" t="s">
        <v>85</v>
      </c>
      <c r="D925" s="181">
        <v>750</v>
      </c>
      <c r="E925" s="197">
        <v>0.047</v>
      </c>
      <c r="F925" s="352">
        <f>D925*E925</f>
        <v>35.25</v>
      </c>
      <c r="G925" s="167"/>
      <c r="H925" s="196" t="s">
        <v>85</v>
      </c>
      <c r="I925" s="185">
        <f>D925</f>
        <v>750</v>
      </c>
      <c r="J925" s="197">
        <v>0.047</v>
      </c>
      <c r="K925" s="352">
        <f>I925*J925</f>
        <v>35.25</v>
      </c>
      <c r="L925" s="179"/>
      <c r="M925" s="579"/>
      <c r="N925" s="580"/>
    </row>
    <row r="926" spans="1:14" ht="26.25" thickBot="1">
      <c r="A926" s="86"/>
      <c r="B926" s="31"/>
      <c r="C926" s="196" t="s">
        <v>85</v>
      </c>
      <c r="D926" s="235">
        <f>A920-D925</f>
        <v>750</v>
      </c>
      <c r="E926" s="197">
        <v>0.055</v>
      </c>
      <c r="F926" s="352">
        <f>D926*E926</f>
        <v>41.25</v>
      </c>
      <c r="G926" s="167"/>
      <c r="H926" s="353" t="s">
        <v>85</v>
      </c>
      <c r="I926" s="376">
        <f>D926</f>
        <v>750</v>
      </c>
      <c r="J926" s="354">
        <v>0.055</v>
      </c>
      <c r="K926" s="355">
        <f>I926*J926</f>
        <v>41.25</v>
      </c>
      <c r="L926" s="179"/>
      <c r="M926" s="579"/>
      <c r="N926" s="580"/>
    </row>
    <row r="927" spans="1:14" ht="13.5" thickBot="1">
      <c r="A927" s="86"/>
      <c r="B927" s="31"/>
      <c r="C927" s="597"/>
      <c r="D927" s="598"/>
      <c r="E927" s="598"/>
      <c r="F927" s="599"/>
      <c r="G927" s="167"/>
      <c r="H927" s="598"/>
      <c r="I927" s="598"/>
      <c r="J927" s="598"/>
      <c r="K927" s="599"/>
      <c r="L927" s="31"/>
      <c r="M927" s="86"/>
      <c r="N927" s="202"/>
    </row>
    <row r="928" spans="1:14" ht="13.5" thickBot="1">
      <c r="A928" s="94"/>
      <c r="B928" s="148"/>
      <c r="C928" s="203" t="s">
        <v>200</v>
      </c>
      <c r="D928" s="204"/>
      <c r="E928" s="204"/>
      <c r="F928" s="189">
        <f>SUM(F924:F926,F923)</f>
        <v>135.24</v>
      </c>
      <c r="G928" s="206"/>
      <c r="H928" s="604" t="s">
        <v>201</v>
      </c>
      <c r="I928" s="604"/>
      <c r="J928" s="604"/>
      <c r="K928" s="189">
        <f>SUM(K923:K926)</f>
        <v>139.27950111737934</v>
      </c>
      <c r="L928" s="207"/>
      <c r="M928" s="190">
        <f>K928-F928</f>
        <v>4.039501117379331</v>
      </c>
      <c r="N928" s="191">
        <f>M928/F928</f>
        <v>0.02986912982386373</v>
      </c>
    </row>
    <row r="929" spans="1:14" ht="12.75">
      <c r="A929" s="12"/>
      <c r="D929" s="212"/>
      <c r="E929" s="10"/>
      <c r="F929" s="209"/>
      <c r="I929" s="10"/>
      <c r="J929" s="10"/>
      <c r="K929" s="210"/>
      <c r="L929" s="12"/>
      <c r="M929" s="12"/>
      <c r="N929" s="213"/>
    </row>
    <row r="930" spans="1:13" ht="15.75" thickBot="1">
      <c r="A930" s="214"/>
      <c r="B930" s="31"/>
      <c r="C930" s="133"/>
      <c r="D930" s="30"/>
      <c r="E930" s="30"/>
      <c r="F930" s="215"/>
      <c r="H930" s="133"/>
      <c r="I930" s="30"/>
      <c r="J930" s="30"/>
      <c r="K930" s="216"/>
      <c r="L930" s="216"/>
      <c r="M930" s="216"/>
    </row>
    <row r="931" spans="1:14" ht="60.75" thickBot="1">
      <c r="A931" s="168" t="s">
        <v>78</v>
      </c>
      <c r="B931" s="169"/>
      <c r="C931" s="569"/>
      <c r="D931" s="581" t="s">
        <v>12</v>
      </c>
      <c r="E931" s="583" t="s">
        <v>79</v>
      </c>
      <c r="F931" s="585" t="s">
        <v>182</v>
      </c>
      <c r="G931" s="166"/>
      <c r="H931" s="170"/>
      <c r="I931" s="581" t="s">
        <v>12</v>
      </c>
      <c r="J931" s="583" t="s">
        <v>79</v>
      </c>
      <c r="K931" s="585" t="s">
        <v>182</v>
      </c>
      <c r="L931" s="169"/>
      <c r="M931" s="600" t="s">
        <v>181</v>
      </c>
      <c r="N931" s="602" t="s">
        <v>80</v>
      </c>
    </row>
    <row r="932" spans="1:14" ht="13.5" thickBot="1">
      <c r="A932" s="171">
        <v>2000</v>
      </c>
      <c r="B932" s="31"/>
      <c r="C932" s="570"/>
      <c r="D932" s="582"/>
      <c r="E932" s="584"/>
      <c r="F932" s="586"/>
      <c r="G932" s="167"/>
      <c r="H932" s="31"/>
      <c r="I932" s="587"/>
      <c r="J932" s="588"/>
      <c r="K932" s="586"/>
      <c r="L932" s="32"/>
      <c r="M932" s="601"/>
      <c r="N932" s="603"/>
    </row>
    <row r="933" spans="1:14" ht="25.5">
      <c r="A933" s="172"/>
      <c r="B933" s="31"/>
      <c r="C933" s="173" t="s">
        <v>21</v>
      </c>
      <c r="D933" s="174" t="s">
        <v>81</v>
      </c>
      <c r="E933" s="175" t="s">
        <v>81</v>
      </c>
      <c r="F933" s="234">
        <f>F921</f>
        <v>10.74</v>
      </c>
      <c r="G933" s="167"/>
      <c r="H933" s="177" t="s">
        <v>21</v>
      </c>
      <c r="I933" s="208" t="str">
        <f>D933</f>
        <v>N/A</v>
      </c>
      <c r="J933" s="178" t="s">
        <v>81</v>
      </c>
      <c r="K933" s="227">
        <f>+K921</f>
        <v>10.102733291558184</v>
      </c>
      <c r="L933" s="179"/>
      <c r="M933" s="575"/>
      <c r="N933" s="576"/>
    </row>
    <row r="934" spans="1:14" ht="26.25" thickBot="1">
      <c r="A934" s="86"/>
      <c r="B934" s="31"/>
      <c r="C934" s="180" t="s">
        <v>82</v>
      </c>
      <c r="D934" s="181">
        <f>A932</f>
        <v>2000</v>
      </c>
      <c r="E934" s="182">
        <f>E922</f>
        <v>0.0081</v>
      </c>
      <c r="F934" s="352">
        <f>D934*E934</f>
        <v>16.2</v>
      </c>
      <c r="G934" s="167"/>
      <c r="H934" s="184" t="s">
        <v>82</v>
      </c>
      <c r="I934" s="185">
        <f>D934</f>
        <v>2000</v>
      </c>
      <c r="J934" s="228">
        <f>+J922</f>
        <v>0.0112178452172141</v>
      </c>
      <c r="K934" s="186">
        <f>I934*J934</f>
        <v>22.4356904344282</v>
      </c>
      <c r="L934" s="179"/>
      <c r="M934" s="577"/>
      <c r="N934" s="578"/>
    </row>
    <row r="935" spans="1:14" ht="13.5" thickBot="1">
      <c r="A935" s="86"/>
      <c r="B935" s="31"/>
      <c r="C935" s="605"/>
      <c r="D935" s="607"/>
      <c r="E935" s="187" t="s">
        <v>52</v>
      </c>
      <c r="F935" s="373">
        <f>SUM(F933:F934)</f>
        <v>26.939999999999998</v>
      </c>
      <c r="G935" s="167"/>
      <c r="H935" s="595"/>
      <c r="I935" s="596"/>
      <c r="J935" s="187" t="s">
        <v>83</v>
      </c>
      <c r="K935" s="189">
        <f>SUM(K933:K934)</f>
        <v>32.538423725986384</v>
      </c>
      <c r="L935" s="179"/>
      <c r="M935" s="190">
        <f>K935-F935</f>
        <v>5.598423725986386</v>
      </c>
      <c r="N935" s="191">
        <f>M935/F935</f>
        <v>0.20781082873000692</v>
      </c>
    </row>
    <row r="936" spans="1:14" ht="25.5">
      <c r="A936" s="86"/>
      <c r="B936" s="31"/>
      <c r="C936" s="180" t="s">
        <v>84</v>
      </c>
      <c r="D936" s="181">
        <f>A932</f>
        <v>2000</v>
      </c>
      <c r="E936" s="192">
        <v>0.0239</v>
      </c>
      <c r="F936" s="374">
        <f>D936*E936</f>
        <v>47.800000000000004</v>
      </c>
      <c r="G936" s="167"/>
      <c r="H936" s="184" t="s">
        <v>84</v>
      </c>
      <c r="I936" s="185">
        <f>D936</f>
        <v>2000</v>
      </c>
      <c r="J936" s="194">
        <f>E936</f>
        <v>0.0239</v>
      </c>
      <c r="K936" s="195">
        <f>F936</f>
        <v>47.800000000000004</v>
      </c>
      <c r="L936" s="179"/>
      <c r="M936" s="575"/>
      <c r="N936" s="576"/>
    </row>
    <row r="937" spans="1:14" ht="25.5">
      <c r="A937" s="86"/>
      <c r="B937" s="31"/>
      <c r="C937" s="196" t="s">
        <v>85</v>
      </c>
      <c r="D937" s="181">
        <v>750</v>
      </c>
      <c r="E937" s="197">
        <v>0.047</v>
      </c>
      <c r="F937" s="352">
        <f>D937*E937</f>
        <v>35.25</v>
      </c>
      <c r="G937" s="167"/>
      <c r="H937" s="196" t="s">
        <v>85</v>
      </c>
      <c r="I937" s="185">
        <f>D937</f>
        <v>750</v>
      </c>
      <c r="J937" s="197">
        <v>0.047</v>
      </c>
      <c r="K937" s="352">
        <f>I937*J937</f>
        <v>35.25</v>
      </c>
      <c r="L937" s="179"/>
      <c r="M937" s="579"/>
      <c r="N937" s="580"/>
    </row>
    <row r="938" spans="1:14" ht="26.25" thickBot="1">
      <c r="A938" s="86"/>
      <c r="B938" s="31"/>
      <c r="C938" s="196" t="s">
        <v>85</v>
      </c>
      <c r="D938" s="235">
        <f>A932-D937</f>
        <v>1250</v>
      </c>
      <c r="E938" s="197">
        <v>0.055</v>
      </c>
      <c r="F938" s="352">
        <f>D938*E938</f>
        <v>68.75</v>
      </c>
      <c r="G938" s="167"/>
      <c r="H938" s="353" t="s">
        <v>85</v>
      </c>
      <c r="I938" s="376">
        <f>D938</f>
        <v>1250</v>
      </c>
      <c r="J938" s="354">
        <v>0.055</v>
      </c>
      <c r="K938" s="355">
        <f>I938*J938</f>
        <v>68.75</v>
      </c>
      <c r="L938" s="179"/>
      <c r="M938" s="579"/>
      <c r="N938" s="580"/>
    </row>
    <row r="939" spans="1:14" ht="13.5" thickBot="1">
      <c r="A939" s="86"/>
      <c r="B939" s="31"/>
      <c r="C939" s="597"/>
      <c r="D939" s="598"/>
      <c r="E939" s="598"/>
      <c r="F939" s="599"/>
      <c r="G939" s="167"/>
      <c r="H939" s="598"/>
      <c r="I939" s="598"/>
      <c r="J939" s="598"/>
      <c r="K939" s="599"/>
      <c r="L939" s="31"/>
      <c r="M939" s="86"/>
      <c r="N939" s="202"/>
    </row>
    <row r="940" spans="1:14" ht="13.5" thickBot="1">
      <c r="A940" s="94"/>
      <c r="B940" s="148"/>
      <c r="C940" s="203" t="s">
        <v>200</v>
      </c>
      <c r="D940" s="204"/>
      <c r="E940" s="204"/>
      <c r="F940" s="189">
        <f>SUM(F936:F938,F935)</f>
        <v>178.74</v>
      </c>
      <c r="G940" s="206"/>
      <c r="H940" s="604" t="s">
        <v>201</v>
      </c>
      <c r="I940" s="604"/>
      <c r="J940" s="604"/>
      <c r="K940" s="189">
        <f>SUM(K935:K938)</f>
        <v>184.3384237259864</v>
      </c>
      <c r="L940" s="207"/>
      <c r="M940" s="190">
        <f>K940-F940</f>
        <v>5.598423725986379</v>
      </c>
      <c r="N940" s="191">
        <f>M940/F940</f>
        <v>0.0313216052701487</v>
      </c>
    </row>
  </sheetData>
  <sheetProtection/>
  <mergeCells count="1267">
    <mergeCell ref="H927:K927"/>
    <mergeCell ref="H928:J928"/>
    <mergeCell ref="N931:N932"/>
    <mergeCell ref="H940:J940"/>
    <mergeCell ref="M933:N934"/>
    <mergeCell ref="C935:D935"/>
    <mergeCell ref="H935:I935"/>
    <mergeCell ref="I931:I932"/>
    <mergeCell ref="J931:J932"/>
    <mergeCell ref="K931:K932"/>
    <mergeCell ref="M931:M932"/>
    <mergeCell ref="C931:C932"/>
    <mergeCell ref="D931:D932"/>
    <mergeCell ref="M909:N910"/>
    <mergeCell ref="C911:D911"/>
    <mergeCell ref="H911:I911"/>
    <mergeCell ref="M936:N938"/>
    <mergeCell ref="C939:F939"/>
    <mergeCell ref="H939:K939"/>
    <mergeCell ref="E931:E932"/>
    <mergeCell ref="F931:F932"/>
    <mergeCell ref="M924:N926"/>
    <mergeCell ref="C927:F927"/>
    <mergeCell ref="E919:E920"/>
    <mergeCell ref="F919:F920"/>
    <mergeCell ref="M912:N914"/>
    <mergeCell ref="C915:F915"/>
    <mergeCell ref="H915:K915"/>
    <mergeCell ref="H916:J916"/>
    <mergeCell ref="N919:N920"/>
    <mergeCell ref="F896:F897"/>
    <mergeCell ref="M921:N922"/>
    <mergeCell ref="C923:D923"/>
    <mergeCell ref="H923:I923"/>
    <mergeCell ref="I919:I920"/>
    <mergeCell ref="J919:J920"/>
    <mergeCell ref="K919:K920"/>
    <mergeCell ref="M919:M920"/>
    <mergeCell ref="C919:C920"/>
    <mergeCell ref="D919:D920"/>
    <mergeCell ref="M898:N899"/>
    <mergeCell ref="C900:D900"/>
    <mergeCell ref="H900:I900"/>
    <mergeCell ref="I896:I897"/>
    <mergeCell ref="J896:J897"/>
    <mergeCell ref="K896:K897"/>
    <mergeCell ref="M896:M897"/>
    <mergeCell ref="C896:C897"/>
    <mergeCell ref="D896:D897"/>
    <mergeCell ref="E896:E897"/>
    <mergeCell ref="E907:E908"/>
    <mergeCell ref="F907:F908"/>
    <mergeCell ref="M901:N902"/>
    <mergeCell ref="C903:F903"/>
    <mergeCell ref="H903:K903"/>
    <mergeCell ref="H904:J904"/>
    <mergeCell ref="N907:N908"/>
    <mergeCell ref="C881:F881"/>
    <mergeCell ref="H881:K881"/>
    <mergeCell ref="H882:J882"/>
    <mergeCell ref="N885:N886"/>
    <mergeCell ref="I907:I908"/>
    <mergeCell ref="J907:J908"/>
    <mergeCell ref="K907:K908"/>
    <mergeCell ref="M907:M908"/>
    <mergeCell ref="C907:C908"/>
    <mergeCell ref="D907:D908"/>
    <mergeCell ref="H893:J893"/>
    <mergeCell ref="N896:N897"/>
    <mergeCell ref="M887:N888"/>
    <mergeCell ref="C889:D889"/>
    <mergeCell ref="H889:I889"/>
    <mergeCell ref="I885:I886"/>
    <mergeCell ref="J885:J886"/>
    <mergeCell ref="K885:K886"/>
    <mergeCell ref="M885:M886"/>
    <mergeCell ref="C885:C886"/>
    <mergeCell ref="F863:F864"/>
    <mergeCell ref="I863:I864"/>
    <mergeCell ref="J863:J864"/>
    <mergeCell ref="M890:N891"/>
    <mergeCell ref="C892:F892"/>
    <mergeCell ref="H892:K892"/>
    <mergeCell ref="D885:D886"/>
    <mergeCell ref="E885:E886"/>
    <mergeCell ref="F885:F886"/>
    <mergeCell ref="M879:N880"/>
    <mergeCell ref="N874:N875"/>
    <mergeCell ref="K863:K864"/>
    <mergeCell ref="M863:M864"/>
    <mergeCell ref="N863:N864"/>
    <mergeCell ref="M865:N866"/>
    <mergeCell ref="C867:D867"/>
    <mergeCell ref="H867:I867"/>
    <mergeCell ref="C863:C864"/>
    <mergeCell ref="D863:D864"/>
    <mergeCell ref="E863:E864"/>
    <mergeCell ref="C878:D878"/>
    <mergeCell ref="H878:I878"/>
    <mergeCell ref="I874:I875"/>
    <mergeCell ref="J874:J875"/>
    <mergeCell ref="K874:K875"/>
    <mergeCell ref="M874:M875"/>
    <mergeCell ref="C874:C875"/>
    <mergeCell ref="D874:D875"/>
    <mergeCell ref="E874:E875"/>
    <mergeCell ref="F874:F875"/>
    <mergeCell ref="M847:M848"/>
    <mergeCell ref="C847:C848"/>
    <mergeCell ref="D847:D848"/>
    <mergeCell ref="E847:E848"/>
    <mergeCell ref="F847:F848"/>
    <mergeCell ref="M876:N877"/>
    <mergeCell ref="M868:N869"/>
    <mergeCell ref="C870:F870"/>
    <mergeCell ref="H870:K870"/>
    <mergeCell ref="H871:J871"/>
    <mergeCell ref="H856:J856"/>
    <mergeCell ref="C861:F862"/>
    <mergeCell ref="H861:N862"/>
    <mergeCell ref="M849:N850"/>
    <mergeCell ref="C851:D851"/>
    <mergeCell ref="H851:I851"/>
    <mergeCell ref="C831:F831"/>
    <mergeCell ref="H831:K831"/>
    <mergeCell ref="H832:J832"/>
    <mergeCell ref="N835:N836"/>
    <mergeCell ref="M852:N854"/>
    <mergeCell ref="C855:F855"/>
    <mergeCell ref="H855:K855"/>
    <mergeCell ref="I847:I848"/>
    <mergeCell ref="J847:J848"/>
    <mergeCell ref="K847:K848"/>
    <mergeCell ref="H844:J844"/>
    <mergeCell ref="N847:N848"/>
    <mergeCell ref="M837:N838"/>
    <mergeCell ref="C839:D839"/>
    <mergeCell ref="H839:I839"/>
    <mergeCell ref="I835:I836"/>
    <mergeCell ref="J835:J836"/>
    <mergeCell ref="K835:K836"/>
    <mergeCell ref="M835:M836"/>
    <mergeCell ref="C835:C836"/>
    <mergeCell ref="M814:N815"/>
    <mergeCell ref="C816:D816"/>
    <mergeCell ref="H816:I816"/>
    <mergeCell ref="M840:N842"/>
    <mergeCell ref="C843:F843"/>
    <mergeCell ref="H843:K843"/>
    <mergeCell ref="D835:D836"/>
    <mergeCell ref="E835:E836"/>
    <mergeCell ref="F835:F836"/>
    <mergeCell ref="M828:N830"/>
    <mergeCell ref="F823:F824"/>
    <mergeCell ref="M817:N818"/>
    <mergeCell ref="C819:F819"/>
    <mergeCell ref="H819:K819"/>
    <mergeCell ref="H820:J820"/>
    <mergeCell ref="N823:N824"/>
    <mergeCell ref="M825:N826"/>
    <mergeCell ref="C827:D827"/>
    <mergeCell ref="H827:I827"/>
    <mergeCell ref="I823:I824"/>
    <mergeCell ref="J823:J824"/>
    <mergeCell ref="K823:K824"/>
    <mergeCell ref="M823:M824"/>
    <mergeCell ref="C823:C824"/>
    <mergeCell ref="D823:D824"/>
    <mergeCell ref="E823:E824"/>
    <mergeCell ref="C805:D805"/>
    <mergeCell ref="H805:I805"/>
    <mergeCell ref="I801:I802"/>
    <mergeCell ref="J801:J802"/>
    <mergeCell ref="K801:K802"/>
    <mergeCell ref="M801:M802"/>
    <mergeCell ref="C801:C802"/>
    <mergeCell ref="D801:D802"/>
    <mergeCell ref="E801:E802"/>
    <mergeCell ref="F801:F802"/>
    <mergeCell ref="C812:C813"/>
    <mergeCell ref="D812:D813"/>
    <mergeCell ref="E812:E813"/>
    <mergeCell ref="F812:F813"/>
    <mergeCell ref="M806:N807"/>
    <mergeCell ref="C808:F808"/>
    <mergeCell ref="H808:K808"/>
    <mergeCell ref="H809:J809"/>
    <mergeCell ref="N812:N813"/>
    <mergeCell ref="H786:K786"/>
    <mergeCell ref="H787:J787"/>
    <mergeCell ref="N790:N791"/>
    <mergeCell ref="I812:I813"/>
    <mergeCell ref="J812:J813"/>
    <mergeCell ref="K812:K813"/>
    <mergeCell ref="M812:M813"/>
    <mergeCell ref="M803:N804"/>
    <mergeCell ref="N801:N802"/>
    <mergeCell ref="M792:N793"/>
    <mergeCell ref="C794:D794"/>
    <mergeCell ref="H794:I794"/>
    <mergeCell ref="I790:I791"/>
    <mergeCell ref="J790:J791"/>
    <mergeCell ref="K790:K791"/>
    <mergeCell ref="M790:M791"/>
    <mergeCell ref="C790:C791"/>
    <mergeCell ref="D790:D791"/>
    <mergeCell ref="C777:F778"/>
    <mergeCell ref="H777:N778"/>
    <mergeCell ref="M795:N796"/>
    <mergeCell ref="C797:F797"/>
    <mergeCell ref="H797:K797"/>
    <mergeCell ref="H798:J798"/>
    <mergeCell ref="E790:E791"/>
    <mergeCell ref="F790:F791"/>
    <mergeCell ref="M784:N785"/>
    <mergeCell ref="C786:F786"/>
    <mergeCell ref="M781:N782"/>
    <mergeCell ref="C783:D783"/>
    <mergeCell ref="H783:I783"/>
    <mergeCell ref="C779:C780"/>
    <mergeCell ref="D779:D780"/>
    <mergeCell ref="E779:E780"/>
    <mergeCell ref="F779:F780"/>
    <mergeCell ref="I779:I780"/>
    <mergeCell ref="J779:J780"/>
    <mergeCell ref="M753:N754"/>
    <mergeCell ref="C755:D755"/>
    <mergeCell ref="H755:I755"/>
    <mergeCell ref="K779:K780"/>
    <mergeCell ref="M779:M780"/>
    <mergeCell ref="N779:N780"/>
    <mergeCell ref="M768:N770"/>
    <mergeCell ref="C771:F771"/>
    <mergeCell ref="H771:K771"/>
    <mergeCell ref="H772:J772"/>
    <mergeCell ref="E763:E764"/>
    <mergeCell ref="F763:F764"/>
    <mergeCell ref="M756:N758"/>
    <mergeCell ref="C759:F759"/>
    <mergeCell ref="H759:K759"/>
    <mergeCell ref="H760:J760"/>
    <mergeCell ref="N763:N764"/>
    <mergeCell ref="F739:F740"/>
    <mergeCell ref="M765:N766"/>
    <mergeCell ref="C767:D767"/>
    <mergeCell ref="H767:I767"/>
    <mergeCell ref="I763:I764"/>
    <mergeCell ref="J763:J764"/>
    <mergeCell ref="K763:K764"/>
    <mergeCell ref="M763:M764"/>
    <mergeCell ref="C763:C764"/>
    <mergeCell ref="D763:D764"/>
    <mergeCell ref="M741:N742"/>
    <mergeCell ref="C743:D743"/>
    <mergeCell ref="H743:I743"/>
    <mergeCell ref="I739:I740"/>
    <mergeCell ref="J739:J740"/>
    <mergeCell ref="K739:K740"/>
    <mergeCell ref="M739:M740"/>
    <mergeCell ref="C739:C740"/>
    <mergeCell ref="D739:D740"/>
    <mergeCell ref="E739:E740"/>
    <mergeCell ref="E751:E752"/>
    <mergeCell ref="F751:F752"/>
    <mergeCell ref="M744:N746"/>
    <mergeCell ref="C747:F747"/>
    <mergeCell ref="H747:K747"/>
    <mergeCell ref="H748:J748"/>
    <mergeCell ref="N751:N752"/>
    <mergeCell ref="C724:F724"/>
    <mergeCell ref="H724:K724"/>
    <mergeCell ref="H725:J725"/>
    <mergeCell ref="N728:N729"/>
    <mergeCell ref="I751:I752"/>
    <mergeCell ref="J751:J752"/>
    <mergeCell ref="K751:K752"/>
    <mergeCell ref="M751:M752"/>
    <mergeCell ref="C751:C752"/>
    <mergeCell ref="D751:D752"/>
    <mergeCell ref="H736:J736"/>
    <mergeCell ref="N739:N740"/>
    <mergeCell ref="M730:N731"/>
    <mergeCell ref="C732:D732"/>
    <mergeCell ref="H732:I732"/>
    <mergeCell ref="I728:I729"/>
    <mergeCell ref="J728:J729"/>
    <mergeCell ref="K728:K729"/>
    <mergeCell ref="M728:M729"/>
    <mergeCell ref="C728:C729"/>
    <mergeCell ref="M708:N709"/>
    <mergeCell ref="C710:D710"/>
    <mergeCell ref="H710:I710"/>
    <mergeCell ref="M733:N734"/>
    <mergeCell ref="C735:F735"/>
    <mergeCell ref="H735:K735"/>
    <mergeCell ref="D728:D729"/>
    <mergeCell ref="E728:E729"/>
    <mergeCell ref="F728:F729"/>
    <mergeCell ref="M722:N723"/>
    <mergeCell ref="D717:D718"/>
    <mergeCell ref="E717:E718"/>
    <mergeCell ref="F717:F718"/>
    <mergeCell ref="M711:N712"/>
    <mergeCell ref="C713:F713"/>
    <mergeCell ref="H713:K713"/>
    <mergeCell ref="H714:J714"/>
    <mergeCell ref="N717:N718"/>
    <mergeCell ref="I695:I696"/>
    <mergeCell ref="J695:J696"/>
    <mergeCell ref="M719:N720"/>
    <mergeCell ref="C721:D721"/>
    <mergeCell ref="H721:I721"/>
    <mergeCell ref="I717:I718"/>
    <mergeCell ref="J717:J718"/>
    <mergeCell ref="K717:K718"/>
    <mergeCell ref="M717:M718"/>
    <mergeCell ref="C717:C718"/>
    <mergeCell ref="K695:K696"/>
    <mergeCell ref="M695:M696"/>
    <mergeCell ref="N695:N696"/>
    <mergeCell ref="M697:N698"/>
    <mergeCell ref="C699:D699"/>
    <mergeCell ref="H699:I699"/>
    <mergeCell ref="C695:C696"/>
    <mergeCell ref="D695:D696"/>
    <mergeCell ref="E695:E696"/>
    <mergeCell ref="F695:F696"/>
    <mergeCell ref="D706:D707"/>
    <mergeCell ref="E706:E707"/>
    <mergeCell ref="F706:F707"/>
    <mergeCell ref="M700:N701"/>
    <mergeCell ref="C702:F702"/>
    <mergeCell ref="H702:K702"/>
    <mergeCell ref="H703:J703"/>
    <mergeCell ref="N706:N707"/>
    <mergeCell ref="M679:M680"/>
    <mergeCell ref="C679:C680"/>
    <mergeCell ref="D679:D680"/>
    <mergeCell ref="E679:E680"/>
    <mergeCell ref="F679:F680"/>
    <mergeCell ref="I706:I707"/>
    <mergeCell ref="J706:J707"/>
    <mergeCell ref="K706:K707"/>
    <mergeCell ref="M706:M707"/>
    <mergeCell ref="C706:C707"/>
    <mergeCell ref="H688:J688"/>
    <mergeCell ref="C693:F694"/>
    <mergeCell ref="H693:N694"/>
    <mergeCell ref="M681:N682"/>
    <mergeCell ref="C683:D683"/>
    <mergeCell ref="H683:I683"/>
    <mergeCell ref="C663:F663"/>
    <mergeCell ref="H663:K663"/>
    <mergeCell ref="H664:J664"/>
    <mergeCell ref="N667:N668"/>
    <mergeCell ref="M684:N686"/>
    <mergeCell ref="C687:F687"/>
    <mergeCell ref="H687:K687"/>
    <mergeCell ref="I679:I680"/>
    <mergeCell ref="J679:J680"/>
    <mergeCell ref="K679:K680"/>
    <mergeCell ref="H676:J676"/>
    <mergeCell ref="N679:N680"/>
    <mergeCell ref="M669:N670"/>
    <mergeCell ref="C671:D671"/>
    <mergeCell ref="H671:I671"/>
    <mergeCell ref="I667:I668"/>
    <mergeCell ref="J667:J668"/>
    <mergeCell ref="K667:K668"/>
    <mergeCell ref="M667:M668"/>
    <mergeCell ref="C667:C668"/>
    <mergeCell ref="M646:N647"/>
    <mergeCell ref="C648:D648"/>
    <mergeCell ref="H648:I648"/>
    <mergeCell ref="M672:N674"/>
    <mergeCell ref="C675:F675"/>
    <mergeCell ref="H675:K675"/>
    <mergeCell ref="D667:D668"/>
    <mergeCell ref="E667:E668"/>
    <mergeCell ref="F667:F668"/>
    <mergeCell ref="M660:N662"/>
    <mergeCell ref="F655:F656"/>
    <mergeCell ref="M649:N650"/>
    <mergeCell ref="C651:F651"/>
    <mergeCell ref="H651:K651"/>
    <mergeCell ref="H652:J652"/>
    <mergeCell ref="N655:N656"/>
    <mergeCell ref="M657:N658"/>
    <mergeCell ref="C659:D659"/>
    <mergeCell ref="H659:I659"/>
    <mergeCell ref="I655:I656"/>
    <mergeCell ref="J655:J656"/>
    <mergeCell ref="K655:K656"/>
    <mergeCell ref="M655:M656"/>
    <mergeCell ref="C655:C656"/>
    <mergeCell ref="D655:D656"/>
    <mergeCell ref="E655:E656"/>
    <mergeCell ref="C637:D637"/>
    <mergeCell ref="H637:I637"/>
    <mergeCell ref="I633:I634"/>
    <mergeCell ref="J633:J634"/>
    <mergeCell ref="K633:K634"/>
    <mergeCell ref="M633:M634"/>
    <mergeCell ref="C633:C634"/>
    <mergeCell ref="D633:D634"/>
    <mergeCell ref="E633:E634"/>
    <mergeCell ref="F633:F634"/>
    <mergeCell ref="C644:C645"/>
    <mergeCell ref="D644:D645"/>
    <mergeCell ref="E644:E645"/>
    <mergeCell ref="F644:F645"/>
    <mergeCell ref="M638:N639"/>
    <mergeCell ref="C640:F640"/>
    <mergeCell ref="H640:K640"/>
    <mergeCell ref="H641:J641"/>
    <mergeCell ref="N644:N645"/>
    <mergeCell ref="H618:K618"/>
    <mergeCell ref="H619:J619"/>
    <mergeCell ref="N622:N623"/>
    <mergeCell ref="I644:I645"/>
    <mergeCell ref="J644:J645"/>
    <mergeCell ref="K644:K645"/>
    <mergeCell ref="M644:M645"/>
    <mergeCell ref="M635:N636"/>
    <mergeCell ref="N633:N634"/>
    <mergeCell ref="M624:N625"/>
    <mergeCell ref="C626:D626"/>
    <mergeCell ref="H626:I626"/>
    <mergeCell ref="I622:I623"/>
    <mergeCell ref="J622:J623"/>
    <mergeCell ref="K622:K623"/>
    <mergeCell ref="M622:M623"/>
    <mergeCell ref="C622:C623"/>
    <mergeCell ref="D622:D623"/>
    <mergeCell ref="C609:F610"/>
    <mergeCell ref="H609:N610"/>
    <mergeCell ref="M627:N628"/>
    <mergeCell ref="C629:F629"/>
    <mergeCell ref="H629:K629"/>
    <mergeCell ref="H630:J630"/>
    <mergeCell ref="E622:E623"/>
    <mergeCell ref="F622:F623"/>
    <mergeCell ref="M616:N617"/>
    <mergeCell ref="C618:F618"/>
    <mergeCell ref="M613:N614"/>
    <mergeCell ref="C615:D615"/>
    <mergeCell ref="H615:I615"/>
    <mergeCell ref="C611:C612"/>
    <mergeCell ref="D611:D612"/>
    <mergeCell ref="E611:E612"/>
    <mergeCell ref="F611:F612"/>
    <mergeCell ref="I611:I612"/>
    <mergeCell ref="J611:J612"/>
    <mergeCell ref="M585:N586"/>
    <mergeCell ref="C587:D587"/>
    <mergeCell ref="H587:I587"/>
    <mergeCell ref="K611:K612"/>
    <mergeCell ref="M611:M612"/>
    <mergeCell ref="N611:N612"/>
    <mergeCell ref="M600:N602"/>
    <mergeCell ref="C603:F603"/>
    <mergeCell ref="H603:K603"/>
    <mergeCell ref="H604:J604"/>
    <mergeCell ref="E595:E596"/>
    <mergeCell ref="F595:F596"/>
    <mergeCell ref="M588:N590"/>
    <mergeCell ref="C591:F591"/>
    <mergeCell ref="H591:K591"/>
    <mergeCell ref="H592:J592"/>
    <mergeCell ref="N595:N596"/>
    <mergeCell ref="F571:F572"/>
    <mergeCell ref="M597:N598"/>
    <mergeCell ref="C599:D599"/>
    <mergeCell ref="H599:I599"/>
    <mergeCell ref="I595:I596"/>
    <mergeCell ref="J595:J596"/>
    <mergeCell ref="K595:K596"/>
    <mergeCell ref="M595:M596"/>
    <mergeCell ref="C595:C596"/>
    <mergeCell ref="D595:D596"/>
    <mergeCell ref="M573:N574"/>
    <mergeCell ref="C575:D575"/>
    <mergeCell ref="H575:I575"/>
    <mergeCell ref="I571:I572"/>
    <mergeCell ref="J571:J572"/>
    <mergeCell ref="K571:K572"/>
    <mergeCell ref="M571:M572"/>
    <mergeCell ref="C571:C572"/>
    <mergeCell ref="D571:D572"/>
    <mergeCell ref="E571:E572"/>
    <mergeCell ref="E583:E584"/>
    <mergeCell ref="F583:F584"/>
    <mergeCell ref="M576:N578"/>
    <mergeCell ref="C579:F579"/>
    <mergeCell ref="H579:K579"/>
    <mergeCell ref="H580:J580"/>
    <mergeCell ref="N583:N584"/>
    <mergeCell ref="C556:F556"/>
    <mergeCell ref="H556:K556"/>
    <mergeCell ref="H557:J557"/>
    <mergeCell ref="N560:N561"/>
    <mergeCell ref="I583:I584"/>
    <mergeCell ref="J583:J584"/>
    <mergeCell ref="K583:K584"/>
    <mergeCell ref="M583:M584"/>
    <mergeCell ref="C583:C584"/>
    <mergeCell ref="D583:D584"/>
    <mergeCell ref="H568:J568"/>
    <mergeCell ref="N571:N572"/>
    <mergeCell ref="M562:N563"/>
    <mergeCell ref="C564:D564"/>
    <mergeCell ref="H564:I564"/>
    <mergeCell ref="I560:I561"/>
    <mergeCell ref="J560:J561"/>
    <mergeCell ref="K560:K561"/>
    <mergeCell ref="M560:M561"/>
    <mergeCell ref="C560:C561"/>
    <mergeCell ref="M540:N541"/>
    <mergeCell ref="C542:D542"/>
    <mergeCell ref="H542:I542"/>
    <mergeCell ref="M565:N566"/>
    <mergeCell ref="C567:F567"/>
    <mergeCell ref="H567:K567"/>
    <mergeCell ref="D560:D561"/>
    <mergeCell ref="E560:E561"/>
    <mergeCell ref="F560:F561"/>
    <mergeCell ref="M554:N555"/>
    <mergeCell ref="D549:D550"/>
    <mergeCell ref="E549:E550"/>
    <mergeCell ref="F549:F550"/>
    <mergeCell ref="M543:N544"/>
    <mergeCell ref="C545:F545"/>
    <mergeCell ref="H545:K545"/>
    <mergeCell ref="H546:J546"/>
    <mergeCell ref="N549:N550"/>
    <mergeCell ref="I527:I528"/>
    <mergeCell ref="J527:J528"/>
    <mergeCell ref="M551:N552"/>
    <mergeCell ref="C553:D553"/>
    <mergeCell ref="H553:I553"/>
    <mergeCell ref="I549:I550"/>
    <mergeCell ref="J549:J550"/>
    <mergeCell ref="K549:K550"/>
    <mergeCell ref="M549:M550"/>
    <mergeCell ref="C549:C550"/>
    <mergeCell ref="K527:K528"/>
    <mergeCell ref="M527:M528"/>
    <mergeCell ref="N527:N528"/>
    <mergeCell ref="M529:N530"/>
    <mergeCell ref="C531:D531"/>
    <mergeCell ref="H531:I531"/>
    <mergeCell ref="C527:C528"/>
    <mergeCell ref="D527:D528"/>
    <mergeCell ref="E527:E528"/>
    <mergeCell ref="F527:F528"/>
    <mergeCell ref="D538:D539"/>
    <mergeCell ref="E538:E539"/>
    <mergeCell ref="F538:F539"/>
    <mergeCell ref="M532:N533"/>
    <mergeCell ref="C534:F534"/>
    <mergeCell ref="H534:K534"/>
    <mergeCell ref="H535:J535"/>
    <mergeCell ref="N538:N539"/>
    <mergeCell ref="M511:M512"/>
    <mergeCell ref="C511:C512"/>
    <mergeCell ref="D511:D512"/>
    <mergeCell ref="E511:E512"/>
    <mergeCell ref="F511:F512"/>
    <mergeCell ref="I538:I539"/>
    <mergeCell ref="J538:J539"/>
    <mergeCell ref="K538:K539"/>
    <mergeCell ref="M538:M539"/>
    <mergeCell ref="C538:C539"/>
    <mergeCell ref="H520:J520"/>
    <mergeCell ref="C525:F526"/>
    <mergeCell ref="H525:N526"/>
    <mergeCell ref="M513:N514"/>
    <mergeCell ref="C515:D515"/>
    <mergeCell ref="H515:I515"/>
    <mergeCell ref="C495:F495"/>
    <mergeCell ref="H495:K495"/>
    <mergeCell ref="H496:J496"/>
    <mergeCell ref="N499:N500"/>
    <mergeCell ref="M516:N518"/>
    <mergeCell ref="C519:F519"/>
    <mergeCell ref="H519:K519"/>
    <mergeCell ref="I511:I512"/>
    <mergeCell ref="J511:J512"/>
    <mergeCell ref="K511:K512"/>
    <mergeCell ref="H508:J508"/>
    <mergeCell ref="N511:N512"/>
    <mergeCell ref="M501:N502"/>
    <mergeCell ref="C503:D503"/>
    <mergeCell ref="H503:I503"/>
    <mergeCell ref="I499:I500"/>
    <mergeCell ref="J499:J500"/>
    <mergeCell ref="K499:K500"/>
    <mergeCell ref="M499:M500"/>
    <mergeCell ref="C499:C500"/>
    <mergeCell ref="M478:N479"/>
    <mergeCell ref="C480:D480"/>
    <mergeCell ref="H480:I480"/>
    <mergeCell ref="M504:N506"/>
    <mergeCell ref="C507:F507"/>
    <mergeCell ref="H507:K507"/>
    <mergeCell ref="D499:D500"/>
    <mergeCell ref="E499:E500"/>
    <mergeCell ref="F499:F500"/>
    <mergeCell ref="M492:N494"/>
    <mergeCell ref="F487:F488"/>
    <mergeCell ref="M481:N482"/>
    <mergeCell ref="C483:F483"/>
    <mergeCell ref="H483:K483"/>
    <mergeCell ref="H484:J484"/>
    <mergeCell ref="N487:N488"/>
    <mergeCell ref="M489:N490"/>
    <mergeCell ref="C491:D491"/>
    <mergeCell ref="H491:I491"/>
    <mergeCell ref="I487:I488"/>
    <mergeCell ref="J487:J488"/>
    <mergeCell ref="K487:K488"/>
    <mergeCell ref="M487:M488"/>
    <mergeCell ref="C487:C488"/>
    <mergeCell ref="D487:D488"/>
    <mergeCell ref="E487:E488"/>
    <mergeCell ref="C469:D469"/>
    <mergeCell ref="H469:I469"/>
    <mergeCell ref="I465:I466"/>
    <mergeCell ref="J465:J466"/>
    <mergeCell ref="K465:K466"/>
    <mergeCell ref="M465:M466"/>
    <mergeCell ref="C465:C466"/>
    <mergeCell ref="D465:D466"/>
    <mergeCell ref="E465:E466"/>
    <mergeCell ref="F465:F466"/>
    <mergeCell ref="C476:C477"/>
    <mergeCell ref="D476:D477"/>
    <mergeCell ref="E476:E477"/>
    <mergeCell ref="F476:F477"/>
    <mergeCell ref="M470:N471"/>
    <mergeCell ref="C472:F472"/>
    <mergeCell ref="H472:K472"/>
    <mergeCell ref="H473:J473"/>
    <mergeCell ref="N476:N477"/>
    <mergeCell ref="H450:K450"/>
    <mergeCell ref="H451:J451"/>
    <mergeCell ref="N454:N455"/>
    <mergeCell ref="I476:I477"/>
    <mergeCell ref="J476:J477"/>
    <mergeCell ref="K476:K477"/>
    <mergeCell ref="M476:M477"/>
    <mergeCell ref="M467:N468"/>
    <mergeCell ref="N465:N466"/>
    <mergeCell ref="M456:N457"/>
    <mergeCell ref="C458:D458"/>
    <mergeCell ref="H458:I458"/>
    <mergeCell ref="I454:I455"/>
    <mergeCell ref="J454:J455"/>
    <mergeCell ref="K454:K455"/>
    <mergeCell ref="M454:M455"/>
    <mergeCell ref="C454:C455"/>
    <mergeCell ref="D454:D455"/>
    <mergeCell ref="C441:F442"/>
    <mergeCell ref="H441:N442"/>
    <mergeCell ref="M459:N460"/>
    <mergeCell ref="C461:F461"/>
    <mergeCell ref="H461:K461"/>
    <mergeCell ref="H462:J462"/>
    <mergeCell ref="E454:E455"/>
    <mergeCell ref="F454:F455"/>
    <mergeCell ref="M448:N449"/>
    <mergeCell ref="C450:F450"/>
    <mergeCell ref="M445:N446"/>
    <mergeCell ref="C447:D447"/>
    <mergeCell ref="H447:I447"/>
    <mergeCell ref="C443:C444"/>
    <mergeCell ref="D443:D444"/>
    <mergeCell ref="E443:E444"/>
    <mergeCell ref="F443:F444"/>
    <mergeCell ref="I443:I444"/>
    <mergeCell ref="J443:J444"/>
    <mergeCell ref="M417:N418"/>
    <mergeCell ref="C419:D419"/>
    <mergeCell ref="H419:I419"/>
    <mergeCell ref="K443:K444"/>
    <mergeCell ref="M443:M444"/>
    <mergeCell ref="N443:N444"/>
    <mergeCell ref="M432:N434"/>
    <mergeCell ref="C435:F435"/>
    <mergeCell ref="H435:K435"/>
    <mergeCell ref="H436:J436"/>
    <mergeCell ref="E427:E428"/>
    <mergeCell ref="F427:F428"/>
    <mergeCell ref="M420:N422"/>
    <mergeCell ref="C423:F423"/>
    <mergeCell ref="H423:K423"/>
    <mergeCell ref="H424:J424"/>
    <mergeCell ref="N427:N428"/>
    <mergeCell ref="F403:F404"/>
    <mergeCell ref="M429:N430"/>
    <mergeCell ref="C431:D431"/>
    <mergeCell ref="H431:I431"/>
    <mergeCell ref="I427:I428"/>
    <mergeCell ref="J427:J428"/>
    <mergeCell ref="K427:K428"/>
    <mergeCell ref="M427:M428"/>
    <mergeCell ref="C427:C428"/>
    <mergeCell ref="D427:D428"/>
    <mergeCell ref="M405:N406"/>
    <mergeCell ref="C407:D407"/>
    <mergeCell ref="H407:I407"/>
    <mergeCell ref="I403:I404"/>
    <mergeCell ref="J403:J404"/>
    <mergeCell ref="K403:K404"/>
    <mergeCell ref="M403:M404"/>
    <mergeCell ref="C403:C404"/>
    <mergeCell ref="D403:D404"/>
    <mergeCell ref="E403:E404"/>
    <mergeCell ref="E415:E416"/>
    <mergeCell ref="F415:F416"/>
    <mergeCell ref="M408:N410"/>
    <mergeCell ref="C411:F411"/>
    <mergeCell ref="H411:K411"/>
    <mergeCell ref="H412:J412"/>
    <mergeCell ref="N415:N416"/>
    <mergeCell ref="C388:F388"/>
    <mergeCell ref="H388:K388"/>
    <mergeCell ref="H389:J389"/>
    <mergeCell ref="N392:N393"/>
    <mergeCell ref="I415:I416"/>
    <mergeCell ref="J415:J416"/>
    <mergeCell ref="K415:K416"/>
    <mergeCell ref="M415:M416"/>
    <mergeCell ref="C415:C416"/>
    <mergeCell ref="D415:D416"/>
    <mergeCell ref="H400:J400"/>
    <mergeCell ref="N403:N404"/>
    <mergeCell ref="M394:N395"/>
    <mergeCell ref="C396:D396"/>
    <mergeCell ref="H396:I396"/>
    <mergeCell ref="I392:I393"/>
    <mergeCell ref="J392:J393"/>
    <mergeCell ref="K392:K393"/>
    <mergeCell ref="M392:M393"/>
    <mergeCell ref="C392:C393"/>
    <mergeCell ref="M372:N373"/>
    <mergeCell ref="C374:D374"/>
    <mergeCell ref="H374:I374"/>
    <mergeCell ref="M397:N398"/>
    <mergeCell ref="C399:F399"/>
    <mergeCell ref="H399:K399"/>
    <mergeCell ref="D392:D393"/>
    <mergeCell ref="E392:E393"/>
    <mergeCell ref="F392:F393"/>
    <mergeCell ref="M386:N387"/>
    <mergeCell ref="F381:F382"/>
    <mergeCell ref="M375:N376"/>
    <mergeCell ref="C377:F377"/>
    <mergeCell ref="H377:K377"/>
    <mergeCell ref="H378:J378"/>
    <mergeCell ref="N381:N382"/>
    <mergeCell ref="M383:N384"/>
    <mergeCell ref="C385:D385"/>
    <mergeCell ref="H385:I385"/>
    <mergeCell ref="I381:I382"/>
    <mergeCell ref="J381:J382"/>
    <mergeCell ref="K381:K382"/>
    <mergeCell ref="M381:M382"/>
    <mergeCell ref="C381:C382"/>
    <mergeCell ref="D381:D382"/>
    <mergeCell ref="E381:E382"/>
    <mergeCell ref="C359:C360"/>
    <mergeCell ref="D359:D360"/>
    <mergeCell ref="E359:E360"/>
    <mergeCell ref="F359:F360"/>
    <mergeCell ref="I359:I360"/>
    <mergeCell ref="J359:J360"/>
    <mergeCell ref="C366:F366"/>
    <mergeCell ref="H366:K366"/>
    <mergeCell ref="H367:J367"/>
    <mergeCell ref="N370:N371"/>
    <mergeCell ref="K359:K360"/>
    <mergeCell ref="M359:M360"/>
    <mergeCell ref="N359:N360"/>
    <mergeCell ref="M361:N362"/>
    <mergeCell ref="C363:D363"/>
    <mergeCell ref="H363:I363"/>
    <mergeCell ref="F343:F344"/>
    <mergeCell ref="I370:I371"/>
    <mergeCell ref="J370:J371"/>
    <mergeCell ref="K370:K371"/>
    <mergeCell ref="M370:M371"/>
    <mergeCell ref="C370:C371"/>
    <mergeCell ref="D370:D371"/>
    <mergeCell ref="E370:E371"/>
    <mergeCell ref="F370:F371"/>
    <mergeCell ref="M364:N365"/>
    <mergeCell ref="M345:N346"/>
    <mergeCell ref="C347:D347"/>
    <mergeCell ref="H347:I347"/>
    <mergeCell ref="I343:I344"/>
    <mergeCell ref="J343:J344"/>
    <mergeCell ref="K343:K344"/>
    <mergeCell ref="M343:M344"/>
    <mergeCell ref="C343:C344"/>
    <mergeCell ref="D343:D344"/>
    <mergeCell ref="E343:E344"/>
    <mergeCell ref="M348:N350"/>
    <mergeCell ref="C351:F351"/>
    <mergeCell ref="H351:K351"/>
    <mergeCell ref="H352:J352"/>
    <mergeCell ref="C357:F358"/>
    <mergeCell ref="H357:N358"/>
    <mergeCell ref="H335:I335"/>
    <mergeCell ref="H328:J328"/>
    <mergeCell ref="C331:C332"/>
    <mergeCell ref="D331:D332"/>
    <mergeCell ref="E331:E332"/>
    <mergeCell ref="F331:F332"/>
    <mergeCell ref="I331:I332"/>
    <mergeCell ref="J331:J332"/>
    <mergeCell ref="M336:N338"/>
    <mergeCell ref="C339:F339"/>
    <mergeCell ref="H339:K339"/>
    <mergeCell ref="H340:J340"/>
    <mergeCell ref="N343:N344"/>
    <mergeCell ref="K331:K332"/>
    <mergeCell ref="M331:M332"/>
    <mergeCell ref="N331:N332"/>
    <mergeCell ref="M333:N334"/>
    <mergeCell ref="C335:D335"/>
    <mergeCell ref="C312:D312"/>
    <mergeCell ref="H312:I312"/>
    <mergeCell ref="H316:J316"/>
    <mergeCell ref="E319:E320"/>
    <mergeCell ref="F319:F320"/>
    <mergeCell ref="K319:K320"/>
    <mergeCell ref="C315:F315"/>
    <mergeCell ref="H315:K315"/>
    <mergeCell ref="M308:M309"/>
    <mergeCell ref="F308:F309"/>
    <mergeCell ref="I308:I309"/>
    <mergeCell ref="J308:J309"/>
    <mergeCell ref="M319:M320"/>
    <mergeCell ref="N308:N309"/>
    <mergeCell ref="C319:C320"/>
    <mergeCell ref="D319:D320"/>
    <mergeCell ref="C327:F327"/>
    <mergeCell ref="H327:K327"/>
    <mergeCell ref="C323:D323"/>
    <mergeCell ref="H323:I323"/>
    <mergeCell ref="I319:I320"/>
    <mergeCell ref="J319:J320"/>
    <mergeCell ref="C301:D301"/>
    <mergeCell ref="H301:I301"/>
    <mergeCell ref="H294:J294"/>
    <mergeCell ref="C297:C298"/>
    <mergeCell ref="D297:D298"/>
    <mergeCell ref="E297:E298"/>
    <mergeCell ref="F297:F298"/>
    <mergeCell ref="I297:I298"/>
    <mergeCell ref="J297:J298"/>
    <mergeCell ref="C304:F304"/>
    <mergeCell ref="H304:K304"/>
    <mergeCell ref="H305:J305"/>
    <mergeCell ref="C308:C309"/>
    <mergeCell ref="D308:D309"/>
    <mergeCell ref="E308:E309"/>
    <mergeCell ref="K308:K309"/>
    <mergeCell ref="H283:J283"/>
    <mergeCell ref="N286:N287"/>
    <mergeCell ref="M288:N289"/>
    <mergeCell ref="M291:N292"/>
    <mergeCell ref="J286:J287"/>
    <mergeCell ref="M302:N303"/>
    <mergeCell ref="K297:K298"/>
    <mergeCell ref="M297:M298"/>
    <mergeCell ref="N297:N298"/>
    <mergeCell ref="M299:N300"/>
    <mergeCell ref="K275:K276"/>
    <mergeCell ref="M275:M276"/>
    <mergeCell ref="M259:M260"/>
    <mergeCell ref="I275:I276"/>
    <mergeCell ref="J275:J276"/>
    <mergeCell ref="J259:J260"/>
    <mergeCell ref="K259:K260"/>
    <mergeCell ref="C275:C276"/>
    <mergeCell ref="D275:D276"/>
    <mergeCell ref="E275:E276"/>
    <mergeCell ref="F275:F276"/>
    <mergeCell ref="C263:D263"/>
    <mergeCell ref="H263:I263"/>
    <mergeCell ref="H290:I290"/>
    <mergeCell ref="C286:C287"/>
    <mergeCell ref="D286:D287"/>
    <mergeCell ref="E286:E287"/>
    <mergeCell ref="N259:N260"/>
    <mergeCell ref="M261:N262"/>
    <mergeCell ref="F286:F287"/>
    <mergeCell ref="I286:I287"/>
    <mergeCell ref="C273:F274"/>
    <mergeCell ref="H273:N274"/>
    <mergeCell ref="H244:J244"/>
    <mergeCell ref="C247:C248"/>
    <mergeCell ref="D247:D248"/>
    <mergeCell ref="E247:E248"/>
    <mergeCell ref="F247:F248"/>
    <mergeCell ref="I247:I248"/>
    <mergeCell ref="J247:J248"/>
    <mergeCell ref="M252:N254"/>
    <mergeCell ref="C255:F255"/>
    <mergeCell ref="H255:K255"/>
    <mergeCell ref="K247:K248"/>
    <mergeCell ref="M247:M248"/>
    <mergeCell ref="N247:N248"/>
    <mergeCell ref="M249:N250"/>
    <mergeCell ref="C251:D251"/>
    <mergeCell ref="H251:I251"/>
    <mergeCell ref="H256:J256"/>
    <mergeCell ref="C259:C260"/>
    <mergeCell ref="D259:D260"/>
    <mergeCell ref="E259:E260"/>
    <mergeCell ref="F259:F260"/>
    <mergeCell ref="I259:I260"/>
    <mergeCell ref="E235:E236"/>
    <mergeCell ref="F235:F236"/>
    <mergeCell ref="I235:I236"/>
    <mergeCell ref="J235:J236"/>
    <mergeCell ref="K235:K236"/>
    <mergeCell ref="M235:M236"/>
    <mergeCell ref="E213:E214"/>
    <mergeCell ref="F213:F214"/>
    <mergeCell ref="N235:N236"/>
    <mergeCell ref="M237:N238"/>
    <mergeCell ref="C239:D239"/>
    <mergeCell ref="H239:I239"/>
    <mergeCell ref="M229:N230"/>
    <mergeCell ref="C231:F231"/>
    <mergeCell ref="H231:K231"/>
    <mergeCell ref="H232:J232"/>
    <mergeCell ref="N213:N214"/>
    <mergeCell ref="M215:N216"/>
    <mergeCell ref="C217:D217"/>
    <mergeCell ref="H217:I217"/>
    <mergeCell ref="I213:I214"/>
    <mergeCell ref="J213:J214"/>
    <mergeCell ref="K213:K214"/>
    <mergeCell ref="M213:M214"/>
    <mergeCell ref="C213:C214"/>
    <mergeCell ref="D213:D214"/>
    <mergeCell ref="M218:N219"/>
    <mergeCell ref="C220:F220"/>
    <mergeCell ref="H220:K220"/>
    <mergeCell ref="H221:J221"/>
    <mergeCell ref="N224:N225"/>
    <mergeCell ref="M226:N227"/>
    <mergeCell ref="I224:I225"/>
    <mergeCell ref="J224:J225"/>
    <mergeCell ref="K224:K225"/>
    <mergeCell ref="M224:M225"/>
    <mergeCell ref="E224:E225"/>
    <mergeCell ref="F224:F225"/>
    <mergeCell ref="N175:N176"/>
    <mergeCell ref="M177:N178"/>
    <mergeCell ref="C179:D179"/>
    <mergeCell ref="H179:I179"/>
    <mergeCell ref="M180:N182"/>
    <mergeCell ref="K202:K203"/>
    <mergeCell ref="M202:M203"/>
    <mergeCell ref="M207:N208"/>
    <mergeCell ref="C209:F209"/>
    <mergeCell ref="H209:K209"/>
    <mergeCell ref="C183:F183"/>
    <mergeCell ref="H183:K183"/>
    <mergeCell ref="C195:D195"/>
    <mergeCell ref="H195:I195"/>
    <mergeCell ref="F191:F192"/>
    <mergeCell ref="I191:I192"/>
    <mergeCell ref="N163:N164"/>
    <mergeCell ref="M165:N166"/>
    <mergeCell ref="I163:I164"/>
    <mergeCell ref="J163:J164"/>
    <mergeCell ref="H172:J172"/>
    <mergeCell ref="M191:M192"/>
    <mergeCell ref="N191:N192"/>
    <mergeCell ref="J191:J192"/>
    <mergeCell ref="K191:K192"/>
    <mergeCell ref="M175:M176"/>
    <mergeCell ref="M156:N158"/>
    <mergeCell ref="C159:F159"/>
    <mergeCell ref="H159:K159"/>
    <mergeCell ref="H160:J160"/>
    <mergeCell ref="C163:C164"/>
    <mergeCell ref="D163:D164"/>
    <mergeCell ref="E163:E164"/>
    <mergeCell ref="F163:F164"/>
    <mergeCell ref="K163:K164"/>
    <mergeCell ref="M163:M164"/>
    <mergeCell ref="C167:D167"/>
    <mergeCell ref="H167:I167"/>
    <mergeCell ref="M168:N170"/>
    <mergeCell ref="C171:F171"/>
    <mergeCell ref="H171:K171"/>
    <mergeCell ref="C175:C176"/>
    <mergeCell ref="D175:D176"/>
    <mergeCell ref="E175:E176"/>
    <mergeCell ref="F175:F176"/>
    <mergeCell ref="K175:K176"/>
    <mergeCell ref="M153:N154"/>
    <mergeCell ref="M142:N143"/>
    <mergeCell ref="C144:D144"/>
    <mergeCell ref="H144:I144"/>
    <mergeCell ref="K151:K152"/>
    <mergeCell ref="M151:M152"/>
    <mergeCell ref="N151:N152"/>
    <mergeCell ref="H137:J137"/>
    <mergeCell ref="C140:C141"/>
    <mergeCell ref="D140:D141"/>
    <mergeCell ref="E140:E141"/>
    <mergeCell ref="F140:F141"/>
    <mergeCell ref="I140:I141"/>
    <mergeCell ref="J140:J141"/>
    <mergeCell ref="K140:K141"/>
    <mergeCell ref="M145:N146"/>
    <mergeCell ref="C147:F147"/>
    <mergeCell ref="H147:K147"/>
    <mergeCell ref="H148:J148"/>
    <mergeCell ref="I151:I152"/>
    <mergeCell ref="J151:J152"/>
    <mergeCell ref="C155:D155"/>
    <mergeCell ref="H155:I155"/>
    <mergeCell ref="C151:C152"/>
    <mergeCell ref="D151:D152"/>
    <mergeCell ref="E151:E152"/>
    <mergeCell ref="F151:F152"/>
    <mergeCell ref="M112:N113"/>
    <mergeCell ref="C114:F114"/>
    <mergeCell ref="H114:K114"/>
    <mergeCell ref="C118:C119"/>
    <mergeCell ref="D118:D119"/>
    <mergeCell ref="M123:N124"/>
    <mergeCell ref="H111:I111"/>
    <mergeCell ref="H115:J115"/>
    <mergeCell ref="N118:N119"/>
    <mergeCell ref="M120:N121"/>
    <mergeCell ref="C122:D122"/>
    <mergeCell ref="H122:I122"/>
    <mergeCell ref="I118:I119"/>
    <mergeCell ref="J118:J119"/>
    <mergeCell ref="K118:K119"/>
    <mergeCell ref="M118:M119"/>
    <mergeCell ref="C125:F125"/>
    <mergeCell ref="H125:K125"/>
    <mergeCell ref="H126:J126"/>
    <mergeCell ref="N129:N130"/>
    <mergeCell ref="M131:N132"/>
    <mergeCell ref="C133:D133"/>
    <mergeCell ref="H133:I133"/>
    <mergeCell ref="I129:I130"/>
    <mergeCell ref="J129:J130"/>
    <mergeCell ref="K129:K130"/>
    <mergeCell ref="C224:C225"/>
    <mergeCell ref="D224:D225"/>
    <mergeCell ref="M280:N281"/>
    <mergeCell ref="C282:F282"/>
    <mergeCell ref="H282:K282"/>
    <mergeCell ref="M264:N266"/>
    <mergeCell ref="C267:F267"/>
    <mergeCell ref="H267:K267"/>
    <mergeCell ref="C228:D228"/>
    <mergeCell ref="H228:I228"/>
    <mergeCell ref="M324:N326"/>
    <mergeCell ref="M310:N311"/>
    <mergeCell ref="M313:N314"/>
    <mergeCell ref="N319:N320"/>
    <mergeCell ref="M321:N322"/>
    <mergeCell ref="C235:C236"/>
    <mergeCell ref="D235:D236"/>
    <mergeCell ref="M240:N242"/>
    <mergeCell ref="C243:F243"/>
    <mergeCell ref="H243:K243"/>
    <mergeCell ref="K286:K287"/>
    <mergeCell ref="M286:M287"/>
    <mergeCell ref="C293:F293"/>
    <mergeCell ref="H268:J268"/>
    <mergeCell ref="N275:N276"/>
    <mergeCell ref="M277:N278"/>
    <mergeCell ref="C279:D279"/>
    <mergeCell ref="H279:I279"/>
    <mergeCell ref="H293:K293"/>
    <mergeCell ref="C290:D290"/>
    <mergeCell ref="N202:N203"/>
    <mergeCell ref="C189:F190"/>
    <mergeCell ref="H189:N190"/>
    <mergeCell ref="C191:C192"/>
    <mergeCell ref="D191:D192"/>
    <mergeCell ref="E191:E192"/>
    <mergeCell ref="M196:N197"/>
    <mergeCell ref="C198:F198"/>
    <mergeCell ref="H198:K198"/>
    <mergeCell ref="M193:N194"/>
    <mergeCell ref="D202:D203"/>
    <mergeCell ref="E202:E203"/>
    <mergeCell ref="F202:F203"/>
    <mergeCell ref="I202:I203"/>
    <mergeCell ref="J202:J203"/>
    <mergeCell ref="J175:J176"/>
    <mergeCell ref="H184:J184"/>
    <mergeCell ref="I175:I176"/>
    <mergeCell ref="F107:F108"/>
    <mergeCell ref="I107:I108"/>
    <mergeCell ref="J107:J108"/>
    <mergeCell ref="D107:D108"/>
    <mergeCell ref="H210:J210"/>
    <mergeCell ref="M204:N205"/>
    <mergeCell ref="C206:D206"/>
    <mergeCell ref="H206:I206"/>
    <mergeCell ref="H199:J199"/>
    <mergeCell ref="C202:C203"/>
    <mergeCell ref="M140:M141"/>
    <mergeCell ref="N140:N141"/>
    <mergeCell ref="M129:M130"/>
    <mergeCell ref="C136:F136"/>
    <mergeCell ref="H136:K136"/>
    <mergeCell ref="M107:M108"/>
    <mergeCell ref="N107:N108"/>
    <mergeCell ref="M109:N110"/>
    <mergeCell ref="C111:D111"/>
    <mergeCell ref="K107:K108"/>
    <mergeCell ref="M91:M92"/>
    <mergeCell ref="C91:C92"/>
    <mergeCell ref="N91:N92"/>
    <mergeCell ref="M81:N82"/>
    <mergeCell ref="M134:N135"/>
    <mergeCell ref="C129:C130"/>
    <mergeCell ref="D129:D130"/>
    <mergeCell ref="E129:E130"/>
    <mergeCell ref="F129:F130"/>
    <mergeCell ref="E107:E108"/>
    <mergeCell ref="C67:C68"/>
    <mergeCell ref="C83:D83"/>
    <mergeCell ref="C87:F87"/>
    <mergeCell ref="H87:K87"/>
    <mergeCell ref="M93:N94"/>
    <mergeCell ref="C95:D95"/>
    <mergeCell ref="H95:I95"/>
    <mergeCell ref="I91:I92"/>
    <mergeCell ref="J91:J92"/>
    <mergeCell ref="K91:K92"/>
    <mergeCell ref="H105:N106"/>
    <mergeCell ref="C107:C108"/>
    <mergeCell ref="D91:D92"/>
    <mergeCell ref="E91:E92"/>
    <mergeCell ref="A13:D13"/>
    <mergeCell ref="F91:F92"/>
    <mergeCell ref="C79:C80"/>
    <mergeCell ref="D79:D80"/>
    <mergeCell ref="E79:E80"/>
    <mergeCell ref="F79:F80"/>
    <mergeCell ref="E67:E68"/>
    <mergeCell ref="F67:F68"/>
    <mergeCell ref="D67:D68"/>
    <mergeCell ref="E118:E119"/>
    <mergeCell ref="F118:F119"/>
    <mergeCell ref="M96:N98"/>
    <mergeCell ref="C99:F99"/>
    <mergeCell ref="H99:K99"/>
    <mergeCell ref="H100:J100"/>
    <mergeCell ref="C105:F106"/>
    <mergeCell ref="H76:J76"/>
    <mergeCell ref="I79:I80"/>
    <mergeCell ref="J79:J80"/>
    <mergeCell ref="K79:K80"/>
    <mergeCell ref="N67:N68"/>
    <mergeCell ref="I67:I68"/>
    <mergeCell ref="J67:J68"/>
    <mergeCell ref="K67:K68"/>
    <mergeCell ref="M67:M68"/>
    <mergeCell ref="M69:N70"/>
    <mergeCell ref="H88:J88"/>
    <mergeCell ref="N79:N80"/>
    <mergeCell ref="H83:I83"/>
    <mergeCell ref="M84:N86"/>
    <mergeCell ref="M79:M80"/>
    <mergeCell ref="C71:D71"/>
    <mergeCell ref="H71:I71"/>
    <mergeCell ref="M72:N74"/>
    <mergeCell ref="C75:F75"/>
    <mergeCell ref="H75:K75"/>
    <mergeCell ref="H64:J64"/>
    <mergeCell ref="M50:N51"/>
    <mergeCell ref="C52:F52"/>
    <mergeCell ref="H52:K52"/>
    <mergeCell ref="H53:J53"/>
    <mergeCell ref="C60:D60"/>
    <mergeCell ref="H60:I60"/>
    <mergeCell ref="I56:I57"/>
    <mergeCell ref="J56:J57"/>
    <mergeCell ref="C56:C57"/>
    <mergeCell ref="M58:N59"/>
    <mergeCell ref="K56:K57"/>
    <mergeCell ref="M56:M57"/>
    <mergeCell ref="M61:N62"/>
    <mergeCell ref="C63:F63"/>
    <mergeCell ref="H63:K63"/>
    <mergeCell ref="D56:D57"/>
    <mergeCell ref="F56:F57"/>
    <mergeCell ref="E56:E57"/>
    <mergeCell ref="F45:F46"/>
    <mergeCell ref="E45:E46"/>
    <mergeCell ref="C41:F41"/>
    <mergeCell ref="C45:C46"/>
    <mergeCell ref="D45:D46"/>
    <mergeCell ref="N56:N57"/>
    <mergeCell ref="N34:N35"/>
    <mergeCell ref="M36:N37"/>
    <mergeCell ref="C38:D38"/>
    <mergeCell ref="H38:I38"/>
    <mergeCell ref="M39:N40"/>
    <mergeCell ref="H31:J31"/>
    <mergeCell ref="H41:K41"/>
    <mergeCell ref="H42:J42"/>
    <mergeCell ref="N45:N46"/>
    <mergeCell ref="M47:N48"/>
    <mergeCell ref="C49:D49"/>
    <mergeCell ref="H49:I49"/>
    <mergeCell ref="I45:I46"/>
    <mergeCell ref="J45:J46"/>
    <mergeCell ref="K45:K46"/>
    <mergeCell ref="M45:M46"/>
    <mergeCell ref="H21:N22"/>
    <mergeCell ref="H27:I27"/>
    <mergeCell ref="C30:F30"/>
    <mergeCell ref="I23:I24"/>
    <mergeCell ref="J23:J24"/>
    <mergeCell ref="K23:K24"/>
    <mergeCell ref="M23:M24"/>
    <mergeCell ref="N23:N24"/>
    <mergeCell ref="H30:K30"/>
    <mergeCell ref="C21:F22"/>
    <mergeCell ref="M25:N26"/>
    <mergeCell ref="M28:N29"/>
    <mergeCell ref="C34:C35"/>
    <mergeCell ref="D34:D35"/>
    <mergeCell ref="E34:E35"/>
    <mergeCell ref="F34:F35"/>
    <mergeCell ref="I34:I35"/>
    <mergeCell ref="J34:J35"/>
    <mergeCell ref="K34:K35"/>
    <mergeCell ref="M34:M35"/>
    <mergeCell ref="G4:H4"/>
    <mergeCell ref="A1:N1"/>
    <mergeCell ref="E8:F8"/>
    <mergeCell ref="A8:D8"/>
    <mergeCell ref="A4:F4"/>
    <mergeCell ref="A6:F6"/>
    <mergeCell ref="E2:F2"/>
    <mergeCell ref="A9:E9"/>
    <mergeCell ref="A7:F7"/>
    <mergeCell ref="A5:E5"/>
    <mergeCell ref="E18:F18"/>
    <mergeCell ref="E14:F14"/>
    <mergeCell ref="C27:D27"/>
    <mergeCell ref="C23:C24"/>
    <mergeCell ref="D23:D24"/>
    <mergeCell ref="E23:E24"/>
    <mergeCell ref="F23:F24"/>
  </mergeCells>
  <printOptions/>
  <pageMargins left="0.4" right="0.17" top="0.4" bottom="0.47" header="0.24" footer="0.18"/>
  <pageSetup horizontalDpi="600" verticalDpi="600" orientation="portrait" scale="59" r:id="rId1"/>
  <headerFooter alignWithMargins="0">
    <oddHeader>&amp;R&amp;P of &amp;N</oddHeader>
    <oddFooter>&amp;L&amp;A</oddFooter>
  </headerFooter>
  <rowBreaks count="21" manualBreakCount="21">
    <brk id="53" max="13" man="1"/>
    <brk id="100" max="13" man="1"/>
    <brk id="138" max="13" man="1"/>
    <brk id="185" max="13" man="1"/>
    <brk id="222" max="13" man="1"/>
    <brk id="270" max="13" man="1"/>
    <brk id="306" max="13" man="1"/>
    <brk id="354" max="255" man="1"/>
    <brk id="390" max="255" man="1"/>
    <brk id="438" max="255" man="1"/>
    <brk id="474" max="255" man="1"/>
    <brk id="522" max="255" man="1"/>
    <brk id="558" max="255" man="1"/>
    <brk id="606" max="255" man="1"/>
    <brk id="642" max="255" man="1"/>
    <brk id="690" max="255" man="1"/>
    <brk id="726" max="255" man="1"/>
    <brk id="774" max="255" man="1"/>
    <brk id="810" max="13" man="1"/>
    <brk id="858" max="255" man="1"/>
    <brk id="894" max="255" man="1"/>
  </rowBreaks>
</worksheet>
</file>

<file path=xl/worksheets/sheet15.xml><?xml version="1.0" encoding="utf-8"?>
<worksheet xmlns="http://schemas.openxmlformats.org/spreadsheetml/2006/main" xmlns:r="http://schemas.openxmlformats.org/officeDocument/2006/relationships">
  <dimension ref="A1:O322"/>
  <sheetViews>
    <sheetView zoomScalePageLayoutView="0" workbookViewId="0" topLeftCell="B255">
      <selection activeCell="I266" sqref="H266:N272"/>
    </sheetView>
  </sheetViews>
  <sheetFormatPr defaultColWidth="9.140625" defaultRowHeight="12.75"/>
  <cols>
    <col min="1" max="1" width="18.421875" style="0" customWidth="1"/>
    <col min="2" max="2" width="10.421875" style="0" customWidth="1"/>
    <col min="4" max="4" width="10.7109375" style="0" customWidth="1"/>
    <col min="6" max="6" width="13.00390625" style="0" customWidth="1"/>
    <col min="9" max="9" width="10.8515625" style="0" customWidth="1"/>
    <col min="11" max="11" width="14.00390625" style="0" customWidth="1"/>
    <col min="13" max="13" width="10.8515625" style="0" bestFit="1" customWidth="1"/>
  </cols>
  <sheetData>
    <row r="1" spans="1:14" ht="26.25">
      <c r="A1" s="573" t="s">
        <v>176</v>
      </c>
      <c r="B1" s="573"/>
      <c r="C1" s="573"/>
      <c r="D1" s="573"/>
      <c r="E1" s="573"/>
      <c r="F1" s="573"/>
      <c r="G1" s="573"/>
      <c r="H1" s="573"/>
      <c r="I1" s="573"/>
      <c r="J1" s="573"/>
      <c r="K1" s="573"/>
      <c r="L1" s="573"/>
      <c r="M1" s="573"/>
      <c r="N1" s="573"/>
    </row>
    <row r="2" spans="1:14" ht="15.75">
      <c r="A2" s="377"/>
      <c r="B2" s="377"/>
      <c r="C2" s="377"/>
      <c r="D2" s="377"/>
      <c r="E2" s="574"/>
      <c r="F2" s="574"/>
      <c r="G2" s="377"/>
      <c r="H2" s="377"/>
      <c r="I2" s="157"/>
      <c r="J2" s="157"/>
      <c r="K2" s="158"/>
      <c r="L2" s="157"/>
      <c r="M2" s="157"/>
      <c r="N2" s="159"/>
    </row>
    <row r="3" spans="1:14" ht="18.75" thickBot="1">
      <c r="A3" s="378"/>
      <c r="B3" s="31"/>
      <c r="C3" s="31"/>
      <c r="D3" s="31"/>
      <c r="E3" s="31"/>
      <c r="F3" s="31"/>
      <c r="G3" s="31"/>
      <c r="H3" s="31"/>
      <c r="I3" s="9"/>
      <c r="J3" s="9"/>
      <c r="K3" s="9"/>
      <c r="L3" s="9"/>
      <c r="M3" s="9"/>
      <c r="N3" s="9"/>
    </row>
    <row r="4" spans="1:14" ht="15.75">
      <c r="A4" s="518" t="str">
        <f>"Name of Utility:      "&amp;'Info Sheet'!B4</f>
        <v>Name of Utility:      Chatham-Kent Hydro</v>
      </c>
      <c r="B4" s="519"/>
      <c r="C4" s="519"/>
      <c r="D4" s="519"/>
      <c r="E4" s="519"/>
      <c r="F4" s="519"/>
      <c r="G4" s="571" t="s">
        <v>178</v>
      </c>
      <c r="H4" s="572"/>
      <c r="I4" s="9"/>
      <c r="J4" s="9"/>
      <c r="K4" s="9"/>
      <c r="L4" s="9"/>
      <c r="M4" s="9"/>
      <c r="N4" s="9"/>
    </row>
    <row r="5" spans="1:14" ht="15.75">
      <c r="A5" s="543" t="str">
        <f>"License Number:   "&amp;'Info Sheet'!B6</f>
        <v>License Number:   ED-2002-0563</v>
      </c>
      <c r="B5" s="566"/>
      <c r="C5" s="566"/>
      <c r="D5" s="566"/>
      <c r="E5" s="566"/>
      <c r="F5" s="26"/>
      <c r="G5" s="464"/>
      <c r="H5" s="395" t="str">
        <f>'Info Sheet'!B8</f>
        <v>RP-2005-0013</v>
      </c>
      <c r="I5" s="9"/>
      <c r="J5" s="9"/>
      <c r="K5" s="9"/>
      <c r="L5" s="9"/>
      <c r="M5" s="9"/>
      <c r="N5" s="9"/>
    </row>
    <row r="6" spans="1:14" ht="15.75">
      <c r="A6" s="515" t="str">
        <f>"Name of Contact:  "&amp;'Info Sheet'!B12</f>
        <v>Name of Contact:  Jim Hogan</v>
      </c>
      <c r="B6" s="516"/>
      <c r="C6" s="516"/>
      <c r="D6" s="516"/>
      <c r="E6" s="516"/>
      <c r="F6" s="516"/>
      <c r="G6" s="457"/>
      <c r="H6" s="395" t="str">
        <f>'Info Sheet'!B10</f>
        <v>EB-2005-0017</v>
      </c>
      <c r="I6" s="9"/>
      <c r="J6" s="9"/>
      <c r="K6" s="9"/>
      <c r="L6" s="9"/>
      <c r="M6" s="9"/>
      <c r="N6" s="9"/>
    </row>
    <row r="7" spans="1:14" ht="15.75">
      <c r="A7" s="520" t="str">
        <f>"E- Mail Address:    "&amp;'Info Sheet'!B14</f>
        <v>E- Mail Address:    jimhogan@ckenergy.com</v>
      </c>
      <c r="B7" s="517"/>
      <c r="C7" s="517"/>
      <c r="D7" s="517"/>
      <c r="E7" s="517"/>
      <c r="F7" s="517"/>
      <c r="G7" s="457"/>
      <c r="H7" s="460"/>
      <c r="I7" s="9"/>
      <c r="J7" s="9"/>
      <c r="K7" s="9"/>
      <c r="L7" s="9"/>
      <c r="M7" s="9"/>
      <c r="N7" s="9"/>
    </row>
    <row r="8" spans="1:14" ht="15.75">
      <c r="A8" s="515" t="str">
        <f>"Phone Number:     "&amp;'Info Sheet'!B16</f>
        <v>Phone Number:     </v>
      </c>
      <c r="B8" s="516"/>
      <c r="C8" s="516"/>
      <c r="D8" s="516"/>
      <c r="E8" s="517" t="str">
        <f>'Info Sheet'!$C$16&amp;" "&amp;'Info Sheet'!$D$16</f>
        <v>519-352-6300 (277) </v>
      </c>
      <c r="F8" s="517"/>
      <c r="G8" s="457"/>
      <c r="H8" s="460"/>
      <c r="I8" s="9"/>
      <c r="J8" s="9"/>
      <c r="K8" s="9"/>
      <c r="L8" s="9"/>
      <c r="M8" s="9"/>
      <c r="N8" s="9"/>
    </row>
    <row r="9" spans="1:14" ht="16.5" thickBot="1">
      <c r="A9" s="545" t="str">
        <f>"Date:                         "&amp;('Info Sheet'!B18)</f>
        <v>Date:                         March 10, 2005</v>
      </c>
      <c r="B9" s="565"/>
      <c r="C9" s="565"/>
      <c r="D9" s="565"/>
      <c r="E9" s="565"/>
      <c r="F9" s="465"/>
      <c r="G9" s="465"/>
      <c r="H9" s="461"/>
      <c r="I9" s="9"/>
      <c r="J9" s="9"/>
      <c r="K9" s="9"/>
      <c r="L9" s="9"/>
      <c r="M9" s="9"/>
      <c r="N9" s="9"/>
    </row>
    <row r="10" spans="1:14" ht="15.75">
      <c r="A10" s="356"/>
      <c r="B10" s="357"/>
      <c r="C10" s="357"/>
      <c r="D10" s="357"/>
      <c r="E10" s="357"/>
      <c r="F10" s="9"/>
      <c r="G10" s="9"/>
      <c r="H10" s="9"/>
      <c r="I10" s="9"/>
      <c r="J10" s="9"/>
      <c r="K10" s="9"/>
      <c r="L10" s="9"/>
      <c r="M10" s="9"/>
      <c r="N10" s="9"/>
    </row>
    <row r="11" spans="1:14" s="9" customFormat="1" ht="25.5">
      <c r="A11" s="389" t="s">
        <v>177</v>
      </c>
      <c r="B11" s="115"/>
      <c r="C11" s="115"/>
      <c r="E11" s="160"/>
      <c r="F11" s="160"/>
      <c r="K11" s="161"/>
      <c r="N11" s="156"/>
    </row>
    <row r="12" spans="1:14" s="9" customFormat="1" ht="20.25">
      <c r="A12" s="31"/>
      <c r="B12" s="31"/>
      <c r="C12" s="162"/>
      <c r="D12" s="162"/>
      <c r="E12" s="162"/>
      <c r="F12" s="162"/>
      <c r="G12" s="31"/>
      <c r="H12" s="162"/>
      <c r="I12" s="162"/>
      <c r="J12" s="162"/>
      <c r="K12" s="162"/>
      <c r="L12" s="162"/>
      <c r="M12" s="162"/>
      <c r="N12" s="162"/>
    </row>
    <row r="13" spans="1:14" s="143" customFormat="1" ht="12.75">
      <c r="A13"/>
      <c r="B13"/>
      <c r="C13"/>
      <c r="D13"/>
      <c r="E13"/>
      <c r="F13"/>
      <c r="G13"/>
      <c r="H13"/>
      <c r="I13"/>
      <c r="J13"/>
      <c r="K13"/>
      <c r="L13"/>
      <c r="M13"/>
      <c r="N13"/>
    </row>
    <row r="14" spans="1:14" s="9" customFormat="1" ht="12.75">
      <c r="A14"/>
      <c r="B14"/>
      <c r="C14"/>
      <c r="D14"/>
      <c r="E14"/>
      <c r="F14"/>
      <c r="G14"/>
      <c r="H14"/>
      <c r="I14"/>
      <c r="J14"/>
      <c r="K14"/>
      <c r="L14"/>
      <c r="M14"/>
      <c r="N14"/>
    </row>
    <row r="15" spans="1:14" s="9" customFormat="1" ht="23.25">
      <c r="A15" s="220" t="s">
        <v>3</v>
      </c>
      <c r="B15" s="54"/>
      <c r="D15" s="31"/>
      <c r="F15" s="216"/>
      <c r="J15" s="221"/>
      <c r="K15" s="216"/>
      <c r="L15" s="216"/>
      <c r="M15" s="216"/>
      <c r="N15" s="156"/>
    </row>
    <row r="16" spans="1:14" s="9" customFormat="1" ht="15.75">
      <c r="A16" s="54"/>
      <c r="B16" s="54"/>
      <c r="D16" s="31"/>
      <c r="F16" s="216"/>
      <c r="J16" s="221"/>
      <c r="K16" s="216"/>
      <c r="L16" s="216"/>
      <c r="M16" s="216"/>
      <c r="N16" s="156"/>
    </row>
    <row r="17" spans="1:14" s="9" customFormat="1" ht="15">
      <c r="A17" s="140" t="s">
        <v>92</v>
      </c>
      <c r="B17" s="222"/>
      <c r="C17" s="143"/>
      <c r="D17" s="223"/>
      <c r="E17" s="143"/>
      <c r="F17" s="224"/>
      <c r="G17" s="143"/>
      <c r="H17" s="143"/>
      <c r="I17" s="143"/>
      <c r="J17" s="225"/>
      <c r="K17" s="224"/>
      <c r="L17" s="224"/>
      <c r="M17" s="224"/>
      <c r="N17" s="226"/>
    </row>
    <row r="18" spans="1:14" s="9" customFormat="1" ht="15">
      <c r="A18" s="140" t="s">
        <v>49</v>
      </c>
      <c r="B18" s="222"/>
      <c r="C18" s="143"/>
      <c r="D18" s="223"/>
      <c r="E18" s="143"/>
      <c r="F18" s="224"/>
      <c r="G18" s="143"/>
      <c r="H18" s="143"/>
      <c r="I18" s="143"/>
      <c r="J18" s="225"/>
      <c r="K18" s="224"/>
      <c r="L18" s="224"/>
      <c r="M18" s="224"/>
      <c r="N18" s="226"/>
    </row>
    <row r="19" spans="1:14" s="9" customFormat="1" ht="15">
      <c r="A19" s="140" t="s">
        <v>50</v>
      </c>
      <c r="B19" s="222"/>
      <c r="C19" s="143"/>
      <c r="D19" s="223"/>
      <c r="E19" s="143"/>
      <c r="F19" s="224"/>
      <c r="G19" s="143"/>
      <c r="H19" s="143"/>
      <c r="I19" s="143"/>
      <c r="J19" s="225"/>
      <c r="K19" s="224"/>
      <c r="L19" s="224"/>
      <c r="M19" s="224"/>
      <c r="N19" s="226"/>
    </row>
    <row r="20" spans="1:14" s="9" customFormat="1" ht="16.5" thickBot="1">
      <c r="A20" s="11"/>
      <c r="B20" s="54"/>
      <c r="D20" s="31"/>
      <c r="F20" s="216"/>
      <c r="J20" s="221"/>
      <c r="K20" s="216"/>
      <c r="L20" s="216"/>
      <c r="M20" s="216"/>
      <c r="N20" s="156"/>
    </row>
    <row r="21" spans="1:14" s="9" customFormat="1" ht="14.25">
      <c r="A21" s="11"/>
      <c r="C21" s="589" t="s">
        <v>95</v>
      </c>
      <c r="D21" s="590"/>
      <c r="E21" s="590"/>
      <c r="F21" s="591"/>
      <c r="G21" s="166"/>
      <c r="H21" s="589" t="s">
        <v>96</v>
      </c>
      <c r="I21" s="590"/>
      <c r="J21" s="590"/>
      <c r="K21" s="590"/>
      <c r="L21" s="590"/>
      <c r="M21" s="590"/>
      <c r="N21" s="591"/>
    </row>
    <row r="22" spans="1:14" s="9" customFormat="1" ht="13.5" thickBot="1">
      <c r="A22"/>
      <c r="C22" s="592"/>
      <c r="D22" s="593"/>
      <c r="E22" s="593"/>
      <c r="F22" s="594"/>
      <c r="G22" s="167"/>
      <c r="H22" s="592"/>
      <c r="I22" s="593"/>
      <c r="J22" s="593"/>
      <c r="K22" s="593"/>
      <c r="L22" s="593"/>
      <c r="M22" s="593"/>
      <c r="N22" s="594"/>
    </row>
    <row r="23" spans="1:14" s="9" customFormat="1" ht="60.75" thickBot="1">
      <c r="A23" s="168" t="s">
        <v>78</v>
      </c>
      <c r="B23" s="169"/>
      <c r="C23" s="569"/>
      <c r="D23" s="581" t="s">
        <v>12</v>
      </c>
      <c r="E23" s="583" t="s">
        <v>79</v>
      </c>
      <c r="F23" s="585" t="s">
        <v>182</v>
      </c>
      <c r="G23" s="166"/>
      <c r="H23" s="170"/>
      <c r="I23" s="581" t="s">
        <v>12</v>
      </c>
      <c r="J23" s="583" t="s">
        <v>79</v>
      </c>
      <c r="K23" s="585" t="s">
        <v>182</v>
      </c>
      <c r="L23" s="169"/>
      <c r="M23" s="600" t="s">
        <v>181</v>
      </c>
      <c r="N23" s="602" t="s">
        <v>80</v>
      </c>
    </row>
    <row r="24" spans="1:14" s="9" customFormat="1" ht="13.5" thickBot="1">
      <c r="A24" s="171">
        <v>1000</v>
      </c>
      <c r="B24" s="31"/>
      <c r="C24" s="570"/>
      <c r="D24" s="582"/>
      <c r="E24" s="584"/>
      <c r="F24" s="586"/>
      <c r="G24" s="167"/>
      <c r="H24" s="31"/>
      <c r="I24" s="587"/>
      <c r="J24" s="588"/>
      <c r="K24" s="586"/>
      <c r="L24" s="32"/>
      <c r="M24" s="601"/>
      <c r="N24" s="603"/>
    </row>
    <row r="25" spans="1:14" s="9" customFormat="1" ht="38.25">
      <c r="A25" s="172"/>
      <c r="B25" s="31"/>
      <c r="C25" s="173" t="s">
        <v>21</v>
      </c>
      <c r="D25" s="174" t="s">
        <v>81</v>
      </c>
      <c r="E25" s="175" t="s">
        <v>81</v>
      </c>
      <c r="F25" s="234">
        <f>+'12. Current Rates'!D95</f>
        <v>35.02</v>
      </c>
      <c r="G25" s="167"/>
      <c r="H25" s="177" t="s">
        <v>21</v>
      </c>
      <c r="I25" s="174" t="str">
        <f>D25</f>
        <v>N/A</v>
      </c>
      <c r="J25" s="174" t="s">
        <v>81</v>
      </c>
      <c r="K25" s="234">
        <f>+'11. 2005 Final Rate Schedule '!F103</f>
        <v>32.23453397499679</v>
      </c>
      <c r="L25" s="179"/>
      <c r="M25" s="575"/>
      <c r="N25" s="576"/>
    </row>
    <row r="26" spans="1:14" s="9" customFormat="1" ht="26.25" thickBot="1">
      <c r="A26" s="86"/>
      <c r="B26" s="31"/>
      <c r="C26" s="180" t="s">
        <v>82</v>
      </c>
      <c r="D26" s="181">
        <f>A24</f>
        <v>1000</v>
      </c>
      <c r="E26" s="438">
        <f>+'12. Current Rates'!D93</f>
        <v>0.0064</v>
      </c>
      <c r="F26" s="352">
        <f>D26*E26</f>
        <v>6.4</v>
      </c>
      <c r="G26" s="167"/>
      <c r="H26" s="184" t="s">
        <v>82</v>
      </c>
      <c r="I26" s="181">
        <f>D26</f>
        <v>1000</v>
      </c>
      <c r="J26" s="444">
        <f>+'11. 2005 Final Rate Schedule '!F104</f>
        <v>0.009926053143928023</v>
      </c>
      <c r="K26" s="237">
        <f>I26*J26</f>
        <v>9.926053143928023</v>
      </c>
      <c r="L26" s="179"/>
      <c r="M26" s="577"/>
      <c r="N26" s="578"/>
    </row>
    <row r="27" spans="1:14" s="9" customFormat="1" ht="13.5" thickBot="1">
      <c r="A27" s="86"/>
      <c r="B27" s="31"/>
      <c r="C27" s="605"/>
      <c r="D27" s="607"/>
      <c r="E27" s="187" t="s">
        <v>52</v>
      </c>
      <c r="F27" s="373">
        <f>SUM(F25:F26)</f>
        <v>41.42</v>
      </c>
      <c r="G27" s="167"/>
      <c r="H27" s="595"/>
      <c r="I27" s="596"/>
      <c r="J27" s="187" t="s">
        <v>83</v>
      </c>
      <c r="K27" s="189">
        <f>SUM(K25:K26)</f>
        <v>42.160587118924816</v>
      </c>
      <c r="L27" s="179"/>
      <c r="M27" s="190">
        <f>K27-F27</f>
        <v>0.7405871189248145</v>
      </c>
      <c r="N27" s="448">
        <f>M27/F27</f>
        <v>0.01787994009958509</v>
      </c>
    </row>
    <row r="28" spans="1:14" s="9" customFormat="1" ht="38.25">
      <c r="A28" s="86"/>
      <c r="B28" s="31"/>
      <c r="C28" s="180" t="s">
        <v>84</v>
      </c>
      <c r="D28" s="181">
        <f>A24</f>
        <v>1000</v>
      </c>
      <c r="E28" s="439">
        <v>0.0229</v>
      </c>
      <c r="F28" s="374">
        <f>D28*E28</f>
        <v>22.9</v>
      </c>
      <c r="G28" s="167"/>
      <c r="H28" s="184" t="s">
        <v>84</v>
      </c>
      <c r="I28" s="181">
        <f aca="true" t="shared" si="0" ref="I28:K29">D28</f>
        <v>1000</v>
      </c>
      <c r="J28" s="445">
        <f t="shared" si="0"/>
        <v>0.0229</v>
      </c>
      <c r="K28" s="239">
        <f t="shared" si="0"/>
        <v>22.9</v>
      </c>
      <c r="L28" s="179"/>
      <c r="M28" s="575"/>
      <c r="N28" s="576"/>
    </row>
    <row r="29" spans="1:14" s="9" customFormat="1" ht="39" thickBot="1">
      <c r="A29" s="86"/>
      <c r="B29" s="31"/>
      <c r="C29" s="196" t="s">
        <v>85</v>
      </c>
      <c r="D29" s="181">
        <f>A24</f>
        <v>1000</v>
      </c>
      <c r="E29" s="440">
        <v>0.047</v>
      </c>
      <c r="F29" s="352">
        <f>D29*E29</f>
        <v>47</v>
      </c>
      <c r="G29" s="167"/>
      <c r="H29" s="198" t="s">
        <v>85</v>
      </c>
      <c r="I29" s="446">
        <f t="shared" si="0"/>
        <v>1000</v>
      </c>
      <c r="J29" s="447">
        <f t="shared" si="0"/>
        <v>0.047</v>
      </c>
      <c r="K29" s="243">
        <f t="shared" si="0"/>
        <v>47</v>
      </c>
      <c r="L29" s="179"/>
      <c r="M29" s="579"/>
      <c r="N29" s="580"/>
    </row>
    <row r="30" spans="1:14" s="9" customFormat="1" ht="13.5" thickBot="1">
      <c r="A30" s="86"/>
      <c r="B30" s="31"/>
      <c r="C30" s="597"/>
      <c r="D30" s="598"/>
      <c r="E30" s="598"/>
      <c r="F30" s="599"/>
      <c r="G30" s="167"/>
      <c r="H30" s="598"/>
      <c r="I30" s="598"/>
      <c r="J30" s="598"/>
      <c r="K30" s="599"/>
      <c r="L30" s="31"/>
      <c r="M30" s="86"/>
      <c r="N30" s="202"/>
    </row>
    <row r="31" spans="1:14" s="9" customFormat="1" ht="13.5" thickBot="1">
      <c r="A31" s="94"/>
      <c r="B31" s="148"/>
      <c r="C31" s="203" t="s">
        <v>200</v>
      </c>
      <c r="D31" s="204"/>
      <c r="E31" s="204"/>
      <c r="F31" s="189">
        <f>SUM(F28:F29,F27)</f>
        <v>111.32000000000001</v>
      </c>
      <c r="G31" s="206"/>
      <c r="H31" s="604" t="s">
        <v>201</v>
      </c>
      <c r="I31" s="604"/>
      <c r="J31" s="604"/>
      <c r="K31" s="189">
        <f>SUM(K27:K29)</f>
        <v>112.06058711892481</v>
      </c>
      <c r="L31" s="207"/>
      <c r="M31" s="190">
        <f>K31-F31</f>
        <v>0.7405871189248074</v>
      </c>
      <c r="N31" s="448">
        <f>M31/F31</f>
        <v>0.006652776849845557</v>
      </c>
    </row>
    <row r="32" spans="11:14" s="9" customFormat="1" ht="12.75">
      <c r="K32" s="161"/>
      <c r="N32" s="156"/>
    </row>
    <row r="33" spans="11:14" s="9" customFormat="1" ht="13.5" thickBot="1">
      <c r="K33" s="161"/>
      <c r="N33" s="156"/>
    </row>
    <row r="34" spans="1:14" s="9" customFormat="1" ht="60.75" thickBot="1">
      <c r="A34" s="168" t="s">
        <v>78</v>
      </c>
      <c r="B34" s="169"/>
      <c r="C34" s="569"/>
      <c r="D34" s="581" t="s">
        <v>12</v>
      </c>
      <c r="E34" s="583" t="s">
        <v>79</v>
      </c>
      <c r="F34" s="585" t="s">
        <v>182</v>
      </c>
      <c r="G34" s="166"/>
      <c r="H34" s="170"/>
      <c r="I34" s="581" t="s">
        <v>12</v>
      </c>
      <c r="J34" s="583" t="s">
        <v>79</v>
      </c>
      <c r="K34" s="585" t="s">
        <v>182</v>
      </c>
      <c r="L34" s="169"/>
      <c r="M34" s="600" t="s">
        <v>181</v>
      </c>
      <c r="N34" s="602" t="s">
        <v>80</v>
      </c>
    </row>
    <row r="35" spans="1:14" s="9" customFormat="1" ht="13.5" thickBot="1">
      <c r="A35" s="171">
        <v>2000</v>
      </c>
      <c r="B35" s="31"/>
      <c r="C35" s="570"/>
      <c r="D35" s="582"/>
      <c r="E35" s="584"/>
      <c r="F35" s="586"/>
      <c r="G35" s="167"/>
      <c r="H35" s="31"/>
      <c r="I35" s="587"/>
      <c r="J35" s="588"/>
      <c r="K35" s="586"/>
      <c r="L35" s="32"/>
      <c r="M35" s="601"/>
      <c r="N35" s="603"/>
    </row>
    <row r="36" spans="1:14" s="9" customFormat="1" ht="38.25">
      <c r="A36" s="172"/>
      <c r="B36" s="31"/>
      <c r="C36" s="173" t="s">
        <v>21</v>
      </c>
      <c r="D36" s="174" t="s">
        <v>81</v>
      </c>
      <c r="E36" s="175" t="s">
        <v>81</v>
      </c>
      <c r="F36" s="234">
        <f>F25</f>
        <v>35.02</v>
      </c>
      <c r="G36" s="167"/>
      <c r="H36" s="177" t="s">
        <v>21</v>
      </c>
      <c r="I36" s="178" t="str">
        <f>D36</f>
        <v>N/A</v>
      </c>
      <c r="J36" s="178" t="s">
        <v>81</v>
      </c>
      <c r="K36" s="227">
        <f>$K$25</f>
        <v>32.23453397499679</v>
      </c>
      <c r="L36" s="179"/>
      <c r="M36" s="575"/>
      <c r="N36" s="576"/>
    </row>
    <row r="37" spans="1:14" s="9" customFormat="1" ht="26.25" thickBot="1">
      <c r="A37" s="86"/>
      <c r="B37" s="31"/>
      <c r="C37" s="180" t="s">
        <v>82</v>
      </c>
      <c r="D37" s="181">
        <f>A35</f>
        <v>2000</v>
      </c>
      <c r="E37" s="182">
        <f>E26</f>
        <v>0.0064</v>
      </c>
      <c r="F37" s="352">
        <f>D37*E37</f>
        <v>12.8</v>
      </c>
      <c r="G37" s="167"/>
      <c r="H37" s="184" t="s">
        <v>82</v>
      </c>
      <c r="I37" s="185">
        <f>D37</f>
        <v>2000</v>
      </c>
      <c r="J37" s="431">
        <f>$J$26</f>
        <v>0.009926053143928023</v>
      </c>
      <c r="K37" s="186">
        <f>I37*J37</f>
        <v>19.852106287856046</v>
      </c>
      <c r="L37" s="179"/>
      <c r="M37" s="577"/>
      <c r="N37" s="578"/>
    </row>
    <row r="38" spans="1:14" s="9" customFormat="1" ht="13.5" thickBot="1">
      <c r="A38" s="86"/>
      <c r="B38" s="31"/>
      <c r="C38" s="605"/>
      <c r="D38" s="607"/>
      <c r="E38" s="187" t="s">
        <v>52</v>
      </c>
      <c r="F38" s="373">
        <f>SUM(F36:F37)</f>
        <v>47.82000000000001</v>
      </c>
      <c r="G38" s="167"/>
      <c r="H38" s="595"/>
      <c r="I38" s="596"/>
      <c r="J38" s="187" t="s">
        <v>83</v>
      </c>
      <c r="K38" s="189">
        <f>SUM(K36:K37)</f>
        <v>52.08664026285284</v>
      </c>
      <c r="L38" s="179"/>
      <c r="M38" s="190">
        <f>K38-F38</f>
        <v>4.266640262852832</v>
      </c>
      <c r="N38" s="191">
        <f>M38/F38</f>
        <v>0.08922292477734904</v>
      </c>
    </row>
    <row r="39" spans="1:14" s="9" customFormat="1" ht="38.25">
      <c r="A39" s="86"/>
      <c r="B39" s="31"/>
      <c r="C39" s="180" t="s">
        <v>84</v>
      </c>
      <c r="D39" s="181">
        <f>A35</f>
        <v>2000</v>
      </c>
      <c r="E39" s="428">
        <v>0.0229</v>
      </c>
      <c r="F39" s="374">
        <f>D39*E39</f>
        <v>45.8</v>
      </c>
      <c r="G39" s="167"/>
      <c r="H39" s="184" t="s">
        <v>84</v>
      </c>
      <c r="I39" s="235">
        <f>D39</f>
        <v>2000</v>
      </c>
      <c r="J39" s="430">
        <f>E39</f>
        <v>0.0229</v>
      </c>
      <c r="K39" s="195">
        <f>F39</f>
        <v>45.8</v>
      </c>
      <c r="L39" s="179"/>
      <c r="M39" s="575"/>
      <c r="N39" s="576"/>
    </row>
    <row r="40" spans="1:14" s="9" customFormat="1" ht="38.25">
      <c r="A40" s="86"/>
      <c r="B40" s="31"/>
      <c r="C40" s="196" t="s">
        <v>85</v>
      </c>
      <c r="D40" s="181">
        <v>750</v>
      </c>
      <c r="E40" s="429">
        <v>0.047</v>
      </c>
      <c r="F40" s="352">
        <f>D40*E40</f>
        <v>35.25</v>
      </c>
      <c r="G40" s="167"/>
      <c r="H40" s="196" t="s">
        <v>85</v>
      </c>
      <c r="I40" s="235">
        <f>D40</f>
        <v>750</v>
      </c>
      <c r="J40" s="429">
        <v>0.047</v>
      </c>
      <c r="K40" s="352">
        <f>I40*J40</f>
        <v>35.25</v>
      </c>
      <c r="L40" s="179"/>
      <c r="M40" s="579"/>
      <c r="N40" s="580"/>
    </row>
    <row r="41" spans="1:14" s="9" customFormat="1" ht="39" thickBot="1">
      <c r="A41" s="86"/>
      <c r="B41" s="31"/>
      <c r="C41" s="196" t="s">
        <v>85</v>
      </c>
      <c r="D41" s="235">
        <f>A35-D40</f>
        <v>1250</v>
      </c>
      <c r="E41" s="429">
        <v>0.055</v>
      </c>
      <c r="F41" s="352">
        <f>D41*E41</f>
        <v>68.75</v>
      </c>
      <c r="G41" s="167"/>
      <c r="H41" s="353" t="s">
        <v>85</v>
      </c>
      <c r="I41" s="241">
        <f>D41</f>
        <v>1250</v>
      </c>
      <c r="J41" s="432">
        <v>0.055</v>
      </c>
      <c r="K41" s="355">
        <f>I41*J41</f>
        <v>68.75</v>
      </c>
      <c r="L41" s="179"/>
      <c r="M41" s="579"/>
      <c r="N41" s="580"/>
    </row>
    <row r="42" spans="1:14" s="9" customFormat="1" ht="13.5" thickBot="1">
      <c r="A42" s="86"/>
      <c r="B42" s="31"/>
      <c r="C42" s="597"/>
      <c r="D42" s="598"/>
      <c r="E42" s="598"/>
      <c r="F42" s="599"/>
      <c r="G42" s="167"/>
      <c r="H42" s="598"/>
      <c r="I42" s="598"/>
      <c r="J42" s="598"/>
      <c r="K42" s="599"/>
      <c r="L42" s="31"/>
      <c r="M42" s="86"/>
      <c r="N42" s="202"/>
    </row>
    <row r="43" spans="1:14" s="9" customFormat="1" ht="13.5" thickBot="1">
      <c r="A43" s="94"/>
      <c r="B43" s="148"/>
      <c r="C43" s="203" t="s">
        <v>200</v>
      </c>
      <c r="D43" s="204"/>
      <c r="E43" s="204"/>
      <c r="F43" s="189">
        <f>SUM(F39:F41,F38)</f>
        <v>197.62</v>
      </c>
      <c r="G43" s="206"/>
      <c r="H43" s="604" t="s">
        <v>201</v>
      </c>
      <c r="I43" s="604"/>
      <c r="J43" s="604"/>
      <c r="K43" s="189">
        <f>SUM(K38:K41)</f>
        <v>201.88664026285284</v>
      </c>
      <c r="L43" s="207"/>
      <c r="M43" s="190">
        <f>K43-F43</f>
        <v>4.266640262852832</v>
      </c>
      <c r="N43" s="191">
        <f>M43/F43</f>
        <v>0.021590123787333427</v>
      </c>
    </row>
    <row r="44" spans="11:14" s="9" customFormat="1" ht="12.75">
      <c r="K44" s="161"/>
      <c r="N44" s="156"/>
    </row>
    <row r="45" spans="11:14" s="9" customFormat="1" ht="13.5" thickBot="1">
      <c r="K45" s="161"/>
      <c r="N45" s="156"/>
    </row>
    <row r="46" spans="1:14" s="9" customFormat="1" ht="60.75" thickBot="1">
      <c r="A46" s="168" t="s">
        <v>78</v>
      </c>
      <c r="B46" s="169"/>
      <c r="C46" s="569"/>
      <c r="D46" s="581" t="s">
        <v>12</v>
      </c>
      <c r="E46" s="583" t="s">
        <v>79</v>
      </c>
      <c r="F46" s="585" t="s">
        <v>182</v>
      </c>
      <c r="G46" s="166"/>
      <c r="H46" s="170"/>
      <c r="I46" s="581" t="s">
        <v>12</v>
      </c>
      <c r="J46" s="583" t="s">
        <v>79</v>
      </c>
      <c r="K46" s="585" t="s">
        <v>182</v>
      </c>
      <c r="L46" s="169"/>
      <c r="M46" s="600" t="s">
        <v>181</v>
      </c>
      <c r="N46" s="602" t="s">
        <v>80</v>
      </c>
    </row>
    <row r="47" spans="1:14" s="9" customFormat="1" ht="13.5" thickBot="1">
      <c r="A47" s="171">
        <v>5000</v>
      </c>
      <c r="B47" s="31"/>
      <c r="C47" s="570"/>
      <c r="D47" s="582"/>
      <c r="E47" s="584"/>
      <c r="F47" s="586"/>
      <c r="G47" s="167"/>
      <c r="H47" s="31"/>
      <c r="I47" s="587"/>
      <c r="J47" s="588"/>
      <c r="K47" s="586"/>
      <c r="L47" s="32"/>
      <c r="M47" s="601"/>
      <c r="N47" s="603"/>
    </row>
    <row r="48" spans="1:14" s="9" customFormat="1" ht="38.25">
      <c r="A48" s="172"/>
      <c r="B48" s="31"/>
      <c r="C48" s="173" t="s">
        <v>21</v>
      </c>
      <c r="D48" s="174" t="s">
        <v>81</v>
      </c>
      <c r="E48" s="175" t="s">
        <v>81</v>
      </c>
      <c r="F48" s="234">
        <f>F36</f>
        <v>35.02</v>
      </c>
      <c r="G48" s="167"/>
      <c r="H48" s="177" t="s">
        <v>21</v>
      </c>
      <c r="I48" s="178" t="str">
        <f>D48</f>
        <v>N/A</v>
      </c>
      <c r="J48" s="178" t="s">
        <v>81</v>
      </c>
      <c r="K48" s="227">
        <f>$K$25</f>
        <v>32.23453397499679</v>
      </c>
      <c r="L48" s="179"/>
      <c r="M48" s="575"/>
      <c r="N48" s="576"/>
    </row>
    <row r="49" spans="1:14" s="9" customFormat="1" ht="26.25" thickBot="1">
      <c r="A49" s="86"/>
      <c r="B49" s="31"/>
      <c r="C49" s="180" t="s">
        <v>82</v>
      </c>
      <c r="D49" s="181">
        <f>A47</f>
        <v>5000</v>
      </c>
      <c r="E49" s="182">
        <f>E37</f>
        <v>0.0064</v>
      </c>
      <c r="F49" s="352">
        <f>D49*E49</f>
        <v>32</v>
      </c>
      <c r="G49" s="167"/>
      <c r="H49" s="184" t="s">
        <v>82</v>
      </c>
      <c r="I49" s="185">
        <f>D49</f>
        <v>5000</v>
      </c>
      <c r="J49" s="431">
        <f>$J$26</f>
        <v>0.009926053143928023</v>
      </c>
      <c r="K49" s="186">
        <f>I49*J49</f>
        <v>49.630265719640114</v>
      </c>
      <c r="L49" s="179"/>
      <c r="M49" s="577"/>
      <c r="N49" s="578"/>
    </row>
    <row r="50" spans="1:14" s="9" customFormat="1" ht="13.5" thickBot="1">
      <c r="A50" s="86"/>
      <c r="B50" s="31"/>
      <c r="C50" s="605"/>
      <c r="D50" s="607"/>
      <c r="E50" s="187" t="s">
        <v>52</v>
      </c>
      <c r="F50" s="373">
        <f>SUM(F48:F49)</f>
        <v>67.02000000000001</v>
      </c>
      <c r="G50" s="167"/>
      <c r="H50" s="595"/>
      <c r="I50" s="596"/>
      <c r="J50" s="187" t="s">
        <v>83</v>
      </c>
      <c r="K50" s="189">
        <f>SUM(K48:K49)</f>
        <v>81.8647996946369</v>
      </c>
      <c r="L50" s="179"/>
      <c r="M50" s="190">
        <f>K50-F50</f>
        <v>14.84479969463689</v>
      </c>
      <c r="N50" s="191">
        <f>M50/F50</f>
        <v>0.221498055724215</v>
      </c>
    </row>
    <row r="51" spans="1:14" s="9" customFormat="1" ht="38.25">
      <c r="A51" s="86"/>
      <c r="B51" s="31"/>
      <c r="C51" s="180" t="s">
        <v>84</v>
      </c>
      <c r="D51" s="181">
        <f>A47</f>
        <v>5000</v>
      </c>
      <c r="E51" s="428">
        <v>0.0229</v>
      </c>
      <c r="F51" s="374">
        <f>D51*E51</f>
        <v>114.5</v>
      </c>
      <c r="G51" s="167"/>
      <c r="H51" s="184" t="s">
        <v>84</v>
      </c>
      <c r="I51" s="235">
        <f>D51</f>
        <v>5000</v>
      </c>
      <c r="J51" s="430">
        <f>E51</f>
        <v>0.0229</v>
      </c>
      <c r="K51" s="195">
        <f>F51</f>
        <v>114.5</v>
      </c>
      <c r="L51" s="179"/>
      <c r="M51" s="575"/>
      <c r="N51" s="576"/>
    </row>
    <row r="52" spans="1:14" s="9" customFormat="1" ht="38.25">
      <c r="A52" s="86"/>
      <c r="B52" s="31"/>
      <c r="C52" s="196" t="s">
        <v>85</v>
      </c>
      <c r="D52" s="181">
        <v>750</v>
      </c>
      <c r="E52" s="429">
        <v>0.047</v>
      </c>
      <c r="F52" s="352">
        <f>D52*E52</f>
        <v>35.25</v>
      </c>
      <c r="G52" s="167"/>
      <c r="H52" s="196" t="s">
        <v>85</v>
      </c>
      <c r="I52" s="235">
        <f>D52</f>
        <v>750</v>
      </c>
      <c r="J52" s="429">
        <v>0.047</v>
      </c>
      <c r="K52" s="352">
        <f>I52*J52</f>
        <v>35.25</v>
      </c>
      <c r="L52" s="179"/>
      <c r="M52" s="579"/>
      <c r="N52" s="580"/>
    </row>
    <row r="53" spans="1:14" s="9" customFormat="1" ht="39" thickBot="1">
      <c r="A53" s="86"/>
      <c r="B53" s="31"/>
      <c r="C53" s="196" t="s">
        <v>85</v>
      </c>
      <c r="D53" s="235">
        <f>A47-D52</f>
        <v>4250</v>
      </c>
      <c r="E53" s="429">
        <v>0.055</v>
      </c>
      <c r="F53" s="352">
        <f>D53*E53</f>
        <v>233.75</v>
      </c>
      <c r="G53" s="167"/>
      <c r="H53" s="353" t="s">
        <v>85</v>
      </c>
      <c r="I53" s="241">
        <f>D53</f>
        <v>4250</v>
      </c>
      <c r="J53" s="432">
        <v>0.055</v>
      </c>
      <c r="K53" s="355">
        <f>I53*J53</f>
        <v>233.75</v>
      </c>
      <c r="L53" s="179"/>
      <c r="M53" s="579"/>
      <c r="N53" s="580"/>
    </row>
    <row r="54" spans="1:14" s="9" customFormat="1" ht="13.5" thickBot="1">
      <c r="A54" s="86"/>
      <c r="B54" s="31"/>
      <c r="C54" s="597"/>
      <c r="D54" s="598"/>
      <c r="E54" s="598"/>
      <c r="F54" s="599"/>
      <c r="G54" s="167"/>
      <c r="H54" s="598"/>
      <c r="I54" s="598"/>
      <c r="J54" s="598"/>
      <c r="K54" s="599"/>
      <c r="L54" s="31"/>
      <c r="M54" s="86"/>
      <c r="N54" s="202"/>
    </row>
    <row r="55" spans="1:14" s="9" customFormat="1" ht="13.5" thickBot="1">
      <c r="A55" s="94"/>
      <c r="B55" s="148"/>
      <c r="C55" s="203" t="s">
        <v>200</v>
      </c>
      <c r="D55" s="204"/>
      <c r="E55" s="204"/>
      <c r="F55" s="189">
        <f>SUM(F51:F53,F50)</f>
        <v>450.52</v>
      </c>
      <c r="G55" s="206"/>
      <c r="H55" s="604" t="s">
        <v>201</v>
      </c>
      <c r="I55" s="604"/>
      <c r="J55" s="604"/>
      <c r="K55" s="189">
        <f>SUM(K50:K53)</f>
        <v>465.3647996946369</v>
      </c>
      <c r="L55" s="207"/>
      <c r="M55" s="190">
        <f>K55-F55</f>
        <v>14.84479969463689</v>
      </c>
      <c r="N55" s="191">
        <f>M55/F55</f>
        <v>0.03295036778530785</v>
      </c>
    </row>
    <row r="56" spans="6:14" s="9" customFormat="1" ht="12.75">
      <c r="F56" s="179"/>
      <c r="K56" s="179"/>
      <c r="L56" s="216"/>
      <c r="M56" s="216"/>
      <c r="N56" s="229"/>
    </row>
    <row r="57" spans="6:14" s="9" customFormat="1" ht="13.5" thickBot="1">
      <c r="F57" s="179"/>
      <c r="K57" s="179"/>
      <c r="L57" s="216"/>
      <c r="M57" s="216"/>
      <c r="N57" s="229"/>
    </row>
    <row r="58" spans="1:14" s="9" customFormat="1" ht="60.75" thickBot="1">
      <c r="A58" s="168" t="s">
        <v>78</v>
      </c>
      <c r="B58" s="169"/>
      <c r="C58" s="569"/>
      <c r="D58" s="581" t="s">
        <v>12</v>
      </c>
      <c r="E58" s="583" t="s">
        <v>79</v>
      </c>
      <c r="F58" s="585" t="s">
        <v>182</v>
      </c>
      <c r="G58" s="166"/>
      <c r="H58" s="170"/>
      <c r="I58" s="581" t="s">
        <v>12</v>
      </c>
      <c r="J58" s="583" t="s">
        <v>79</v>
      </c>
      <c r="K58" s="585" t="s">
        <v>182</v>
      </c>
      <c r="L58" s="169"/>
      <c r="M58" s="600" t="s">
        <v>181</v>
      </c>
      <c r="N58" s="602" t="s">
        <v>80</v>
      </c>
    </row>
    <row r="59" spans="1:14" s="9" customFormat="1" ht="13.5" thickBot="1">
      <c r="A59" s="171">
        <v>10000</v>
      </c>
      <c r="B59" s="31"/>
      <c r="C59" s="570"/>
      <c r="D59" s="582"/>
      <c r="E59" s="584"/>
      <c r="F59" s="586"/>
      <c r="G59" s="167"/>
      <c r="H59" s="31"/>
      <c r="I59" s="587"/>
      <c r="J59" s="588"/>
      <c r="K59" s="586"/>
      <c r="L59" s="32"/>
      <c r="M59" s="601"/>
      <c r="N59" s="603"/>
    </row>
    <row r="60" spans="1:14" s="9" customFormat="1" ht="38.25">
      <c r="A60" s="172"/>
      <c r="B60" s="31"/>
      <c r="C60" s="173" t="s">
        <v>21</v>
      </c>
      <c r="D60" s="174" t="s">
        <v>81</v>
      </c>
      <c r="E60" s="175" t="s">
        <v>81</v>
      </c>
      <c r="F60" s="234">
        <f>F48</f>
        <v>35.02</v>
      </c>
      <c r="G60" s="167"/>
      <c r="H60" s="177" t="s">
        <v>21</v>
      </c>
      <c r="I60" s="178" t="str">
        <f>D60</f>
        <v>N/A</v>
      </c>
      <c r="J60" s="178" t="s">
        <v>81</v>
      </c>
      <c r="K60" s="227">
        <f>$K$25</f>
        <v>32.23453397499679</v>
      </c>
      <c r="L60" s="179"/>
      <c r="M60" s="575"/>
      <c r="N60" s="576"/>
    </row>
    <row r="61" spans="1:14" s="9" customFormat="1" ht="26.25" thickBot="1">
      <c r="A61" s="86"/>
      <c r="B61" s="31"/>
      <c r="C61" s="180" t="s">
        <v>82</v>
      </c>
      <c r="D61" s="181">
        <f>A59</f>
        <v>10000</v>
      </c>
      <c r="E61" s="182">
        <f>E49</f>
        <v>0.0064</v>
      </c>
      <c r="F61" s="352">
        <f>D61*E61</f>
        <v>64</v>
      </c>
      <c r="G61" s="167"/>
      <c r="H61" s="184" t="s">
        <v>82</v>
      </c>
      <c r="I61" s="185">
        <f>D61</f>
        <v>10000</v>
      </c>
      <c r="J61" s="431">
        <f>$J$26</f>
        <v>0.009926053143928023</v>
      </c>
      <c r="K61" s="186">
        <f>I61*J61</f>
        <v>99.26053143928023</v>
      </c>
      <c r="L61" s="179"/>
      <c r="M61" s="577"/>
      <c r="N61" s="578"/>
    </row>
    <row r="62" spans="1:14" s="9" customFormat="1" ht="13.5" thickBot="1">
      <c r="A62" s="86"/>
      <c r="B62" s="31"/>
      <c r="C62" s="605"/>
      <c r="D62" s="607"/>
      <c r="E62" s="187" t="s">
        <v>52</v>
      </c>
      <c r="F62" s="373">
        <f>SUM(F60:F61)</f>
        <v>99.02000000000001</v>
      </c>
      <c r="G62" s="167"/>
      <c r="H62" s="595"/>
      <c r="I62" s="596"/>
      <c r="J62" s="187" t="s">
        <v>83</v>
      </c>
      <c r="K62" s="189">
        <f>SUM(K60:K61)</f>
        <v>131.495065414277</v>
      </c>
      <c r="L62" s="179"/>
      <c r="M62" s="190">
        <f>K62-F62</f>
        <v>32.475065414277</v>
      </c>
      <c r="N62" s="191">
        <f>M62/F62</f>
        <v>0.3279647082839527</v>
      </c>
    </row>
    <row r="63" spans="1:14" s="9" customFormat="1" ht="38.25">
      <c r="A63" s="86"/>
      <c r="B63" s="31"/>
      <c r="C63" s="180" t="s">
        <v>84</v>
      </c>
      <c r="D63" s="181">
        <f>A59</f>
        <v>10000</v>
      </c>
      <c r="E63" s="428">
        <v>0.0229</v>
      </c>
      <c r="F63" s="374">
        <f>D63*E63</f>
        <v>229</v>
      </c>
      <c r="G63" s="167"/>
      <c r="H63" s="184" t="s">
        <v>84</v>
      </c>
      <c r="I63" s="235">
        <f>D63</f>
        <v>10000</v>
      </c>
      <c r="J63" s="430">
        <f>E63</f>
        <v>0.0229</v>
      </c>
      <c r="K63" s="195">
        <f>F63</f>
        <v>229</v>
      </c>
      <c r="L63" s="179"/>
      <c r="M63" s="575"/>
      <c r="N63" s="576"/>
    </row>
    <row r="64" spans="1:14" s="9" customFormat="1" ht="38.25">
      <c r="A64" s="86"/>
      <c r="B64" s="31"/>
      <c r="C64" s="196" t="s">
        <v>85</v>
      </c>
      <c r="D64" s="181">
        <v>750</v>
      </c>
      <c r="E64" s="429">
        <v>0.047</v>
      </c>
      <c r="F64" s="352">
        <f>D64*E64</f>
        <v>35.25</v>
      </c>
      <c r="G64" s="167"/>
      <c r="H64" s="196" t="s">
        <v>85</v>
      </c>
      <c r="I64" s="235">
        <f>D64</f>
        <v>750</v>
      </c>
      <c r="J64" s="429">
        <v>0.047</v>
      </c>
      <c r="K64" s="352">
        <f>I64*J64</f>
        <v>35.25</v>
      </c>
      <c r="L64" s="179"/>
      <c r="M64" s="579"/>
      <c r="N64" s="580"/>
    </row>
    <row r="65" spans="1:14" s="9" customFormat="1" ht="39" thickBot="1">
      <c r="A65" s="86"/>
      <c r="B65" s="31"/>
      <c r="C65" s="196" t="s">
        <v>85</v>
      </c>
      <c r="D65" s="235">
        <f>A59-D64</f>
        <v>9250</v>
      </c>
      <c r="E65" s="429">
        <v>0.055</v>
      </c>
      <c r="F65" s="352">
        <f>D65*E65</f>
        <v>508.75</v>
      </c>
      <c r="G65" s="167"/>
      <c r="H65" s="353" t="s">
        <v>85</v>
      </c>
      <c r="I65" s="241">
        <f>D65</f>
        <v>9250</v>
      </c>
      <c r="J65" s="432">
        <v>0.055</v>
      </c>
      <c r="K65" s="355">
        <f>I65*J65</f>
        <v>508.75</v>
      </c>
      <c r="L65" s="179"/>
      <c r="M65" s="579"/>
      <c r="N65" s="580"/>
    </row>
    <row r="66" spans="1:14" s="9" customFormat="1" ht="13.5" thickBot="1">
      <c r="A66" s="86"/>
      <c r="B66" s="31"/>
      <c r="C66" s="597"/>
      <c r="D66" s="598"/>
      <c r="E66" s="598"/>
      <c r="F66" s="599"/>
      <c r="G66" s="167"/>
      <c r="H66" s="598"/>
      <c r="I66" s="598"/>
      <c r="J66" s="598"/>
      <c r="K66" s="599"/>
      <c r="L66" s="31"/>
      <c r="M66" s="86"/>
      <c r="N66" s="202"/>
    </row>
    <row r="67" spans="1:14" s="9" customFormat="1" ht="13.5" thickBot="1">
      <c r="A67" s="94"/>
      <c r="B67" s="148"/>
      <c r="C67" s="203" t="s">
        <v>200</v>
      </c>
      <c r="D67" s="204"/>
      <c r="E67" s="204"/>
      <c r="F67" s="189">
        <f>SUM(F63:F65,F62)</f>
        <v>872.02</v>
      </c>
      <c r="G67" s="206"/>
      <c r="H67" s="604" t="s">
        <v>201</v>
      </c>
      <c r="I67" s="604"/>
      <c r="J67" s="604"/>
      <c r="K67" s="189">
        <f>SUM(K62:K65)</f>
        <v>904.495065414277</v>
      </c>
      <c r="L67" s="207"/>
      <c r="M67" s="190">
        <f>K67-F67</f>
        <v>32.47506541427697</v>
      </c>
      <c r="N67" s="191">
        <f>M67/F67</f>
        <v>0.0372411933376264</v>
      </c>
    </row>
    <row r="68" spans="6:14" s="9" customFormat="1" ht="12.75">
      <c r="F68" s="179"/>
      <c r="K68" s="179"/>
      <c r="L68" s="216"/>
      <c r="M68" s="216"/>
      <c r="N68" s="229"/>
    </row>
    <row r="69" spans="6:14" s="9" customFormat="1" ht="13.5" thickBot="1">
      <c r="F69" s="179"/>
      <c r="K69" s="179"/>
      <c r="L69" s="216"/>
      <c r="M69" s="216"/>
      <c r="N69" s="229"/>
    </row>
    <row r="70" spans="1:14" s="9" customFormat="1" ht="60.75" thickBot="1">
      <c r="A70" s="168" t="s">
        <v>78</v>
      </c>
      <c r="B70" s="169"/>
      <c r="C70" s="569"/>
      <c r="D70" s="581" t="s">
        <v>12</v>
      </c>
      <c r="E70" s="583" t="s">
        <v>79</v>
      </c>
      <c r="F70" s="585" t="s">
        <v>182</v>
      </c>
      <c r="G70" s="166"/>
      <c r="H70" s="170"/>
      <c r="I70" s="581" t="s">
        <v>12</v>
      </c>
      <c r="J70" s="583" t="s">
        <v>79</v>
      </c>
      <c r="K70" s="585" t="s">
        <v>182</v>
      </c>
      <c r="L70" s="169"/>
      <c r="M70" s="600" t="s">
        <v>181</v>
      </c>
      <c r="N70" s="602" t="s">
        <v>80</v>
      </c>
    </row>
    <row r="71" spans="1:14" s="9" customFormat="1" ht="13.5" thickBot="1">
      <c r="A71" s="171">
        <v>15000</v>
      </c>
      <c r="B71" s="31"/>
      <c r="C71" s="570"/>
      <c r="D71" s="582"/>
      <c r="E71" s="584"/>
      <c r="F71" s="586"/>
      <c r="G71" s="167"/>
      <c r="H71" s="31"/>
      <c r="I71" s="587"/>
      <c r="J71" s="588"/>
      <c r="K71" s="586"/>
      <c r="L71" s="32"/>
      <c r="M71" s="601"/>
      <c r="N71" s="603"/>
    </row>
    <row r="72" spans="1:14" s="9" customFormat="1" ht="38.25">
      <c r="A72" s="172"/>
      <c r="B72" s="31"/>
      <c r="C72" s="173" t="s">
        <v>21</v>
      </c>
      <c r="D72" s="174" t="s">
        <v>81</v>
      </c>
      <c r="E72" s="175" t="s">
        <v>81</v>
      </c>
      <c r="F72" s="176">
        <f>F60</f>
        <v>35.02</v>
      </c>
      <c r="G72" s="167"/>
      <c r="H72" s="177" t="s">
        <v>21</v>
      </c>
      <c r="I72" s="178" t="str">
        <f>D72</f>
        <v>N/A</v>
      </c>
      <c r="J72" s="178" t="s">
        <v>81</v>
      </c>
      <c r="K72" s="227">
        <f>$K$25</f>
        <v>32.23453397499679</v>
      </c>
      <c r="L72" s="179"/>
      <c r="M72" s="575"/>
      <c r="N72" s="576"/>
    </row>
    <row r="73" spans="1:14" s="143" customFormat="1" ht="26.25" thickBot="1">
      <c r="A73" s="86"/>
      <c r="B73" s="31"/>
      <c r="C73" s="180" t="s">
        <v>82</v>
      </c>
      <c r="D73" s="181">
        <f>A71</f>
        <v>15000</v>
      </c>
      <c r="E73" s="182">
        <f>E61</f>
        <v>0.0064</v>
      </c>
      <c r="F73" s="183">
        <f>D73*E73</f>
        <v>96</v>
      </c>
      <c r="G73" s="167"/>
      <c r="H73" s="184" t="s">
        <v>82</v>
      </c>
      <c r="I73" s="185">
        <f>D73</f>
        <v>15000</v>
      </c>
      <c r="J73" s="431">
        <f>$J$26</f>
        <v>0.009926053143928023</v>
      </c>
      <c r="K73" s="186">
        <f>I73*J73</f>
        <v>148.89079715892035</v>
      </c>
      <c r="L73" s="179"/>
      <c r="M73" s="577"/>
      <c r="N73" s="578"/>
    </row>
    <row r="74" spans="1:14" s="143" customFormat="1" ht="13.5" thickBot="1">
      <c r="A74" s="86"/>
      <c r="B74" s="31"/>
      <c r="C74" s="605"/>
      <c r="D74" s="607"/>
      <c r="E74" s="187" t="s">
        <v>52</v>
      </c>
      <c r="F74" s="188">
        <f>SUM(F72:F73)</f>
        <v>131.02</v>
      </c>
      <c r="G74" s="167"/>
      <c r="H74" s="595"/>
      <c r="I74" s="596"/>
      <c r="J74" s="187" t="s">
        <v>83</v>
      </c>
      <c r="K74" s="189">
        <f>SUM(K72:K73)</f>
        <v>181.12533113391714</v>
      </c>
      <c r="L74" s="179"/>
      <c r="M74" s="190">
        <f>K74-F74</f>
        <v>50.10533113391713</v>
      </c>
      <c r="N74" s="191">
        <f>M74/F74</f>
        <v>0.3824250582652811</v>
      </c>
    </row>
    <row r="75" spans="1:14" s="143" customFormat="1" ht="38.25">
      <c r="A75" s="86"/>
      <c r="B75" s="31"/>
      <c r="C75" s="180" t="s">
        <v>84</v>
      </c>
      <c r="D75" s="181">
        <f>A71</f>
        <v>15000</v>
      </c>
      <c r="E75" s="428">
        <v>0.0229</v>
      </c>
      <c r="F75" s="193">
        <f>D75*E75</f>
        <v>343.5</v>
      </c>
      <c r="G75" s="167"/>
      <c r="H75" s="184" t="s">
        <v>84</v>
      </c>
      <c r="I75" s="235">
        <f>D75</f>
        <v>15000</v>
      </c>
      <c r="J75" s="433">
        <f>E75</f>
        <v>0.0229</v>
      </c>
      <c r="K75" s="195">
        <f>F75</f>
        <v>343.5</v>
      </c>
      <c r="L75" s="179"/>
      <c r="M75" s="575"/>
      <c r="N75" s="576"/>
    </row>
    <row r="76" spans="1:14" s="143" customFormat="1" ht="38.25">
      <c r="A76" s="86"/>
      <c r="B76" s="31"/>
      <c r="C76" s="196" t="s">
        <v>85</v>
      </c>
      <c r="D76" s="181">
        <v>750</v>
      </c>
      <c r="E76" s="429">
        <v>0.047</v>
      </c>
      <c r="F76" s="183">
        <f>D76*E76</f>
        <v>35.25</v>
      </c>
      <c r="G76" s="167"/>
      <c r="H76" s="196" t="s">
        <v>85</v>
      </c>
      <c r="I76" s="235">
        <f>D76</f>
        <v>750</v>
      </c>
      <c r="J76" s="434">
        <v>0.047</v>
      </c>
      <c r="K76" s="352">
        <f>I76*J76</f>
        <v>35.25</v>
      </c>
      <c r="L76" s="179"/>
      <c r="M76" s="579"/>
      <c r="N76" s="580"/>
    </row>
    <row r="77" spans="1:14" s="9" customFormat="1" ht="39" thickBot="1">
      <c r="A77" s="86"/>
      <c r="B77" s="31"/>
      <c r="C77" s="196" t="s">
        <v>85</v>
      </c>
      <c r="D77" s="235">
        <f>A71-D76</f>
        <v>14250</v>
      </c>
      <c r="E77" s="429">
        <v>0.055</v>
      </c>
      <c r="F77" s="183">
        <f>D77*E77</f>
        <v>783.75</v>
      </c>
      <c r="G77" s="167"/>
      <c r="H77" s="353" t="s">
        <v>85</v>
      </c>
      <c r="I77" s="241">
        <f>D77</f>
        <v>14250</v>
      </c>
      <c r="J77" s="435">
        <v>0.055</v>
      </c>
      <c r="K77" s="355">
        <f>I77*J77</f>
        <v>783.75</v>
      </c>
      <c r="L77" s="179"/>
      <c r="M77" s="579"/>
      <c r="N77" s="580"/>
    </row>
    <row r="78" spans="1:15" s="9" customFormat="1" ht="14.25" customHeight="1" thickBot="1">
      <c r="A78" s="86"/>
      <c r="B78" s="31"/>
      <c r="C78" s="597"/>
      <c r="D78" s="598"/>
      <c r="E78" s="598"/>
      <c r="F78" s="598"/>
      <c r="G78" s="167"/>
      <c r="H78" s="598"/>
      <c r="I78" s="598"/>
      <c r="J78" s="598"/>
      <c r="K78" s="599"/>
      <c r="L78" s="31"/>
      <c r="M78" s="86"/>
      <c r="N78" s="202"/>
      <c r="O78" s="31"/>
    </row>
    <row r="79" spans="1:14" s="9" customFormat="1" ht="13.5" customHeight="1" thickBot="1">
      <c r="A79" s="94"/>
      <c r="B79" s="148"/>
      <c r="C79" s="203" t="s">
        <v>200</v>
      </c>
      <c r="D79" s="204"/>
      <c r="E79" s="204"/>
      <c r="F79" s="205">
        <f>SUM(F75:F77,F74)</f>
        <v>1293.52</v>
      </c>
      <c r="G79" s="206"/>
      <c r="H79" s="604" t="s">
        <v>201</v>
      </c>
      <c r="I79" s="604"/>
      <c r="J79" s="604"/>
      <c r="K79" s="189">
        <f>SUM(K74:K77)</f>
        <v>1343.6253311339171</v>
      </c>
      <c r="L79" s="207"/>
      <c r="M79" s="190">
        <f>K79-F79</f>
        <v>50.10533113391716</v>
      </c>
      <c r="N79" s="191">
        <f>M79/F79</f>
        <v>0.03873564470121619</v>
      </c>
    </row>
    <row r="80" spans="6:14" s="9" customFormat="1" ht="12.75">
      <c r="F80" s="179"/>
      <c r="K80" s="179"/>
      <c r="L80" s="216"/>
      <c r="M80" s="216"/>
      <c r="N80" s="229"/>
    </row>
    <row r="81" spans="1:14" s="9" customFormat="1" ht="13.5" thickBot="1">
      <c r="A81" s="148"/>
      <c r="B81" s="148"/>
      <c r="C81" s="148"/>
      <c r="D81" s="148"/>
      <c r="E81" s="148"/>
      <c r="F81" s="148"/>
      <c r="G81" s="148"/>
      <c r="H81" s="148"/>
      <c r="I81" s="148"/>
      <c r="J81" s="148"/>
      <c r="K81" s="230"/>
      <c r="L81" s="148"/>
      <c r="M81" s="148"/>
      <c r="N81" s="231"/>
    </row>
    <row r="82" spans="11:14" s="9" customFormat="1" ht="12.75">
      <c r="K82" s="161"/>
      <c r="N82" s="156"/>
    </row>
    <row r="83" spans="1:14" s="9" customFormat="1" ht="23.25">
      <c r="A83" s="220" t="s">
        <v>26</v>
      </c>
      <c r="B83" s="131"/>
      <c r="F83" s="216"/>
      <c r="J83" s="221"/>
      <c r="K83" s="216"/>
      <c r="L83" s="216"/>
      <c r="M83" s="216"/>
      <c r="N83" s="156"/>
    </row>
    <row r="84" spans="1:14" s="9" customFormat="1" ht="15.75">
      <c r="A84" s="131"/>
      <c r="B84" s="131"/>
      <c r="D84" s="31"/>
      <c r="F84" s="216"/>
      <c r="J84" s="221"/>
      <c r="K84" s="216"/>
      <c r="L84" s="216"/>
      <c r="M84" s="216"/>
      <c r="N84" s="156"/>
    </row>
    <row r="85" spans="1:14" s="9" customFormat="1" ht="15">
      <c r="A85" s="140" t="s">
        <v>93</v>
      </c>
      <c r="B85" s="232"/>
      <c r="C85" s="143"/>
      <c r="D85" s="223"/>
      <c r="E85" s="143"/>
      <c r="F85" s="224"/>
      <c r="G85" s="143"/>
      <c r="H85" s="143"/>
      <c r="I85" s="143"/>
      <c r="J85" s="225"/>
      <c r="K85" s="224"/>
      <c r="L85" s="224"/>
      <c r="M85" s="224"/>
      <c r="N85" s="226"/>
    </row>
    <row r="86" spans="1:14" s="9" customFormat="1" ht="15">
      <c r="A86" s="140" t="s">
        <v>51</v>
      </c>
      <c r="B86" s="232"/>
      <c r="C86" s="143"/>
      <c r="D86" s="223"/>
      <c r="E86" s="143"/>
      <c r="F86" s="224"/>
      <c r="G86" s="143"/>
      <c r="H86" s="143"/>
      <c r="I86" s="143"/>
      <c r="J86" s="225"/>
      <c r="K86" s="224"/>
      <c r="L86" s="224"/>
      <c r="M86" s="224"/>
      <c r="N86" s="226"/>
    </row>
    <row r="87" spans="1:14" s="9" customFormat="1" ht="15">
      <c r="A87" s="140" t="s">
        <v>147</v>
      </c>
      <c r="B87" s="232"/>
      <c r="C87" s="143"/>
      <c r="D87" s="223"/>
      <c r="E87" s="143"/>
      <c r="F87" s="224"/>
      <c r="G87" s="143"/>
      <c r="H87" s="143"/>
      <c r="I87" s="143"/>
      <c r="J87" s="225"/>
      <c r="K87" s="224"/>
      <c r="L87" s="224"/>
      <c r="M87" s="224"/>
      <c r="N87" s="226"/>
    </row>
    <row r="88" spans="1:14" s="9" customFormat="1" ht="8.25" customHeight="1">
      <c r="A88" s="140" t="s">
        <v>146</v>
      </c>
      <c r="B88" s="232"/>
      <c r="C88" s="143"/>
      <c r="D88" s="223"/>
      <c r="E88" s="143"/>
      <c r="F88" s="224"/>
      <c r="G88" s="143"/>
      <c r="H88" s="143"/>
      <c r="I88" s="143"/>
      <c r="J88" s="225"/>
      <c r="K88" s="224"/>
      <c r="L88" s="224"/>
      <c r="M88" s="224"/>
      <c r="N88" s="226"/>
    </row>
    <row r="89" spans="1:14" s="9" customFormat="1" ht="16.5" thickBot="1">
      <c r="A89" s="131"/>
      <c r="B89" s="131"/>
      <c r="D89" s="31"/>
      <c r="F89" s="216"/>
      <c r="J89" s="221"/>
      <c r="K89" s="216"/>
      <c r="L89" s="216"/>
      <c r="M89" s="216"/>
      <c r="N89" s="156"/>
    </row>
    <row r="90" spans="1:14" s="9" customFormat="1" ht="14.25">
      <c r="A90" s="11"/>
      <c r="C90" s="589" t="s">
        <v>95</v>
      </c>
      <c r="D90" s="590"/>
      <c r="E90" s="590"/>
      <c r="F90" s="591"/>
      <c r="G90" s="166"/>
      <c r="H90" s="589" t="s">
        <v>96</v>
      </c>
      <c r="I90" s="590"/>
      <c r="J90" s="590"/>
      <c r="K90" s="590"/>
      <c r="L90" s="590"/>
      <c r="M90" s="590"/>
      <c r="N90" s="591"/>
    </row>
    <row r="91" spans="1:14" s="9" customFormat="1" ht="13.5" thickBot="1">
      <c r="A91"/>
      <c r="C91" s="592"/>
      <c r="D91" s="593"/>
      <c r="E91" s="593"/>
      <c r="F91" s="594"/>
      <c r="G91" s="167"/>
      <c r="H91" s="592"/>
      <c r="I91" s="593"/>
      <c r="J91" s="593"/>
      <c r="K91" s="593"/>
      <c r="L91" s="593"/>
      <c r="M91" s="593"/>
      <c r="N91" s="594"/>
    </row>
    <row r="92" spans="1:14" s="9" customFormat="1" ht="60">
      <c r="A92" s="168" t="s">
        <v>19</v>
      </c>
      <c r="B92" s="169"/>
      <c r="C92" s="569"/>
      <c r="D92" s="581" t="s">
        <v>86</v>
      </c>
      <c r="E92" s="583" t="s">
        <v>87</v>
      </c>
      <c r="F92" s="585" t="s">
        <v>182</v>
      </c>
      <c r="G92" s="166"/>
      <c r="H92" s="170"/>
      <c r="I92" s="581" t="s">
        <v>86</v>
      </c>
      <c r="J92" s="583" t="s">
        <v>87</v>
      </c>
      <c r="K92" s="585" t="s">
        <v>182</v>
      </c>
      <c r="L92" s="169"/>
      <c r="M92" s="600" t="s">
        <v>181</v>
      </c>
      <c r="N92" s="602" t="s">
        <v>80</v>
      </c>
    </row>
    <row r="93" spans="1:14" s="9" customFormat="1" ht="13.5" thickBot="1">
      <c r="A93" s="12" t="s">
        <v>11</v>
      </c>
      <c r="B93" s="31"/>
      <c r="C93" s="570"/>
      <c r="D93" s="582"/>
      <c r="E93" s="584"/>
      <c r="F93" s="586"/>
      <c r="G93" s="167"/>
      <c r="H93" s="31"/>
      <c r="I93" s="582"/>
      <c r="J93" s="584"/>
      <c r="K93" s="586"/>
      <c r="L93" s="32"/>
      <c r="M93" s="601"/>
      <c r="N93" s="603"/>
    </row>
    <row r="94" spans="1:14" s="9" customFormat="1" ht="39" thickBot="1">
      <c r="A94" s="233">
        <v>60</v>
      </c>
      <c r="B94" s="31"/>
      <c r="C94" s="173" t="s">
        <v>21</v>
      </c>
      <c r="D94" s="174" t="s">
        <v>81</v>
      </c>
      <c r="E94" s="175" t="s">
        <v>81</v>
      </c>
      <c r="F94" s="176">
        <f>+'12. Current Rates'!D102</f>
        <v>152.96</v>
      </c>
      <c r="G94" s="167"/>
      <c r="H94" s="177" t="s">
        <v>21</v>
      </c>
      <c r="I94" s="174" t="str">
        <f>D94</f>
        <v>N/A</v>
      </c>
      <c r="J94" s="174" t="s">
        <v>81</v>
      </c>
      <c r="K94" s="234">
        <f>+'11. 2005 Final Rate Schedule '!F109</f>
        <v>133.85747626351818</v>
      </c>
      <c r="L94" s="179"/>
      <c r="M94" s="575"/>
      <c r="N94" s="576"/>
    </row>
    <row r="95" spans="1:14" s="9" customFormat="1" ht="26.25" thickBot="1">
      <c r="A95" s="12" t="s">
        <v>12</v>
      </c>
      <c r="B95" s="31"/>
      <c r="C95" s="180" t="s">
        <v>88</v>
      </c>
      <c r="D95" s="235">
        <f>A94</f>
        <v>60</v>
      </c>
      <c r="E95" s="182">
        <f>+'12. Current Rates'!D100</f>
        <v>1.09</v>
      </c>
      <c r="F95" s="183">
        <f>D95*E95</f>
        <v>65.4</v>
      </c>
      <c r="G95" s="167"/>
      <c r="H95" s="184" t="s">
        <v>88</v>
      </c>
      <c r="I95" s="185">
        <f>D95</f>
        <v>60</v>
      </c>
      <c r="J95" s="382">
        <f>+'11. 2005 Final Rate Schedule '!F110</f>
        <v>1.3814619766671221</v>
      </c>
      <c r="K95" s="237">
        <f>I95*J95</f>
        <v>82.88771860002733</v>
      </c>
      <c r="L95" s="179"/>
      <c r="M95" s="577"/>
      <c r="N95" s="578"/>
    </row>
    <row r="96" spans="1:14" s="9" customFormat="1" ht="13.5" thickBot="1">
      <c r="A96" s="233">
        <v>15000</v>
      </c>
      <c r="B96" s="31"/>
      <c r="C96" s="605"/>
      <c r="D96" s="607"/>
      <c r="E96" s="187" t="s">
        <v>52</v>
      </c>
      <c r="F96" s="188">
        <f>SUM(F94:F95)</f>
        <v>218.36</v>
      </c>
      <c r="G96" s="167"/>
      <c r="H96" s="595"/>
      <c r="I96" s="596"/>
      <c r="J96" s="187" t="s">
        <v>83</v>
      </c>
      <c r="K96" s="189">
        <f>SUM(K94:K95)</f>
        <v>216.74519486354552</v>
      </c>
      <c r="L96" s="179"/>
      <c r="M96" s="190">
        <f>K96-F96</f>
        <v>-1.6148051364544926</v>
      </c>
      <c r="N96" s="191">
        <f>M96/F96</f>
        <v>-0.007395150835567377</v>
      </c>
    </row>
    <row r="97" spans="1:14" s="9" customFormat="1" ht="38.25">
      <c r="A97" s="86"/>
      <c r="B97" s="31"/>
      <c r="C97" s="180" t="s">
        <v>89</v>
      </c>
      <c r="D97" s="235">
        <f>A94</f>
        <v>60</v>
      </c>
      <c r="E97" s="428">
        <v>3.91</v>
      </c>
      <c r="F97" s="193">
        <f>D97*E97</f>
        <v>234.60000000000002</v>
      </c>
      <c r="G97" s="167"/>
      <c r="H97" s="184" t="s">
        <v>89</v>
      </c>
      <c r="I97" s="261">
        <f aca="true" t="shared" si="1" ref="I97:K98">D97</f>
        <v>60</v>
      </c>
      <c r="J97" s="436">
        <f t="shared" si="1"/>
        <v>3.91</v>
      </c>
      <c r="K97" s="239">
        <f t="shared" si="1"/>
        <v>234.60000000000002</v>
      </c>
      <c r="L97" s="179"/>
      <c r="M97" s="240"/>
      <c r="N97" s="259"/>
    </row>
    <row r="98" spans="1:14" s="9" customFormat="1" ht="38.25">
      <c r="A98" s="86"/>
      <c r="B98" s="31"/>
      <c r="C98" s="180" t="s">
        <v>84</v>
      </c>
      <c r="D98" s="235">
        <f>A96</f>
        <v>15000</v>
      </c>
      <c r="E98" s="428">
        <v>0.0132</v>
      </c>
      <c r="F98" s="193">
        <f>D98*E98</f>
        <v>198</v>
      </c>
      <c r="G98" s="167"/>
      <c r="H98" s="184" t="s">
        <v>84</v>
      </c>
      <c r="I98" s="235">
        <f t="shared" si="1"/>
        <v>15000</v>
      </c>
      <c r="J98" s="436">
        <f t="shared" si="1"/>
        <v>0.0132</v>
      </c>
      <c r="K98" s="239">
        <f t="shared" si="1"/>
        <v>198</v>
      </c>
      <c r="L98" s="179"/>
      <c r="M98" s="579"/>
      <c r="N98" s="580"/>
    </row>
    <row r="99" spans="1:14" s="9" customFormat="1" ht="39" thickBot="1">
      <c r="A99" s="86"/>
      <c r="B99" s="31"/>
      <c r="C99" s="196" t="s">
        <v>85</v>
      </c>
      <c r="D99" s="181">
        <v>750</v>
      </c>
      <c r="E99" s="429">
        <v>0.055</v>
      </c>
      <c r="F99" s="183">
        <f>D99*E99</f>
        <v>41.25</v>
      </c>
      <c r="G99" s="167"/>
      <c r="H99" s="196" t="s">
        <v>85</v>
      </c>
      <c r="I99" s="241">
        <f>D99</f>
        <v>750</v>
      </c>
      <c r="J99" s="429">
        <f>E99</f>
        <v>0.055</v>
      </c>
      <c r="K99" s="352">
        <f>I99*J99</f>
        <v>41.25</v>
      </c>
      <c r="L99" s="179"/>
      <c r="M99" s="579"/>
      <c r="N99" s="580"/>
    </row>
    <row r="100" spans="1:14" s="9" customFormat="1" ht="8.25" customHeight="1" thickBot="1">
      <c r="A100" s="86"/>
      <c r="B100" s="31"/>
      <c r="C100" s="597"/>
      <c r="D100" s="598"/>
      <c r="E100" s="598"/>
      <c r="F100" s="598"/>
      <c r="G100" s="167"/>
      <c r="H100" s="598"/>
      <c r="I100" s="598"/>
      <c r="J100" s="598"/>
      <c r="K100" s="599"/>
      <c r="L100" s="31"/>
      <c r="M100" s="86"/>
      <c r="N100" s="202"/>
    </row>
    <row r="101" spans="1:14" s="9" customFormat="1" ht="13.5" thickBot="1">
      <c r="A101" s="94"/>
      <c r="B101" s="148"/>
      <c r="C101" s="203" t="s">
        <v>200</v>
      </c>
      <c r="D101" s="204"/>
      <c r="E101" s="204"/>
      <c r="F101" s="205">
        <f>SUM(F97:F99)+F96</f>
        <v>692.21</v>
      </c>
      <c r="G101" s="206"/>
      <c r="H101" s="604" t="s">
        <v>201</v>
      </c>
      <c r="I101" s="604"/>
      <c r="J101" s="604"/>
      <c r="K101" s="189">
        <f>SUM(K97:K99)+K96</f>
        <v>690.5951948635455</v>
      </c>
      <c r="L101" s="207"/>
      <c r="M101" s="190">
        <f>K101-F101</f>
        <v>-1.6148051364544926</v>
      </c>
      <c r="N101" s="191">
        <f>M101/F101</f>
        <v>-0.002332825495809787</v>
      </c>
    </row>
    <row r="102" spans="6:14" s="9" customFormat="1" ht="12" customHeight="1">
      <c r="F102" s="179"/>
      <c r="K102" s="179"/>
      <c r="L102" s="216"/>
      <c r="M102" s="216"/>
      <c r="N102" s="229"/>
    </row>
    <row r="103" spans="6:14" s="9" customFormat="1" ht="13.5" thickBot="1">
      <c r="F103" s="179"/>
      <c r="K103" s="179"/>
      <c r="L103" s="216"/>
      <c r="M103" s="216"/>
      <c r="N103" s="229"/>
    </row>
    <row r="104" spans="1:14" s="9" customFormat="1" ht="60">
      <c r="A104" s="168" t="s">
        <v>19</v>
      </c>
      <c r="B104" s="169"/>
      <c r="C104" s="569"/>
      <c r="D104" s="581" t="s">
        <v>86</v>
      </c>
      <c r="E104" s="583" t="s">
        <v>87</v>
      </c>
      <c r="F104" s="585" t="s">
        <v>182</v>
      </c>
      <c r="G104" s="166"/>
      <c r="H104" s="170"/>
      <c r="I104" s="581" t="s">
        <v>86</v>
      </c>
      <c r="J104" s="583" t="s">
        <v>87</v>
      </c>
      <c r="K104" s="585" t="s">
        <v>182</v>
      </c>
      <c r="L104" s="169"/>
      <c r="M104" s="600" t="s">
        <v>181</v>
      </c>
      <c r="N104" s="602" t="s">
        <v>80</v>
      </c>
    </row>
    <row r="105" spans="1:14" s="9" customFormat="1" ht="13.5" thickBot="1">
      <c r="A105" s="12" t="s">
        <v>11</v>
      </c>
      <c r="B105" s="31"/>
      <c r="C105" s="570"/>
      <c r="D105" s="582"/>
      <c r="E105" s="584"/>
      <c r="F105" s="586"/>
      <c r="G105" s="167"/>
      <c r="H105" s="31"/>
      <c r="I105" s="582"/>
      <c r="J105" s="584"/>
      <c r="K105" s="586"/>
      <c r="L105" s="32"/>
      <c r="M105" s="601"/>
      <c r="N105" s="603"/>
    </row>
    <row r="106" spans="1:14" s="9" customFormat="1" ht="39" thickBot="1">
      <c r="A106" s="233">
        <v>100</v>
      </c>
      <c r="B106" s="31"/>
      <c r="C106" s="173" t="s">
        <v>21</v>
      </c>
      <c r="D106" s="174" t="s">
        <v>81</v>
      </c>
      <c r="E106" s="175" t="s">
        <v>81</v>
      </c>
      <c r="F106" s="176">
        <f>+F94</f>
        <v>152.96</v>
      </c>
      <c r="G106" s="167"/>
      <c r="H106" s="177" t="s">
        <v>21</v>
      </c>
      <c r="I106" s="174" t="str">
        <f>D106</f>
        <v>N/A</v>
      </c>
      <c r="J106" s="174" t="s">
        <v>81</v>
      </c>
      <c r="K106" s="234">
        <f>'11. 2005 Final Rate Schedule '!$F$31</f>
        <v>133.85747626351818</v>
      </c>
      <c r="L106" s="179"/>
      <c r="M106" s="575"/>
      <c r="N106" s="576"/>
    </row>
    <row r="107" spans="1:14" s="9" customFormat="1" ht="26.25" thickBot="1">
      <c r="A107" s="12" t="s">
        <v>12</v>
      </c>
      <c r="B107" s="31"/>
      <c r="C107" s="180" t="s">
        <v>88</v>
      </c>
      <c r="D107" s="235">
        <f>A106</f>
        <v>100</v>
      </c>
      <c r="E107" s="182">
        <f>+E95</f>
        <v>1.09</v>
      </c>
      <c r="F107" s="183">
        <f>D107*E107</f>
        <v>109.00000000000001</v>
      </c>
      <c r="G107" s="167"/>
      <c r="H107" s="184" t="s">
        <v>88</v>
      </c>
      <c r="I107" s="185">
        <f>D107</f>
        <v>100</v>
      </c>
      <c r="J107" s="382">
        <f>'11. 2005 Final Rate Schedule '!$F$32</f>
        <v>1.3814619766671221</v>
      </c>
      <c r="K107" s="237">
        <f>I107*J107</f>
        <v>138.14619766671223</v>
      </c>
      <c r="L107" s="179"/>
      <c r="M107" s="577"/>
      <c r="N107" s="578"/>
    </row>
    <row r="108" spans="1:14" s="9" customFormat="1" ht="13.5" thickBot="1">
      <c r="A108" s="233">
        <v>40000</v>
      </c>
      <c r="B108" s="31"/>
      <c r="C108" s="605"/>
      <c r="D108" s="607"/>
      <c r="E108" s="187" t="s">
        <v>52</v>
      </c>
      <c r="F108" s="188">
        <f>SUM(F106:F107)</f>
        <v>261.96000000000004</v>
      </c>
      <c r="G108" s="167"/>
      <c r="H108" s="595"/>
      <c r="I108" s="596"/>
      <c r="J108" s="187" t="s">
        <v>83</v>
      </c>
      <c r="K108" s="189">
        <f>SUM(K106:K107)</f>
        <v>272.00367393023043</v>
      </c>
      <c r="L108" s="179"/>
      <c r="M108" s="190">
        <f>K108-F108</f>
        <v>10.043673930230398</v>
      </c>
      <c r="N108" s="191">
        <f>M108/F108</f>
        <v>0.0383404868309299</v>
      </c>
    </row>
    <row r="109" spans="1:14" s="9" customFormat="1" ht="38.25">
      <c r="A109" s="86"/>
      <c r="B109" s="31"/>
      <c r="C109" s="180" t="s">
        <v>89</v>
      </c>
      <c r="D109" s="235">
        <f>A106</f>
        <v>100</v>
      </c>
      <c r="E109" s="428">
        <v>3.91</v>
      </c>
      <c r="F109" s="193">
        <f>D109*E109</f>
        <v>391</v>
      </c>
      <c r="G109" s="167"/>
      <c r="H109" s="184" t="s">
        <v>89</v>
      </c>
      <c r="I109" s="261">
        <f aca="true" t="shared" si="2" ref="I109:K110">D109</f>
        <v>100</v>
      </c>
      <c r="J109" s="436">
        <f t="shared" si="2"/>
        <v>3.91</v>
      </c>
      <c r="K109" s="239">
        <f t="shared" si="2"/>
        <v>391</v>
      </c>
      <c r="L109" s="179"/>
      <c r="M109" s="240"/>
      <c r="N109" s="259"/>
    </row>
    <row r="110" spans="1:14" s="9" customFormat="1" ht="38.25">
      <c r="A110" s="86"/>
      <c r="B110" s="31"/>
      <c r="C110" s="180" t="s">
        <v>84</v>
      </c>
      <c r="D110" s="235">
        <f>A108</f>
        <v>40000</v>
      </c>
      <c r="E110" s="428">
        <v>0.0132</v>
      </c>
      <c r="F110" s="193">
        <f>D110*E110</f>
        <v>528</v>
      </c>
      <c r="G110" s="167"/>
      <c r="H110" s="184" t="s">
        <v>84</v>
      </c>
      <c r="I110" s="235">
        <f t="shared" si="2"/>
        <v>40000</v>
      </c>
      <c r="J110" s="436">
        <f t="shared" si="2"/>
        <v>0.0132</v>
      </c>
      <c r="K110" s="239">
        <f t="shared" si="2"/>
        <v>528</v>
      </c>
      <c r="L110" s="179"/>
      <c r="M110" s="579"/>
      <c r="N110" s="580"/>
    </row>
    <row r="111" spans="1:14" s="9" customFormat="1" ht="39" thickBot="1">
      <c r="A111" s="86"/>
      <c r="B111" s="31"/>
      <c r="C111" s="196" t="s">
        <v>85</v>
      </c>
      <c r="D111" s="235">
        <f>A108</f>
        <v>40000</v>
      </c>
      <c r="E111" s="429">
        <v>0.055</v>
      </c>
      <c r="F111" s="183">
        <f>D111*E111</f>
        <v>2200</v>
      </c>
      <c r="G111" s="167"/>
      <c r="H111" s="196" t="s">
        <v>85</v>
      </c>
      <c r="I111" s="241">
        <f>D111</f>
        <v>40000</v>
      </c>
      <c r="J111" s="437">
        <v>0.055</v>
      </c>
      <c r="K111" s="243">
        <f>F111</f>
        <v>2200</v>
      </c>
      <c r="L111" s="179"/>
      <c r="M111" s="579"/>
      <c r="N111" s="580"/>
    </row>
    <row r="112" spans="1:14" s="9" customFormat="1" ht="8.25" customHeight="1" thickBot="1">
      <c r="A112" s="86"/>
      <c r="B112" s="31"/>
      <c r="C112" s="597"/>
      <c r="D112" s="598"/>
      <c r="E112" s="598"/>
      <c r="F112" s="598"/>
      <c r="G112" s="167"/>
      <c r="H112" s="598"/>
      <c r="I112" s="598"/>
      <c r="J112" s="598"/>
      <c r="K112" s="599"/>
      <c r="L112" s="31"/>
      <c r="M112" s="86"/>
      <c r="N112" s="202"/>
    </row>
    <row r="113" spans="1:14" s="9" customFormat="1" ht="13.5" thickBot="1">
      <c r="A113" s="94"/>
      <c r="B113" s="148"/>
      <c r="C113" s="203" t="s">
        <v>200</v>
      </c>
      <c r="D113" s="204"/>
      <c r="E113" s="204"/>
      <c r="F113" s="205">
        <f>SUM(F109:F111)+F108</f>
        <v>3380.96</v>
      </c>
      <c r="G113" s="206"/>
      <c r="H113" s="604" t="s">
        <v>201</v>
      </c>
      <c r="I113" s="604"/>
      <c r="J113" s="604"/>
      <c r="K113" s="189">
        <f>SUM(K109:K111)+K108</f>
        <v>3391.0036739302304</v>
      </c>
      <c r="L113" s="207"/>
      <c r="M113" s="190">
        <f>K113-F113</f>
        <v>10.043673930230398</v>
      </c>
      <c r="N113" s="191">
        <f>M113/F113</f>
        <v>0.0029706574257697214</v>
      </c>
    </row>
    <row r="114" spans="1:14" s="9" customFormat="1" ht="15.75">
      <c r="A114" s="131"/>
      <c r="B114" s="131"/>
      <c r="F114" s="216"/>
      <c r="J114" s="221"/>
      <c r="K114" s="216"/>
      <c r="L114" s="216"/>
      <c r="M114" s="216"/>
      <c r="N114" s="156"/>
    </row>
    <row r="115" spans="6:14" s="9" customFormat="1" ht="13.5" thickBot="1">
      <c r="F115" s="216"/>
      <c r="J115" s="221"/>
      <c r="K115" s="216"/>
      <c r="L115" s="216"/>
      <c r="M115" s="216"/>
      <c r="N115" s="156"/>
    </row>
    <row r="116" spans="1:14" s="9" customFormat="1" ht="60">
      <c r="A116" s="168" t="s">
        <v>19</v>
      </c>
      <c r="B116" s="169"/>
      <c r="C116" s="569"/>
      <c r="D116" s="581" t="s">
        <v>86</v>
      </c>
      <c r="E116" s="583" t="s">
        <v>87</v>
      </c>
      <c r="F116" s="585" t="s">
        <v>182</v>
      </c>
      <c r="G116" s="166"/>
      <c r="H116" s="170"/>
      <c r="I116" s="581" t="s">
        <v>86</v>
      </c>
      <c r="J116" s="583" t="s">
        <v>87</v>
      </c>
      <c r="K116" s="585" t="s">
        <v>182</v>
      </c>
      <c r="L116" s="169"/>
      <c r="M116" s="600" t="s">
        <v>181</v>
      </c>
      <c r="N116" s="602" t="s">
        <v>80</v>
      </c>
    </row>
    <row r="117" spans="1:14" s="9" customFormat="1" ht="13.5" thickBot="1">
      <c r="A117" s="12" t="s">
        <v>11</v>
      </c>
      <c r="B117" s="31"/>
      <c r="C117" s="570"/>
      <c r="D117" s="582"/>
      <c r="E117" s="584"/>
      <c r="F117" s="586"/>
      <c r="G117" s="167"/>
      <c r="H117" s="31"/>
      <c r="I117" s="582"/>
      <c r="J117" s="584"/>
      <c r="K117" s="586"/>
      <c r="L117" s="32"/>
      <c r="M117" s="601"/>
      <c r="N117" s="603"/>
    </row>
    <row r="118" spans="1:14" s="9" customFormat="1" ht="39" thickBot="1">
      <c r="A118" s="233">
        <v>500</v>
      </c>
      <c r="B118" s="31"/>
      <c r="C118" s="173" t="s">
        <v>21</v>
      </c>
      <c r="D118" s="174" t="s">
        <v>81</v>
      </c>
      <c r="E118" s="175" t="s">
        <v>81</v>
      </c>
      <c r="F118" s="176">
        <f>+F106</f>
        <v>152.96</v>
      </c>
      <c r="G118" s="167"/>
      <c r="H118" s="177" t="s">
        <v>21</v>
      </c>
      <c r="I118" s="174" t="str">
        <f>D118</f>
        <v>N/A</v>
      </c>
      <c r="J118" s="174" t="s">
        <v>81</v>
      </c>
      <c r="K118" s="234">
        <f>'11. 2005 Final Rate Schedule '!$F$31</f>
        <v>133.85747626351818</v>
      </c>
      <c r="L118" s="179"/>
      <c r="M118" s="575"/>
      <c r="N118" s="576"/>
    </row>
    <row r="119" spans="1:14" s="9" customFormat="1" ht="26.25" thickBot="1">
      <c r="A119" s="12" t="s">
        <v>12</v>
      </c>
      <c r="B119" s="31"/>
      <c r="C119" s="180" t="s">
        <v>88</v>
      </c>
      <c r="D119" s="235">
        <f>A118</f>
        <v>500</v>
      </c>
      <c r="E119" s="182">
        <f>+E107</f>
        <v>1.09</v>
      </c>
      <c r="F119" s="183">
        <f>D119*E119</f>
        <v>545</v>
      </c>
      <c r="G119" s="167"/>
      <c r="H119" s="184" t="s">
        <v>88</v>
      </c>
      <c r="I119" s="185">
        <f>D119</f>
        <v>500</v>
      </c>
      <c r="J119" s="382">
        <f>'11. 2005 Final Rate Schedule '!$F$32</f>
        <v>1.3814619766671221</v>
      </c>
      <c r="K119" s="237">
        <f>I119*J119</f>
        <v>690.7309883335611</v>
      </c>
      <c r="L119" s="179"/>
      <c r="M119" s="577"/>
      <c r="N119" s="578"/>
    </row>
    <row r="120" spans="1:14" s="9" customFormat="1" ht="13.5" thickBot="1">
      <c r="A120" s="233">
        <v>100000</v>
      </c>
      <c r="B120" s="31"/>
      <c r="C120" s="605"/>
      <c r="D120" s="607"/>
      <c r="E120" s="187" t="s">
        <v>52</v>
      </c>
      <c r="F120" s="188">
        <f>SUM(F118:F119)</f>
        <v>697.96</v>
      </c>
      <c r="G120" s="167"/>
      <c r="H120" s="595"/>
      <c r="I120" s="596"/>
      <c r="J120" s="187" t="s">
        <v>83</v>
      </c>
      <c r="K120" s="189">
        <f>SUM(K118:K119)</f>
        <v>824.5884645970792</v>
      </c>
      <c r="L120" s="179"/>
      <c r="M120" s="190">
        <f>K120-F120</f>
        <v>126.62846459707919</v>
      </c>
      <c r="N120" s="191">
        <f>M120/F120</f>
        <v>0.18142653532735284</v>
      </c>
    </row>
    <row r="121" spans="1:14" s="9" customFormat="1" ht="38.25">
      <c r="A121" s="86"/>
      <c r="B121" s="31"/>
      <c r="C121" s="180" t="s">
        <v>89</v>
      </c>
      <c r="D121" s="235">
        <f>A118</f>
        <v>500</v>
      </c>
      <c r="E121" s="428">
        <v>3.91</v>
      </c>
      <c r="F121" s="193">
        <f>D121*E121</f>
        <v>1955</v>
      </c>
      <c r="G121" s="167"/>
      <c r="H121" s="184" t="s">
        <v>89</v>
      </c>
      <c r="I121" s="261">
        <f aca="true" t="shared" si="3" ref="I121:K123">D121</f>
        <v>500</v>
      </c>
      <c r="J121" s="436">
        <f t="shared" si="3"/>
        <v>3.91</v>
      </c>
      <c r="K121" s="239">
        <f t="shared" si="3"/>
        <v>1955</v>
      </c>
      <c r="L121" s="179"/>
      <c r="M121" s="240"/>
      <c r="N121" s="259"/>
    </row>
    <row r="122" spans="1:14" s="9" customFormat="1" ht="38.25">
      <c r="A122" s="86"/>
      <c r="B122" s="31"/>
      <c r="C122" s="180" t="s">
        <v>84</v>
      </c>
      <c r="D122" s="235">
        <f>A120</f>
        <v>100000</v>
      </c>
      <c r="E122" s="428">
        <v>0.0132</v>
      </c>
      <c r="F122" s="193">
        <f>D122*E122</f>
        <v>1320</v>
      </c>
      <c r="G122" s="167"/>
      <c r="H122" s="184" t="s">
        <v>84</v>
      </c>
      <c r="I122" s="235">
        <f t="shared" si="3"/>
        <v>100000</v>
      </c>
      <c r="J122" s="436">
        <f t="shared" si="3"/>
        <v>0.0132</v>
      </c>
      <c r="K122" s="239">
        <f t="shared" si="3"/>
        <v>1320</v>
      </c>
      <c r="L122" s="179"/>
      <c r="M122" s="579"/>
      <c r="N122" s="580"/>
    </row>
    <row r="123" spans="1:14" s="9" customFormat="1" ht="39" thickBot="1">
      <c r="A123" s="86"/>
      <c r="B123" s="31"/>
      <c r="C123" s="196" t="s">
        <v>85</v>
      </c>
      <c r="D123" s="235">
        <f>A120</f>
        <v>100000</v>
      </c>
      <c r="E123" s="429">
        <v>0.055</v>
      </c>
      <c r="F123" s="183">
        <f>D123*E123</f>
        <v>5500</v>
      </c>
      <c r="G123" s="167"/>
      <c r="H123" s="196" t="s">
        <v>85</v>
      </c>
      <c r="I123" s="241">
        <f t="shared" si="3"/>
        <v>100000</v>
      </c>
      <c r="J123" s="437">
        <f t="shared" si="3"/>
        <v>0.055</v>
      </c>
      <c r="K123" s="243">
        <f t="shared" si="3"/>
        <v>5500</v>
      </c>
      <c r="L123" s="179"/>
      <c r="M123" s="579"/>
      <c r="N123" s="580"/>
    </row>
    <row r="124" spans="1:14" s="9" customFormat="1" ht="8.25" customHeight="1" thickBot="1">
      <c r="A124" s="86"/>
      <c r="B124" s="31"/>
      <c r="C124" s="597"/>
      <c r="D124" s="598"/>
      <c r="E124" s="598"/>
      <c r="F124" s="598"/>
      <c r="G124" s="167"/>
      <c r="H124" s="598"/>
      <c r="I124" s="598"/>
      <c r="J124" s="598"/>
      <c r="K124" s="599"/>
      <c r="L124" s="31"/>
      <c r="M124" s="86"/>
      <c r="N124" s="202"/>
    </row>
    <row r="125" spans="1:14" s="9" customFormat="1" ht="13.5" thickBot="1">
      <c r="A125" s="94"/>
      <c r="B125" s="148"/>
      <c r="C125" s="203" t="s">
        <v>200</v>
      </c>
      <c r="D125" s="204"/>
      <c r="E125" s="204"/>
      <c r="F125" s="205">
        <f>SUM(F121:F123)+F120</f>
        <v>9472.96</v>
      </c>
      <c r="G125" s="206"/>
      <c r="H125" s="604" t="s">
        <v>201</v>
      </c>
      <c r="I125" s="604"/>
      <c r="J125" s="604"/>
      <c r="K125" s="189">
        <f>SUM(K121:K123)+K120</f>
        <v>9599.58846459708</v>
      </c>
      <c r="L125" s="207"/>
      <c r="M125" s="190">
        <f>K125-F125</f>
        <v>126.62846459708089</v>
      </c>
      <c r="N125" s="191">
        <f>M125/F125</f>
        <v>0.013367359790084715</v>
      </c>
    </row>
    <row r="126" spans="11:14" s="9" customFormat="1" ht="12.75">
      <c r="K126" s="161"/>
      <c r="N126" s="156"/>
    </row>
    <row r="127" spans="6:14" s="9" customFormat="1" ht="13.5" thickBot="1">
      <c r="F127" s="216"/>
      <c r="J127" s="221"/>
      <c r="K127" s="216"/>
      <c r="L127" s="216"/>
      <c r="M127" s="216"/>
      <c r="N127" s="156"/>
    </row>
    <row r="128" spans="1:14" s="9" customFormat="1" ht="60">
      <c r="A128" s="168" t="s">
        <v>19</v>
      </c>
      <c r="B128" s="169"/>
      <c r="C128" s="569"/>
      <c r="D128" s="581" t="s">
        <v>86</v>
      </c>
      <c r="E128" s="583" t="s">
        <v>87</v>
      </c>
      <c r="F128" s="585" t="s">
        <v>182</v>
      </c>
      <c r="G128" s="166"/>
      <c r="H128" s="170"/>
      <c r="I128" s="581" t="s">
        <v>86</v>
      </c>
      <c r="J128" s="583" t="s">
        <v>87</v>
      </c>
      <c r="K128" s="585" t="s">
        <v>182</v>
      </c>
      <c r="L128" s="169"/>
      <c r="M128" s="600" t="s">
        <v>181</v>
      </c>
      <c r="N128" s="602" t="s">
        <v>80</v>
      </c>
    </row>
    <row r="129" spans="1:14" s="9" customFormat="1" ht="13.5" thickBot="1">
      <c r="A129" s="12" t="s">
        <v>11</v>
      </c>
      <c r="B129" s="31"/>
      <c r="C129" s="570"/>
      <c r="D129" s="582"/>
      <c r="E129" s="584"/>
      <c r="F129" s="586"/>
      <c r="G129" s="167"/>
      <c r="H129" s="31"/>
      <c r="I129" s="582"/>
      <c r="J129" s="584"/>
      <c r="K129" s="586"/>
      <c r="L129" s="32"/>
      <c r="M129" s="601"/>
      <c r="N129" s="603"/>
    </row>
    <row r="130" spans="1:14" s="9" customFormat="1" ht="39" thickBot="1">
      <c r="A130" s="233">
        <v>1000</v>
      </c>
      <c r="B130" s="31"/>
      <c r="C130" s="173" t="s">
        <v>21</v>
      </c>
      <c r="D130" s="174" t="s">
        <v>81</v>
      </c>
      <c r="E130" s="175" t="s">
        <v>81</v>
      </c>
      <c r="F130" s="176">
        <f>+F118</f>
        <v>152.96</v>
      </c>
      <c r="G130" s="167"/>
      <c r="H130" s="177" t="s">
        <v>21</v>
      </c>
      <c r="I130" s="174" t="str">
        <f>D130</f>
        <v>N/A</v>
      </c>
      <c r="J130" s="174" t="s">
        <v>81</v>
      </c>
      <c r="K130" s="234">
        <f>'11. 2005 Final Rate Schedule '!$F$31</f>
        <v>133.85747626351818</v>
      </c>
      <c r="L130" s="179"/>
      <c r="M130" s="575"/>
      <c r="N130" s="576"/>
    </row>
    <row r="131" spans="1:14" s="9" customFormat="1" ht="26.25" thickBot="1">
      <c r="A131" s="12" t="s">
        <v>12</v>
      </c>
      <c r="B131" s="31"/>
      <c r="C131" s="180" t="s">
        <v>88</v>
      </c>
      <c r="D131" s="235">
        <f>A130</f>
        <v>1000</v>
      </c>
      <c r="E131" s="182">
        <f>+E119</f>
        <v>1.09</v>
      </c>
      <c r="F131" s="183">
        <f>D131*E131</f>
        <v>1090</v>
      </c>
      <c r="G131" s="167"/>
      <c r="H131" s="184" t="s">
        <v>88</v>
      </c>
      <c r="I131" s="185">
        <f>D131</f>
        <v>1000</v>
      </c>
      <c r="J131" s="236">
        <f>'11. 2005 Final Rate Schedule '!$F$32</f>
        <v>1.3814619766671221</v>
      </c>
      <c r="K131" s="237">
        <f>I131*J131</f>
        <v>1381.4619766671221</v>
      </c>
      <c r="L131" s="179"/>
      <c r="M131" s="577"/>
      <c r="N131" s="578"/>
    </row>
    <row r="132" spans="1:14" s="9" customFormat="1" ht="13.5" thickBot="1">
      <c r="A132" s="233">
        <v>400000</v>
      </c>
      <c r="B132" s="31"/>
      <c r="C132" s="605"/>
      <c r="D132" s="607"/>
      <c r="E132" s="187" t="s">
        <v>52</v>
      </c>
      <c r="F132" s="188">
        <f>SUM(F130:F131)</f>
        <v>1242.96</v>
      </c>
      <c r="G132" s="167"/>
      <c r="H132" s="595"/>
      <c r="I132" s="596"/>
      <c r="J132" s="187" t="s">
        <v>83</v>
      </c>
      <c r="K132" s="189">
        <f>SUM(K130:K131)</f>
        <v>1515.3194529306404</v>
      </c>
      <c r="L132" s="179"/>
      <c r="M132" s="190">
        <f>K132-F132</f>
        <v>272.3594529306404</v>
      </c>
      <c r="N132" s="191">
        <f>M132/F132</f>
        <v>0.21912165550833523</v>
      </c>
    </row>
    <row r="133" spans="1:14" s="9" customFormat="1" ht="38.25">
      <c r="A133" s="86"/>
      <c r="B133" s="31"/>
      <c r="C133" s="180" t="s">
        <v>89</v>
      </c>
      <c r="D133" s="235">
        <f>A130</f>
        <v>1000</v>
      </c>
      <c r="E133" s="192">
        <v>3.91</v>
      </c>
      <c r="F133" s="193">
        <f>D133*E133</f>
        <v>3910</v>
      </c>
      <c r="G133" s="167"/>
      <c r="H133" s="184" t="s">
        <v>89</v>
      </c>
      <c r="I133" s="261">
        <f aca="true" t="shared" si="4" ref="I133:K135">D133</f>
        <v>1000</v>
      </c>
      <c r="J133" s="238">
        <f t="shared" si="4"/>
        <v>3.91</v>
      </c>
      <c r="K133" s="239">
        <f t="shared" si="4"/>
        <v>3910</v>
      </c>
      <c r="L133" s="179"/>
      <c r="M133" s="240"/>
      <c r="N133" s="259"/>
    </row>
    <row r="134" spans="1:14" s="9" customFormat="1" ht="38.25">
      <c r="A134" s="86"/>
      <c r="B134" s="31"/>
      <c r="C134" s="180" t="s">
        <v>84</v>
      </c>
      <c r="D134" s="235">
        <f>A132</f>
        <v>400000</v>
      </c>
      <c r="E134" s="192">
        <v>0.0132</v>
      </c>
      <c r="F134" s="193">
        <f>D134*E134</f>
        <v>5280</v>
      </c>
      <c r="G134" s="167"/>
      <c r="H134" s="184" t="s">
        <v>84</v>
      </c>
      <c r="I134" s="235">
        <f t="shared" si="4"/>
        <v>400000</v>
      </c>
      <c r="J134" s="238">
        <f t="shared" si="4"/>
        <v>0.0132</v>
      </c>
      <c r="K134" s="239">
        <f t="shared" si="4"/>
        <v>5280</v>
      </c>
      <c r="L134" s="179"/>
      <c r="M134" s="579"/>
      <c r="N134" s="580"/>
    </row>
    <row r="135" spans="1:14" s="9" customFormat="1" ht="39" thickBot="1">
      <c r="A135" s="86"/>
      <c r="B135" s="31"/>
      <c r="C135" s="196" t="s">
        <v>85</v>
      </c>
      <c r="D135" s="235">
        <f>A132</f>
        <v>400000</v>
      </c>
      <c r="E135" s="197">
        <v>0.055</v>
      </c>
      <c r="F135" s="183">
        <f>D135*E135</f>
        <v>22000</v>
      </c>
      <c r="G135" s="167"/>
      <c r="H135" s="196" t="s">
        <v>85</v>
      </c>
      <c r="I135" s="241">
        <f t="shared" si="4"/>
        <v>400000</v>
      </c>
      <c r="J135" s="242">
        <f t="shared" si="4"/>
        <v>0.055</v>
      </c>
      <c r="K135" s="243">
        <f t="shared" si="4"/>
        <v>22000</v>
      </c>
      <c r="L135" s="179"/>
      <c r="M135" s="579"/>
      <c r="N135" s="580"/>
    </row>
    <row r="136" spans="1:14" s="9" customFormat="1" ht="8.25" customHeight="1" thickBot="1">
      <c r="A136" s="86"/>
      <c r="B136" s="31"/>
      <c r="C136" s="597"/>
      <c r="D136" s="598"/>
      <c r="E136" s="598"/>
      <c r="F136" s="598"/>
      <c r="G136" s="167"/>
      <c r="H136" s="598"/>
      <c r="I136" s="598"/>
      <c r="J136" s="598"/>
      <c r="K136" s="599"/>
      <c r="L136" s="31"/>
      <c r="M136" s="86"/>
      <c r="N136" s="202"/>
    </row>
    <row r="137" spans="1:14" s="9" customFormat="1" ht="13.5" thickBot="1">
      <c r="A137" s="94"/>
      <c r="B137" s="148"/>
      <c r="C137" s="203" t="s">
        <v>200</v>
      </c>
      <c r="D137" s="204"/>
      <c r="E137" s="204"/>
      <c r="F137" s="205">
        <f>SUM(F133:F135)+F132</f>
        <v>32432.96</v>
      </c>
      <c r="G137" s="206"/>
      <c r="H137" s="604" t="s">
        <v>201</v>
      </c>
      <c r="I137" s="604"/>
      <c r="J137" s="604"/>
      <c r="K137" s="189">
        <f>SUM(K133:K135)+K132</f>
        <v>32705.319452930642</v>
      </c>
      <c r="L137" s="207"/>
      <c r="M137" s="190">
        <f>K137-F137</f>
        <v>272.3594529306429</v>
      </c>
      <c r="N137" s="191">
        <f>M137/F137</f>
        <v>0.008397613197520143</v>
      </c>
    </row>
    <row r="138" spans="6:14" s="9" customFormat="1" ht="12.75">
      <c r="F138" s="179"/>
      <c r="K138" s="179"/>
      <c r="L138" s="216"/>
      <c r="M138" s="216"/>
      <c r="N138" s="229"/>
    </row>
    <row r="139" spans="1:14" s="245" customFormat="1" ht="13.5" thickBot="1">
      <c r="A139" s="9"/>
      <c r="B139" s="9"/>
      <c r="C139" s="53"/>
      <c r="D139" s="9"/>
      <c r="E139" s="244"/>
      <c r="F139" s="216"/>
      <c r="G139" s="9"/>
      <c r="H139" s="9"/>
      <c r="I139" s="9"/>
      <c r="J139" s="221"/>
      <c r="K139" s="216"/>
      <c r="L139" s="216"/>
      <c r="M139" s="216"/>
      <c r="N139" s="156"/>
    </row>
    <row r="140" spans="1:14" s="9" customFormat="1" ht="60">
      <c r="A140" s="168" t="s">
        <v>19</v>
      </c>
      <c r="B140" s="169"/>
      <c r="C140" s="569"/>
      <c r="D140" s="581" t="s">
        <v>86</v>
      </c>
      <c r="E140" s="583" t="s">
        <v>87</v>
      </c>
      <c r="F140" s="585" t="s">
        <v>182</v>
      </c>
      <c r="G140" s="166"/>
      <c r="H140" s="170"/>
      <c r="I140" s="581" t="s">
        <v>86</v>
      </c>
      <c r="J140" s="583" t="s">
        <v>87</v>
      </c>
      <c r="K140" s="585" t="s">
        <v>182</v>
      </c>
      <c r="L140" s="169"/>
      <c r="M140" s="600" t="s">
        <v>181</v>
      </c>
      <c r="N140" s="602" t="s">
        <v>80</v>
      </c>
    </row>
    <row r="141" spans="1:14" s="143" customFormat="1" ht="13.5" thickBot="1">
      <c r="A141" s="12" t="s">
        <v>11</v>
      </c>
      <c r="B141" s="31"/>
      <c r="C141" s="570"/>
      <c r="D141" s="582"/>
      <c r="E141" s="584"/>
      <c r="F141" s="586"/>
      <c r="G141" s="167"/>
      <c r="H141" s="31"/>
      <c r="I141" s="582"/>
      <c r="J141" s="584"/>
      <c r="K141" s="586"/>
      <c r="L141" s="32"/>
      <c r="M141" s="601"/>
      <c r="N141" s="603"/>
    </row>
    <row r="142" spans="1:14" s="143" customFormat="1" ht="39" thickBot="1">
      <c r="A142" s="233">
        <v>3000</v>
      </c>
      <c r="B142" s="31"/>
      <c r="C142" s="173" t="s">
        <v>21</v>
      </c>
      <c r="D142" s="174" t="s">
        <v>81</v>
      </c>
      <c r="E142" s="175" t="s">
        <v>81</v>
      </c>
      <c r="F142" s="176">
        <f>+F130</f>
        <v>152.96</v>
      </c>
      <c r="G142" s="167"/>
      <c r="H142" s="177" t="s">
        <v>21</v>
      </c>
      <c r="I142" s="174" t="str">
        <f>D142</f>
        <v>N/A</v>
      </c>
      <c r="J142" s="174" t="s">
        <v>81</v>
      </c>
      <c r="K142" s="234">
        <f>'11. 2005 Final Rate Schedule '!$F$31</f>
        <v>133.85747626351818</v>
      </c>
      <c r="L142" s="179"/>
      <c r="M142" s="575"/>
      <c r="N142" s="576"/>
    </row>
    <row r="143" spans="1:14" s="143" customFormat="1" ht="26.25" thickBot="1">
      <c r="A143" s="12" t="s">
        <v>12</v>
      </c>
      <c r="B143" s="31"/>
      <c r="C143" s="180" t="s">
        <v>88</v>
      </c>
      <c r="D143" s="235">
        <f>A142</f>
        <v>3000</v>
      </c>
      <c r="E143" s="182">
        <f>+E131</f>
        <v>1.09</v>
      </c>
      <c r="F143" s="183">
        <f>D143*E143</f>
        <v>3270.0000000000005</v>
      </c>
      <c r="G143" s="167"/>
      <c r="H143" s="184" t="s">
        <v>88</v>
      </c>
      <c r="I143" s="185">
        <f>D143</f>
        <v>3000</v>
      </c>
      <c r="J143" s="236">
        <f>'11. 2005 Final Rate Schedule '!$F$32</f>
        <v>1.3814619766671221</v>
      </c>
      <c r="K143" s="237">
        <f>I143*J143</f>
        <v>4144.385930001366</v>
      </c>
      <c r="L143" s="179"/>
      <c r="M143" s="577"/>
      <c r="N143" s="578"/>
    </row>
    <row r="144" spans="1:14" s="143" customFormat="1" ht="13.5" thickBot="1">
      <c r="A144" s="233">
        <v>1000000</v>
      </c>
      <c r="B144" s="31"/>
      <c r="C144" s="605"/>
      <c r="D144" s="607"/>
      <c r="E144" s="187" t="s">
        <v>52</v>
      </c>
      <c r="F144" s="188">
        <f>SUM(F142:F143)</f>
        <v>3422.9600000000005</v>
      </c>
      <c r="G144" s="167"/>
      <c r="H144" s="595"/>
      <c r="I144" s="596"/>
      <c r="J144" s="187" t="s">
        <v>83</v>
      </c>
      <c r="K144" s="189">
        <f>SUM(K142:K143)</f>
        <v>4278.2434062648845</v>
      </c>
      <c r="L144" s="179"/>
      <c r="M144" s="190">
        <f>K144-F144</f>
        <v>855.283406264884</v>
      </c>
      <c r="N144" s="191">
        <f>M144/F144</f>
        <v>0.24986660850985226</v>
      </c>
    </row>
    <row r="145" spans="1:14" s="143" customFormat="1" ht="38.25">
      <c r="A145" s="86"/>
      <c r="B145" s="31"/>
      <c r="C145" s="180" t="s">
        <v>89</v>
      </c>
      <c r="D145" s="235">
        <f>A142</f>
        <v>3000</v>
      </c>
      <c r="E145" s="192">
        <v>3.91</v>
      </c>
      <c r="F145" s="193">
        <f>D145*E145</f>
        <v>11730</v>
      </c>
      <c r="G145" s="167"/>
      <c r="H145" s="184" t="s">
        <v>89</v>
      </c>
      <c r="I145" s="261">
        <f aca="true" t="shared" si="5" ref="I145:K147">D145</f>
        <v>3000</v>
      </c>
      <c r="J145" s="238">
        <f t="shared" si="5"/>
        <v>3.91</v>
      </c>
      <c r="K145" s="239">
        <f t="shared" si="5"/>
        <v>11730</v>
      </c>
      <c r="L145" s="179"/>
      <c r="M145" s="240"/>
      <c r="N145" s="259"/>
    </row>
    <row r="146" spans="1:15" s="9" customFormat="1" ht="14.25" customHeight="1">
      <c r="A146" s="86"/>
      <c r="B146" s="31"/>
      <c r="C146" s="180" t="s">
        <v>84</v>
      </c>
      <c r="D146" s="235">
        <f>A144</f>
        <v>1000000</v>
      </c>
      <c r="E146" s="192">
        <v>0.0132</v>
      </c>
      <c r="F146" s="193">
        <f>D146*E146</f>
        <v>13200</v>
      </c>
      <c r="G146" s="167"/>
      <c r="H146" s="184" t="s">
        <v>84</v>
      </c>
      <c r="I146" s="235">
        <f t="shared" si="5"/>
        <v>1000000</v>
      </c>
      <c r="J146" s="238">
        <f t="shared" si="5"/>
        <v>0.0132</v>
      </c>
      <c r="K146" s="239">
        <f t="shared" si="5"/>
        <v>13200</v>
      </c>
      <c r="L146" s="179"/>
      <c r="M146" s="579"/>
      <c r="N146" s="580"/>
      <c r="O146" s="31"/>
    </row>
    <row r="147" spans="1:14" s="9" customFormat="1" ht="13.5" customHeight="1" thickBot="1">
      <c r="A147" s="86"/>
      <c r="B147" s="31"/>
      <c r="C147" s="196" t="s">
        <v>85</v>
      </c>
      <c r="D147" s="235">
        <f>A144</f>
        <v>1000000</v>
      </c>
      <c r="E147" s="197">
        <v>0.055</v>
      </c>
      <c r="F147" s="183">
        <f>D147*E147</f>
        <v>55000</v>
      </c>
      <c r="G147" s="167"/>
      <c r="H147" s="196" t="s">
        <v>85</v>
      </c>
      <c r="I147" s="241">
        <f t="shared" si="5"/>
        <v>1000000</v>
      </c>
      <c r="J147" s="242">
        <f t="shared" si="5"/>
        <v>0.055</v>
      </c>
      <c r="K147" s="243">
        <f t="shared" si="5"/>
        <v>55000</v>
      </c>
      <c r="L147" s="179"/>
      <c r="M147" s="579"/>
      <c r="N147" s="580"/>
    </row>
    <row r="148" spans="1:14" s="9" customFormat="1" ht="13.5" thickBot="1">
      <c r="A148" s="86"/>
      <c r="B148" s="31"/>
      <c r="C148" s="597"/>
      <c r="D148" s="598"/>
      <c r="E148" s="598"/>
      <c r="F148" s="598"/>
      <c r="G148" s="167"/>
      <c r="H148" s="598"/>
      <c r="I148" s="598"/>
      <c r="J148" s="598"/>
      <c r="K148" s="599"/>
      <c r="L148" s="31"/>
      <c r="M148" s="86"/>
      <c r="N148" s="202"/>
    </row>
    <row r="149" spans="1:14" s="9" customFormat="1" ht="13.5" thickBot="1">
      <c r="A149" s="94"/>
      <c r="B149" s="148"/>
      <c r="C149" s="203" t="s">
        <v>200</v>
      </c>
      <c r="D149" s="204"/>
      <c r="E149" s="204"/>
      <c r="F149" s="205">
        <f>SUM(F145:F147)+F144</f>
        <v>83352.96</v>
      </c>
      <c r="G149" s="206"/>
      <c r="H149" s="604" t="s">
        <v>201</v>
      </c>
      <c r="I149" s="604"/>
      <c r="J149" s="604"/>
      <c r="K149" s="189">
        <f>SUM(K145:K147)+K144</f>
        <v>84208.24340626488</v>
      </c>
      <c r="L149" s="207"/>
      <c r="M149" s="190">
        <f>K149-F149</f>
        <v>855.2834062648762</v>
      </c>
      <c r="N149" s="191">
        <f>M149/F149</f>
        <v>0.010260984208177804</v>
      </c>
    </row>
    <row r="150" spans="6:14" s="9" customFormat="1" ht="12.75">
      <c r="F150" s="179"/>
      <c r="K150" s="179"/>
      <c r="L150" s="216"/>
      <c r="M150" s="216"/>
      <c r="N150" s="229"/>
    </row>
    <row r="151" spans="1:14" s="9" customFormat="1" ht="23.25">
      <c r="A151" s="220" t="s">
        <v>28</v>
      </c>
      <c r="B151" s="54"/>
      <c r="C151" s="245"/>
      <c r="D151" s="245"/>
      <c r="E151" s="245"/>
      <c r="F151" s="246"/>
      <c r="G151" s="245"/>
      <c r="H151" s="245"/>
      <c r="I151" s="245"/>
      <c r="J151" s="247"/>
      <c r="K151" s="246"/>
      <c r="L151" s="246"/>
      <c r="M151" s="246"/>
      <c r="N151" s="248"/>
    </row>
    <row r="152" spans="1:14" s="9" customFormat="1" ht="15.75">
      <c r="A152" s="131"/>
      <c r="B152" s="131"/>
      <c r="F152" s="216"/>
      <c r="J152" s="221"/>
      <c r="K152" s="216"/>
      <c r="L152" s="216"/>
      <c r="M152" s="216"/>
      <c r="N152" s="156"/>
    </row>
    <row r="153" spans="1:14" s="9" customFormat="1" ht="15">
      <c r="A153" s="140" t="s">
        <v>94</v>
      </c>
      <c r="B153" s="232"/>
      <c r="C153" s="143"/>
      <c r="D153" s="143"/>
      <c r="E153" s="143"/>
      <c r="F153" s="224"/>
      <c r="G153" s="143"/>
      <c r="H153" s="143"/>
      <c r="I153" s="143"/>
      <c r="J153" s="225"/>
      <c r="K153" s="224"/>
      <c r="L153" s="224"/>
      <c r="M153" s="224"/>
      <c r="N153" s="226"/>
    </row>
    <row r="154" spans="1:14" s="9" customFormat="1" ht="15">
      <c r="A154" s="140" t="s">
        <v>51</v>
      </c>
      <c r="B154" s="232"/>
      <c r="C154" s="143"/>
      <c r="D154" s="143"/>
      <c r="E154" s="143"/>
      <c r="F154" s="224"/>
      <c r="G154" s="143"/>
      <c r="H154" s="143"/>
      <c r="I154" s="143"/>
      <c r="J154" s="225"/>
      <c r="K154" s="224"/>
      <c r="L154" s="224"/>
      <c r="M154" s="224"/>
      <c r="N154" s="226"/>
    </row>
    <row r="155" spans="1:14" s="9" customFormat="1" ht="15">
      <c r="A155" s="140" t="s">
        <v>147</v>
      </c>
      <c r="B155" s="232"/>
      <c r="C155" s="143"/>
      <c r="D155" s="143"/>
      <c r="E155" s="143"/>
      <c r="F155" s="224"/>
      <c r="G155" s="143"/>
      <c r="H155" s="143"/>
      <c r="I155" s="143"/>
      <c r="J155" s="225"/>
      <c r="K155" s="224"/>
      <c r="L155" s="224"/>
      <c r="M155" s="224"/>
      <c r="N155" s="226"/>
    </row>
    <row r="156" spans="1:14" s="9" customFormat="1" ht="14.25">
      <c r="A156" s="140" t="s">
        <v>146</v>
      </c>
      <c r="B156" s="143"/>
      <c r="C156" s="143"/>
      <c r="D156" s="143"/>
      <c r="E156" s="143"/>
      <c r="F156" s="224"/>
      <c r="G156" s="143"/>
      <c r="H156" s="143"/>
      <c r="I156" s="143"/>
      <c r="J156" s="225"/>
      <c r="K156" s="224"/>
      <c r="L156" s="224"/>
      <c r="M156" s="224"/>
      <c r="N156" s="226"/>
    </row>
    <row r="157" spans="1:14" s="9" customFormat="1" ht="14.25">
      <c r="A157" s="140"/>
      <c r="B157" s="143"/>
      <c r="C157" s="143"/>
      <c r="D157" s="143"/>
      <c r="E157" s="143"/>
      <c r="F157" s="224"/>
      <c r="G157" s="143"/>
      <c r="H157" s="143"/>
      <c r="I157" s="143"/>
      <c r="J157" s="225"/>
      <c r="K157" s="224"/>
      <c r="L157" s="224"/>
      <c r="M157" s="224"/>
      <c r="N157" s="226"/>
    </row>
    <row r="158" spans="1:14" s="9" customFormat="1" ht="14.25">
      <c r="A158" s="140"/>
      <c r="B158" s="143"/>
      <c r="C158" s="497" t="s">
        <v>242</v>
      </c>
      <c r="D158" s="499"/>
      <c r="E158" s="499"/>
      <c r="F158" s="224"/>
      <c r="G158" s="143"/>
      <c r="H158" s="143"/>
      <c r="I158" s="143"/>
      <c r="J158" s="225"/>
      <c r="K158" s="224"/>
      <c r="L158" s="224"/>
      <c r="M158" s="224"/>
      <c r="N158" s="226"/>
    </row>
    <row r="159" spans="1:14" s="9" customFormat="1" ht="15" thickBot="1">
      <c r="A159" s="140"/>
      <c r="B159" s="143"/>
      <c r="C159" s="497"/>
      <c r="D159" s="499"/>
      <c r="E159" s="499"/>
      <c r="F159" s="224"/>
      <c r="G159" s="143"/>
      <c r="H159" s="143"/>
      <c r="I159" s="143"/>
      <c r="J159" s="225"/>
      <c r="K159" s="224"/>
      <c r="L159" s="224"/>
      <c r="M159" s="224"/>
      <c r="N159" s="226"/>
    </row>
    <row r="160" spans="1:14" s="9" customFormat="1" ht="14.25">
      <c r="A160" s="11"/>
      <c r="C160" s="589" t="s">
        <v>95</v>
      </c>
      <c r="D160" s="590"/>
      <c r="E160" s="590"/>
      <c r="F160" s="591"/>
      <c r="G160" s="166"/>
      <c r="H160" s="589" t="s">
        <v>96</v>
      </c>
      <c r="I160" s="590"/>
      <c r="J160" s="590"/>
      <c r="K160" s="590"/>
      <c r="L160" s="590"/>
      <c r="M160" s="590"/>
      <c r="N160" s="591"/>
    </row>
    <row r="161" spans="1:14" s="9" customFormat="1" ht="13.5" thickBot="1">
      <c r="A161"/>
      <c r="C161" s="592"/>
      <c r="D161" s="593"/>
      <c r="E161" s="593"/>
      <c r="F161" s="594"/>
      <c r="G161" s="167"/>
      <c r="H161" s="592"/>
      <c r="I161" s="593"/>
      <c r="J161" s="593"/>
      <c r="K161" s="593"/>
      <c r="L161" s="593"/>
      <c r="M161" s="593"/>
      <c r="N161" s="594"/>
    </row>
    <row r="162" spans="1:14" s="9" customFormat="1" ht="60">
      <c r="A162" s="168" t="s">
        <v>19</v>
      </c>
      <c r="B162" s="169"/>
      <c r="C162" s="569"/>
      <c r="D162" s="581" t="s">
        <v>86</v>
      </c>
      <c r="E162" s="583" t="s">
        <v>87</v>
      </c>
      <c r="F162" s="585" t="s">
        <v>180</v>
      </c>
      <c r="G162" s="166"/>
      <c r="H162" s="170"/>
      <c r="I162" s="581" t="s">
        <v>86</v>
      </c>
      <c r="J162" s="583" t="s">
        <v>87</v>
      </c>
      <c r="K162" s="585" t="s">
        <v>182</v>
      </c>
      <c r="L162" s="169"/>
      <c r="M162" s="600" t="s">
        <v>181</v>
      </c>
      <c r="N162" s="602" t="s">
        <v>80</v>
      </c>
    </row>
    <row r="163" spans="1:14" s="9" customFormat="1" ht="13.5" thickBot="1">
      <c r="A163" s="12" t="s">
        <v>11</v>
      </c>
      <c r="B163" s="31"/>
      <c r="C163" s="570"/>
      <c r="D163" s="582"/>
      <c r="E163" s="584"/>
      <c r="F163" s="586"/>
      <c r="G163" s="167"/>
      <c r="H163" s="31"/>
      <c r="I163" s="582"/>
      <c r="J163" s="584"/>
      <c r="K163" s="586"/>
      <c r="L163" s="32"/>
      <c r="M163" s="601"/>
      <c r="N163" s="603"/>
    </row>
    <row r="164" spans="1:14" s="9" customFormat="1" ht="39" thickBot="1">
      <c r="A164" s="233">
        <v>3000</v>
      </c>
      <c r="B164" s="31"/>
      <c r="C164" s="173" t="s">
        <v>21</v>
      </c>
      <c r="D164" s="174" t="s">
        <v>81</v>
      </c>
      <c r="E164" s="175" t="s">
        <v>81</v>
      </c>
      <c r="F164" s="176">
        <f>+'12. Current Rates'!D109</f>
        <v>2346.99</v>
      </c>
      <c r="G164" s="167"/>
      <c r="H164" s="177" t="s">
        <v>21</v>
      </c>
      <c r="I164" s="174" t="str">
        <f>D164</f>
        <v>N/A</v>
      </c>
      <c r="J164" s="174" t="s">
        <v>81</v>
      </c>
      <c r="K164" s="234">
        <f>+'11. 2005 Final Rate Schedule '!F37</f>
        <v>2302.371858459347</v>
      </c>
      <c r="L164" s="179"/>
      <c r="M164" s="575"/>
      <c r="N164" s="576"/>
    </row>
    <row r="165" spans="1:14" s="9" customFormat="1" ht="26.25" thickBot="1">
      <c r="A165" s="12" t="s">
        <v>12</v>
      </c>
      <c r="B165" s="31"/>
      <c r="C165" s="180" t="s">
        <v>88</v>
      </c>
      <c r="D165" s="235">
        <f>A164</f>
        <v>3000</v>
      </c>
      <c r="E165" s="182">
        <f>+'12. Current Rates'!D107</f>
        <v>1.07</v>
      </c>
      <c r="F165" s="183">
        <f>D165*E165</f>
        <v>3210</v>
      </c>
      <c r="G165" s="167"/>
      <c r="H165" s="184" t="s">
        <v>88</v>
      </c>
      <c r="I165" s="185">
        <f>D165</f>
        <v>3000</v>
      </c>
      <c r="J165" s="249">
        <f>+'11. 2005 Final Rate Schedule '!F38</f>
        <v>1.4065605027138843</v>
      </c>
      <c r="K165" s="237">
        <f>I165*J165</f>
        <v>4219.681508141653</v>
      </c>
      <c r="L165" s="179"/>
      <c r="M165" s="577"/>
      <c r="N165" s="578"/>
    </row>
    <row r="166" spans="1:14" s="9" customFormat="1" ht="13.5" thickBot="1">
      <c r="A166" s="233">
        <v>800000</v>
      </c>
      <c r="B166" s="31"/>
      <c r="C166" s="605"/>
      <c r="D166" s="607"/>
      <c r="E166" s="187" t="s">
        <v>52</v>
      </c>
      <c r="F166" s="188">
        <f>SUM(F164:F165)</f>
        <v>5556.99</v>
      </c>
      <c r="G166" s="167"/>
      <c r="H166" s="595"/>
      <c r="I166" s="596"/>
      <c r="J166" s="187" t="s">
        <v>83</v>
      </c>
      <c r="K166" s="189">
        <f>SUM(K164:K165)</f>
        <v>6522.053366601</v>
      </c>
      <c r="L166" s="179"/>
      <c r="M166" s="190">
        <f>K166-F166</f>
        <v>965.0633666009999</v>
      </c>
      <c r="N166" s="191">
        <f>M166/F166</f>
        <v>0.17366656528102442</v>
      </c>
    </row>
    <row r="167" spans="1:14" s="9" customFormat="1" ht="38.25">
      <c r="A167" s="86"/>
      <c r="B167" s="31"/>
      <c r="C167" s="180" t="s">
        <v>89</v>
      </c>
      <c r="D167" s="235">
        <f>A164</f>
        <v>3000</v>
      </c>
      <c r="E167" s="192">
        <v>4.2138</v>
      </c>
      <c r="F167" s="193">
        <f>D167*E167</f>
        <v>12641.4</v>
      </c>
      <c r="G167" s="167"/>
      <c r="H167" s="184" t="s">
        <v>84</v>
      </c>
      <c r="I167" s="261">
        <f aca="true" t="shared" si="6" ref="I167:K169">D167</f>
        <v>3000</v>
      </c>
      <c r="J167" s="238">
        <f t="shared" si="6"/>
        <v>4.2138</v>
      </c>
      <c r="K167" s="239">
        <f t="shared" si="6"/>
        <v>12641.4</v>
      </c>
      <c r="L167" s="179"/>
      <c r="M167" s="240"/>
      <c r="N167" s="259"/>
    </row>
    <row r="168" spans="1:14" s="9" customFormat="1" ht="38.25">
      <c r="A168" s="86"/>
      <c r="B168" s="31"/>
      <c r="C168" s="180" t="s">
        <v>84</v>
      </c>
      <c r="D168" s="235">
        <f>A166</f>
        <v>800000</v>
      </c>
      <c r="E168" s="192">
        <v>0.0132</v>
      </c>
      <c r="F168" s="193">
        <f>D168*E168</f>
        <v>10560</v>
      </c>
      <c r="G168" s="167"/>
      <c r="H168" s="184" t="s">
        <v>84</v>
      </c>
      <c r="I168" s="235">
        <f t="shared" si="6"/>
        <v>800000</v>
      </c>
      <c r="J168" s="238">
        <f t="shared" si="6"/>
        <v>0.0132</v>
      </c>
      <c r="K168" s="239">
        <f t="shared" si="6"/>
        <v>10560</v>
      </c>
      <c r="L168" s="179"/>
      <c r="M168" s="579"/>
      <c r="N168" s="580"/>
    </row>
    <row r="169" spans="1:14" s="9" customFormat="1" ht="39" thickBot="1">
      <c r="A169" s="86"/>
      <c r="B169" s="31"/>
      <c r="C169" s="196" t="s">
        <v>85</v>
      </c>
      <c r="D169" s="235">
        <f>A166</f>
        <v>800000</v>
      </c>
      <c r="E169" s="197">
        <v>0.055</v>
      </c>
      <c r="F169" s="183">
        <f>D169*E169</f>
        <v>44000</v>
      </c>
      <c r="G169" s="167"/>
      <c r="H169" s="198" t="s">
        <v>85</v>
      </c>
      <c r="I169" s="241">
        <f t="shared" si="6"/>
        <v>800000</v>
      </c>
      <c r="J169" s="242">
        <f t="shared" si="6"/>
        <v>0.055</v>
      </c>
      <c r="K169" s="243">
        <f t="shared" si="6"/>
        <v>44000</v>
      </c>
      <c r="L169" s="179"/>
      <c r="M169" s="579"/>
      <c r="N169" s="580"/>
    </row>
    <row r="170" spans="1:14" s="9" customFormat="1" ht="8.25" customHeight="1" thickBot="1">
      <c r="A170" s="86"/>
      <c r="B170" s="31"/>
      <c r="C170" s="597"/>
      <c r="D170" s="598"/>
      <c r="E170" s="598"/>
      <c r="F170" s="598"/>
      <c r="G170" s="167"/>
      <c r="H170" s="598"/>
      <c r="I170" s="598"/>
      <c r="J170" s="598"/>
      <c r="K170" s="599"/>
      <c r="L170" s="31"/>
      <c r="M170" s="86"/>
      <c r="N170" s="202"/>
    </row>
    <row r="171" spans="1:14" s="9" customFormat="1" ht="13.5" thickBot="1">
      <c r="A171" s="94"/>
      <c r="B171" s="148"/>
      <c r="C171" s="203" t="s">
        <v>200</v>
      </c>
      <c r="D171" s="204"/>
      <c r="E171" s="204"/>
      <c r="F171" s="205">
        <f>SUM(F167:F169)+F166</f>
        <v>72758.39</v>
      </c>
      <c r="G171" s="206"/>
      <c r="H171" s="604" t="s">
        <v>201</v>
      </c>
      <c r="I171" s="604"/>
      <c r="J171" s="604"/>
      <c r="K171" s="189">
        <f>SUM(K167:K169)+K166</f>
        <v>73723.453366601</v>
      </c>
      <c r="L171" s="207"/>
      <c r="M171" s="190">
        <f>K171-F171</f>
        <v>965.0633666009962</v>
      </c>
      <c r="N171" s="383">
        <f>M171/F171</f>
        <v>0.013263946145605974</v>
      </c>
    </row>
    <row r="172" spans="6:14" s="9" customFormat="1" ht="12.75">
      <c r="F172" s="179"/>
      <c r="K172" s="179"/>
      <c r="L172" s="216"/>
      <c r="M172" s="216"/>
      <c r="N172" s="229"/>
    </row>
    <row r="173" spans="1:14" s="9" customFormat="1" ht="13.5" thickBot="1">
      <c r="A173" s="148"/>
      <c r="B173" s="148"/>
      <c r="C173" s="250"/>
      <c r="D173" s="148"/>
      <c r="E173" s="251"/>
      <c r="F173" s="207"/>
      <c r="G173" s="148"/>
      <c r="H173" s="250"/>
      <c r="I173" s="148"/>
      <c r="J173" s="252"/>
      <c r="K173" s="207"/>
      <c r="L173" s="207"/>
      <c r="M173" s="207"/>
      <c r="N173" s="231"/>
    </row>
    <row r="174" spans="1:14" s="9" customFormat="1" ht="60">
      <c r="A174" s="168" t="s">
        <v>19</v>
      </c>
      <c r="B174" s="169"/>
      <c r="C174" s="569"/>
      <c r="D174" s="581" t="s">
        <v>86</v>
      </c>
      <c r="E174" s="583" t="s">
        <v>87</v>
      </c>
      <c r="F174" s="585" t="s">
        <v>182</v>
      </c>
      <c r="G174" s="166"/>
      <c r="H174" s="170"/>
      <c r="I174" s="581" t="s">
        <v>86</v>
      </c>
      <c r="J174" s="583" t="s">
        <v>87</v>
      </c>
      <c r="K174" s="585" t="s">
        <v>182</v>
      </c>
      <c r="L174" s="169"/>
      <c r="M174" s="600" t="s">
        <v>181</v>
      </c>
      <c r="N174" s="602" t="s">
        <v>80</v>
      </c>
    </row>
    <row r="175" spans="1:14" s="9" customFormat="1" ht="13.5" thickBot="1">
      <c r="A175" s="12" t="s">
        <v>11</v>
      </c>
      <c r="B175" s="31"/>
      <c r="C175" s="570"/>
      <c r="D175" s="582"/>
      <c r="E175" s="584"/>
      <c r="F175" s="586"/>
      <c r="G175" s="167"/>
      <c r="H175" s="31"/>
      <c r="I175" s="582"/>
      <c r="J175" s="584"/>
      <c r="K175" s="586"/>
      <c r="L175" s="32"/>
      <c r="M175" s="601"/>
      <c r="N175" s="603"/>
    </row>
    <row r="176" spans="1:14" s="9" customFormat="1" ht="39" thickBot="1">
      <c r="A176" s="233">
        <v>3000</v>
      </c>
      <c r="B176" s="31"/>
      <c r="C176" s="173" t="s">
        <v>21</v>
      </c>
      <c r="D176" s="174" t="s">
        <v>81</v>
      </c>
      <c r="E176" s="175" t="s">
        <v>81</v>
      </c>
      <c r="F176" s="176">
        <f>+F164</f>
        <v>2346.99</v>
      </c>
      <c r="G176" s="167"/>
      <c r="H176" s="177" t="s">
        <v>21</v>
      </c>
      <c r="I176" s="174" t="str">
        <f>D176</f>
        <v>N/A</v>
      </c>
      <c r="J176" s="174" t="s">
        <v>81</v>
      </c>
      <c r="K176" s="234">
        <f>+K164</f>
        <v>2302.371858459347</v>
      </c>
      <c r="L176" s="179"/>
      <c r="M176" s="575"/>
      <c r="N176" s="576"/>
    </row>
    <row r="177" spans="1:14" s="9" customFormat="1" ht="26.25" thickBot="1">
      <c r="A177" s="12" t="s">
        <v>12</v>
      </c>
      <c r="B177" s="31"/>
      <c r="C177" s="180" t="s">
        <v>88</v>
      </c>
      <c r="D177" s="235">
        <f>A176</f>
        <v>3000</v>
      </c>
      <c r="E177" s="182">
        <f>+E165</f>
        <v>1.07</v>
      </c>
      <c r="F177" s="183">
        <f>D177*E177</f>
        <v>3210</v>
      </c>
      <c r="G177" s="167"/>
      <c r="H177" s="184" t="s">
        <v>88</v>
      </c>
      <c r="I177" s="185">
        <f>D177</f>
        <v>3000</v>
      </c>
      <c r="J177" s="249">
        <f>+J165</f>
        <v>1.4065605027138843</v>
      </c>
      <c r="K177" s="237">
        <f>I177*J177</f>
        <v>4219.681508141653</v>
      </c>
      <c r="L177" s="179"/>
      <c r="M177" s="577"/>
      <c r="N177" s="578"/>
    </row>
    <row r="178" spans="1:14" s="9" customFormat="1" ht="13.5" thickBot="1">
      <c r="A178" s="233">
        <v>1000000</v>
      </c>
      <c r="B178" s="31"/>
      <c r="C178" s="605"/>
      <c r="D178" s="607"/>
      <c r="E178" s="187" t="s">
        <v>52</v>
      </c>
      <c r="F178" s="188">
        <f>SUM(F176:F177)</f>
        <v>5556.99</v>
      </c>
      <c r="G178" s="167"/>
      <c r="H178" s="595"/>
      <c r="I178" s="596"/>
      <c r="J178" s="187" t="s">
        <v>83</v>
      </c>
      <c r="K178" s="189">
        <f>SUM(K176:K177)</f>
        <v>6522.053366601</v>
      </c>
      <c r="L178" s="179"/>
      <c r="M178" s="190">
        <f>K178-F178</f>
        <v>965.0633666009999</v>
      </c>
      <c r="N178" s="191">
        <f>M178/F178</f>
        <v>0.17366656528102442</v>
      </c>
    </row>
    <row r="179" spans="1:14" s="9" customFormat="1" ht="38.25">
      <c r="A179" s="86"/>
      <c r="B179" s="31"/>
      <c r="C179" s="180" t="s">
        <v>89</v>
      </c>
      <c r="D179" s="235">
        <f>A176</f>
        <v>3000</v>
      </c>
      <c r="E179" s="192">
        <v>4.2138</v>
      </c>
      <c r="F179" s="193">
        <f>D179*E179</f>
        <v>12641.4</v>
      </c>
      <c r="G179" s="167"/>
      <c r="H179" s="184" t="s">
        <v>84</v>
      </c>
      <c r="I179" s="261">
        <f aca="true" t="shared" si="7" ref="I179:K181">D179</f>
        <v>3000</v>
      </c>
      <c r="J179" s="238">
        <f t="shared" si="7"/>
        <v>4.2138</v>
      </c>
      <c r="K179" s="239">
        <f t="shared" si="7"/>
        <v>12641.4</v>
      </c>
      <c r="L179" s="179"/>
      <c r="M179" s="240"/>
      <c r="N179" s="259"/>
    </row>
    <row r="180" spans="1:14" s="9" customFormat="1" ht="38.25">
      <c r="A180" s="86"/>
      <c r="B180" s="31"/>
      <c r="C180" s="180" t="s">
        <v>84</v>
      </c>
      <c r="D180" s="235">
        <f>A178</f>
        <v>1000000</v>
      </c>
      <c r="E180" s="192">
        <v>0.0132</v>
      </c>
      <c r="F180" s="193">
        <f>D180*E180</f>
        <v>13200</v>
      </c>
      <c r="G180" s="167"/>
      <c r="H180" s="184" t="s">
        <v>84</v>
      </c>
      <c r="I180" s="235">
        <f t="shared" si="7"/>
        <v>1000000</v>
      </c>
      <c r="J180" s="238">
        <f t="shared" si="7"/>
        <v>0.0132</v>
      </c>
      <c r="K180" s="239">
        <f t="shared" si="7"/>
        <v>13200</v>
      </c>
      <c r="L180" s="179"/>
      <c r="M180" s="579"/>
      <c r="N180" s="580"/>
    </row>
    <row r="181" spans="1:14" s="9" customFormat="1" ht="39" thickBot="1">
      <c r="A181" s="86"/>
      <c r="B181" s="31"/>
      <c r="C181" s="196" t="s">
        <v>85</v>
      </c>
      <c r="D181" s="235">
        <f>A178</f>
        <v>1000000</v>
      </c>
      <c r="E181" s="197">
        <v>0.055</v>
      </c>
      <c r="F181" s="183">
        <f>D181*E181</f>
        <v>55000</v>
      </c>
      <c r="G181" s="167"/>
      <c r="H181" s="198" t="s">
        <v>85</v>
      </c>
      <c r="I181" s="241">
        <f t="shared" si="7"/>
        <v>1000000</v>
      </c>
      <c r="J181" s="242">
        <f t="shared" si="7"/>
        <v>0.055</v>
      </c>
      <c r="K181" s="243">
        <f t="shared" si="7"/>
        <v>55000</v>
      </c>
      <c r="L181" s="179"/>
      <c r="M181" s="579"/>
      <c r="N181" s="580"/>
    </row>
    <row r="182" spans="1:14" s="9" customFormat="1" ht="8.25" customHeight="1" thickBot="1">
      <c r="A182" s="86"/>
      <c r="B182" s="31"/>
      <c r="C182" s="597"/>
      <c r="D182" s="598"/>
      <c r="E182" s="598"/>
      <c r="F182" s="598"/>
      <c r="G182" s="167"/>
      <c r="H182" s="598"/>
      <c r="I182" s="598"/>
      <c r="J182" s="598"/>
      <c r="K182" s="599"/>
      <c r="L182" s="31"/>
      <c r="M182" s="86"/>
      <c r="N182" s="202"/>
    </row>
    <row r="183" spans="1:14" s="9" customFormat="1" ht="13.5" thickBot="1">
      <c r="A183" s="94"/>
      <c r="B183" s="148"/>
      <c r="C183" s="203" t="s">
        <v>200</v>
      </c>
      <c r="D183" s="204"/>
      <c r="E183" s="204"/>
      <c r="F183" s="205">
        <f>SUM(F179:F181)+F178</f>
        <v>86398.39</v>
      </c>
      <c r="G183" s="206"/>
      <c r="H183" s="604" t="s">
        <v>201</v>
      </c>
      <c r="I183" s="604"/>
      <c r="J183" s="604"/>
      <c r="K183" s="189">
        <f>SUM(K179:K181)+K178</f>
        <v>87363.453366601</v>
      </c>
      <c r="L183" s="207"/>
      <c r="M183" s="190">
        <f>K183-F183</f>
        <v>965.0633666009962</v>
      </c>
      <c r="N183" s="383">
        <f>M183/F183</f>
        <v>0.011169923034456965</v>
      </c>
    </row>
    <row r="184" spans="1:14" s="9" customFormat="1" ht="14.25">
      <c r="A184" s="11"/>
      <c r="F184" s="216"/>
      <c r="J184" s="221"/>
      <c r="K184" s="216"/>
      <c r="L184" s="216"/>
      <c r="M184" s="216"/>
      <c r="N184" s="156"/>
    </row>
    <row r="185" spans="1:14" s="9" customFormat="1" ht="15" thickBot="1">
      <c r="A185" s="11"/>
      <c r="F185" s="216"/>
      <c r="J185" s="221"/>
      <c r="K185" s="216"/>
      <c r="L185" s="216"/>
      <c r="M185" s="216"/>
      <c r="N185" s="156"/>
    </row>
    <row r="186" spans="1:14" s="9" customFormat="1" ht="60">
      <c r="A186" s="168" t="s">
        <v>19</v>
      </c>
      <c r="B186" s="169"/>
      <c r="C186" s="569"/>
      <c r="D186" s="581" t="s">
        <v>86</v>
      </c>
      <c r="E186" s="583" t="s">
        <v>87</v>
      </c>
      <c r="F186" s="585" t="s">
        <v>182</v>
      </c>
      <c r="G186" s="166"/>
      <c r="H186" s="170"/>
      <c r="I186" s="581" t="s">
        <v>86</v>
      </c>
      <c r="J186" s="583" t="s">
        <v>87</v>
      </c>
      <c r="K186" s="585" t="s">
        <v>182</v>
      </c>
      <c r="L186" s="169"/>
      <c r="M186" s="600" t="s">
        <v>181</v>
      </c>
      <c r="N186" s="602" t="s">
        <v>80</v>
      </c>
    </row>
    <row r="187" spans="1:14" s="9" customFormat="1" ht="13.5" thickBot="1">
      <c r="A187" s="12" t="s">
        <v>11</v>
      </c>
      <c r="B187" s="31"/>
      <c r="C187" s="570"/>
      <c r="D187" s="582"/>
      <c r="E187" s="584"/>
      <c r="F187" s="586"/>
      <c r="G187" s="167"/>
      <c r="H187" s="31"/>
      <c r="I187" s="582"/>
      <c r="J187" s="584"/>
      <c r="K187" s="586"/>
      <c r="L187" s="32"/>
      <c r="M187" s="601"/>
      <c r="N187" s="603"/>
    </row>
    <row r="188" spans="1:14" s="9" customFormat="1" ht="39" thickBot="1">
      <c r="A188" s="233">
        <v>4000</v>
      </c>
      <c r="B188" s="31"/>
      <c r="C188" s="173" t="s">
        <v>21</v>
      </c>
      <c r="D188" s="174" t="s">
        <v>81</v>
      </c>
      <c r="E188" s="175" t="s">
        <v>81</v>
      </c>
      <c r="F188" s="176">
        <f>+F176</f>
        <v>2346.99</v>
      </c>
      <c r="G188" s="167"/>
      <c r="H188" s="177" t="s">
        <v>21</v>
      </c>
      <c r="I188" s="174" t="str">
        <f>D188</f>
        <v>N/A</v>
      </c>
      <c r="J188" s="174" t="s">
        <v>81</v>
      </c>
      <c r="K188" s="234">
        <f>+K176</f>
        <v>2302.371858459347</v>
      </c>
      <c r="L188" s="179"/>
      <c r="M188" s="575"/>
      <c r="N188" s="576"/>
    </row>
    <row r="189" spans="1:14" s="9" customFormat="1" ht="26.25" thickBot="1">
      <c r="A189" s="12" t="s">
        <v>12</v>
      </c>
      <c r="B189" s="31"/>
      <c r="C189" s="180" t="s">
        <v>88</v>
      </c>
      <c r="D189" s="235">
        <f>A188</f>
        <v>4000</v>
      </c>
      <c r="E189" s="182">
        <f>+E177</f>
        <v>1.07</v>
      </c>
      <c r="F189" s="183">
        <f>D189*E189</f>
        <v>4280</v>
      </c>
      <c r="G189" s="167"/>
      <c r="H189" s="184" t="s">
        <v>88</v>
      </c>
      <c r="I189" s="185">
        <f>D189</f>
        <v>4000</v>
      </c>
      <c r="J189" s="249">
        <f>+J177</f>
        <v>1.4065605027138843</v>
      </c>
      <c r="K189" s="237">
        <f>I189*J189</f>
        <v>5626.242010855537</v>
      </c>
      <c r="L189" s="179"/>
      <c r="M189" s="577"/>
      <c r="N189" s="578"/>
    </row>
    <row r="190" spans="1:14" s="9" customFormat="1" ht="13.5" thickBot="1">
      <c r="A190" s="233">
        <v>1200000</v>
      </c>
      <c r="B190" s="31"/>
      <c r="C190" s="605"/>
      <c r="D190" s="607"/>
      <c r="E190" s="187" t="s">
        <v>52</v>
      </c>
      <c r="F190" s="188">
        <f>SUM(F188:F189)</f>
        <v>6626.99</v>
      </c>
      <c r="G190" s="167"/>
      <c r="H190" s="595"/>
      <c r="I190" s="596"/>
      <c r="J190" s="187" t="s">
        <v>83</v>
      </c>
      <c r="K190" s="189">
        <f>SUM(K188:K189)</f>
        <v>7928.613869314884</v>
      </c>
      <c r="L190" s="179"/>
      <c r="M190" s="190">
        <f>K190-F190</f>
        <v>1301.6238693148844</v>
      </c>
      <c r="N190" s="191">
        <f>M190/F190</f>
        <v>0.19641252956695038</v>
      </c>
    </row>
    <row r="191" spans="1:14" s="9" customFormat="1" ht="38.25">
      <c r="A191" s="86"/>
      <c r="B191" s="31"/>
      <c r="C191" s="180" t="s">
        <v>89</v>
      </c>
      <c r="D191" s="235">
        <f>A188</f>
        <v>4000</v>
      </c>
      <c r="E191" s="192">
        <v>4.2138</v>
      </c>
      <c r="F191" s="193">
        <f>D191*E191</f>
        <v>16855.2</v>
      </c>
      <c r="G191" s="167"/>
      <c r="H191" s="184" t="s">
        <v>84</v>
      </c>
      <c r="I191" s="261">
        <f aca="true" t="shared" si="8" ref="I191:K193">D191</f>
        <v>4000</v>
      </c>
      <c r="J191" s="238">
        <f t="shared" si="8"/>
        <v>4.2138</v>
      </c>
      <c r="K191" s="239">
        <f t="shared" si="8"/>
        <v>16855.2</v>
      </c>
      <c r="L191" s="179"/>
      <c r="M191" s="240"/>
      <c r="N191" s="259"/>
    </row>
    <row r="192" spans="1:14" s="9" customFormat="1" ht="38.25">
      <c r="A192" s="86"/>
      <c r="B192" s="31"/>
      <c r="C192" s="180" t="s">
        <v>84</v>
      </c>
      <c r="D192" s="235">
        <f>A190</f>
        <v>1200000</v>
      </c>
      <c r="E192" s="192">
        <v>0.0132</v>
      </c>
      <c r="F192" s="193">
        <f>D192*E192</f>
        <v>15840</v>
      </c>
      <c r="G192" s="167"/>
      <c r="H192" s="184" t="s">
        <v>84</v>
      </c>
      <c r="I192" s="235">
        <f t="shared" si="8"/>
        <v>1200000</v>
      </c>
      <c r="J192" s="238">
        <f t="shared" si="8"/>
        <v>0.0132</v>
      </c>
      <c r="K192" s="239">
        <f t="shared" si="8"/>
        <v>15840</v>
      </c>
      <c r="L192" s="179"/>
      <c r="M192" s="579"/>
      <c r="N192" s="580"/>
    </row>
    <row r="193" spans="1:14" s="9" customFormat="1" ht="39" thickBot="1">
      <c r="A193" s="86"/>
      <c r="B193" s="31"/>
      <c r="C193" s="196" t="s">
        <v>85</v>
      </c>
      <c r="D193" s="235">
        <f>A190</f>
        <v>1200000</v>
      </c>
      <c r="E193" s="197">
        <v>0.055</v>
      </c>
      <c r="F193" s="183">
        <f>D193*E193</f>
        <v>66000</v>
      </c>
      <c r="G193" s="167"/>
      <c r="H193" s="198" t="s">
        <v>85</v>
      </c>
      <c r="I193" s="241">
        <f t="shared" si="8"/>
        <v>1200000</v>
      </c>
      <c r="J193" s="242">
        <f t="shared" si="8"/>
        <v>0.055</v>
      </c>
      <c r="K193" s="243">
        <f t="shared" si="8"/>
        <v>66000</v>
      </c>
      <c r="L193" s="179"/>
      <c r="M193" s="579"/>
      <c r="N193" s="580"/>
    </row>
    <row r="194" spans="1:14" s="9" customFormat="1" ht="8.25" customHeight="1" thickBot="1">
      <c r="A194" s="86"/>
      <c r="B194" s="31"/>
      <c r="C194" s="597"/>
      <c r="D194" s="598"/>
      <c r="E194" s="598"/>
      <c r="F194" s="598"/>
      <c r="G194" s="167"/>
      <c r="H194" s="598"/>
      <c r="I194" s="598"/>
      <c r="J194" s="598"/>
      <c r="K194" s="599"/>
      <c r="L194" s="31"/>
      <c r="M194" s="86"/>
      <c r="N194" s="202"/>
    </row>
    <row r="195" spans="1:14" s="9" customFormat="1" ht="13.5" thickBot="1">
      <c r="A195" s="94"/>
      <c r="B195" s="148"/>
      <c r="C195" s="203" t="s">
        <v>200</v>
      </c>
      <c r="D195" s="204"/>
      <c r="E195" s="204"/>
      <c r="F195" s="205">
        <f>SUM(F191:F193)+F190</f>
        <v>105322.19</v>
      </c>
      <c r="G195" s="206"/>
      <c r="H195" s="604" t="s">
        <v>201</v>
      </c>
      <c r="I195" s="604"/>
      <c r="J195" s="604"/>
      <c r="K195" s="189">
        <f>SUM(K191:K193)+K190</f>
        <v>106623.81386931488</v>
      </c>
      <c r="L195" s="207"/>
      <c r="M195" s="190">
        <f>K195-F195</f>
        <v>1301.623869314877</v>
      </c>
      <c r="N195" s="191">
        <f>M195/F195</f>
        <v>0.012358496052112826</v>
      </c>
    </row>
    <row r="196" spans="6:14" s="9" customFormat="1" ht="12.75">
      <c r="F196" s="216"/>
      <c r="J196" s="221"/>
      <c r="K196" s="216"/>
      <c r="L196" s="216"/>
      <c r="M196" s="216"/>
      <c r="N196" s="156"/>
    </row>
    <row r="197" spans="1:14" s="9" customFormat="1" ht="13.5" thickBot="1">
      <c r="A197" s="31"/>
      <c r="B197" s="31"/>
      <c r="C197" s="253"/>
      <c r="D197" s="123"/>
      <c r="E197" s="254"/>
      <c r="F197" s="179"/>
      <c r="G197" s="31"/>
      <c r="H197" s="253"/>
      <c r="I197" s="123"/>
      <c r="J197" s="255"/>
      <c r="K197" s="179"/>
      <c r="L197" s="179"/>
      <c r="M197" s="179"/>
      <c r="N197" s="229"/>
    </row>
    <row r="198" spans="1:14" s="9" customFormat="1" ht="60">
      <c r="A198" s="168" t="s">
        <v>19</v>
      </c>
      <c r="B198" s="169"/>
      <c r="C198" s="569"/>
      <c r="D198" s="581" t="s">
        <v>86</v>
      </c>
      <c r="E198" s="583" t="s">
        <v>87</v>
      </c>
      <c r="F198" s="585" t="s">
        <v>182</v>
      </c>
      <c r="G198" s="166"/>
      <c r="H198" s="170"/>
      <c r="I198" s="581" t="s">
        <v>86</v>
      </c>
      <c r="J198" s="583" t="s">
        <v>87</v>
      </c>
      <c r="K198" s="585" t="s">
        <v>182</v>
      </c>
      <c r="L198" s="169"/>
      <c r="M198" s="600" t="s">
        <v>181</v>
      </c>
      <c r="N198" s="602" t="s">
        <v>80</v>
      </c>
    </row>
    <row r="199" spans="1:14" s="9" customFormat="1" ht="13.5" thickBot="1">
      <c r="A199" s="12" t="s">
        <v>11</v>
      </c>
      <c r="B199" s="31"/>
      <c r="C199" s="570"/>
      <c r="D199" s="582"/>
      <c r="E199" s="584"/>
      <c r="F199" s="586"/>
      <c r="G199" s="167"/>
      <c r="H199" s="31"/>
      <c r="I199" s="582"/>
      <c r="J199" s="584"/>
      <c r="K199" s="586"/>
      <c r="L199" s="32"/>
      <c r="M199" s="601"/>
      <c r="N199" s="603"/>
    </row>
    <row r="200" spans="1:14" s="143" customFormat="1" ht="39" thickBot="1">
      <c r="A200" s="233">
        <v>4000</v>
      </c>
      <c r="B200" s="31"/>
      <c r="C200" s="173" t="s">
        <v>21</v>
      </c>
      <c r="D200" s="174" t="s">
        <v>81</v>
      </c>
      <c r="E200" s="175" t="s">
        <v>81</v>
      </c>
      <c r="F200" s="176">
        <f>+F188</f>
        <v>2346.99</v>
      </c>
      <c r="G200" s="167"/>
      <c r="H200" s="177" t="s">
        <v>21</v>
      </c>
      <c r="I200" s="174" t="str">
        <f>D200</f>
        <v>N/A</v>
      </c>
      <c r="J200" s="174" t="s">
        <v>81</v>
      </c>
      <c r="K200" s="234">
        <f>+K188</f>
        <v>2302.371858459347</v>
      </c>
      <c r="L200" s="179"/>
      <c r="M200" s="575"/>
      <c r="N200" s="576"/>
    </row>
    <row r="201" spans="1:14" s="143" customFormat="1" ht="26.25" thickBot="1">
      <c r="A201" s="12" t="s">
        <v>12</v>
      </c>
      <c r="B201" s="31"/>
      <c r="C201" s="180" t="s">
        <v>88</v>
      </c>
      <c r="D201" s="235">
        <f>A200</f>
        <v>4000</v>
      </c>
      <c r="E201" s="182">
        <f>+E189</f>
        <v>1.07</v>
      </c>
      <c r="F201" s="183">
        <f>D201*E201</f>
        <v>4280</v>
      </c>
      <c r="G201" s="167"/>
      <c r="H201" s="184" t="s">
        <v>88</v>
      </c>
      <c r="I201" s="185">
        <f>D201</f>
        <v>4000</v>
      </c>
      <c r="J201" s="249">
        <f>+J189</f>
        <v>1.4065605027138843</v>
      </c>
      <c r="K201" s="237">
        <f>I201*J201</f>
        <v>5626.242010855537</v>
      </c>
      <c r="L201" s="179"/>
      <c r="M201" s="577"/>
      <c r="N201" s="578"/>
    </row>
    <row r="202" spans="1:14" s="143" customFormat="1" ht="13.5" thickBot="1">
      <c r="A202" s="233">
        <v>1800000</v>
      </c>
      <c r="B202" s="31"/>
      <c r="C202" s="605"/>
      <c r="D202" s="607"/>
      <c r="E202" s="187" t="s">
        <v>52</v>
      </c>
      <c r="F202" s="188">
        <f>SUM(F200:F201)</f>
        <v>6626.99</v>
      </c>
      <c r="G202" s="167"/>
      <c r="H202" s="595"/>
      <c r="I202" s="596"/>
      <c r="J202" s="187" t="s">
        <v>83</v>
      </c>
      <c r="K202" s="189">
        <f>SUM(K200:K201)</f>
        <v>7928.613869314884</v>
      </c>
      <c r="L202" s="179"/>
      <c r="M202" s="190">
        <f>K202-F202</f>
        <v>1301.6238693148844</v>
      </c>
      <c r="N202" s="191">
        <f>M202/F202</f>
        <v>0.19641252956695038</v>
      </c>
    </row>
    <row r="203" spans="1:14" s="143" customFormat="1" ht="38.25">
      <c r="A203" s="86"/>
      <c r="B203" s="31"/>
      <c r="C203" s="180" t="s">
        <v>89</v>
      </c>
      <c r="D203" s="235">
        <f>A200</f>
        <v>4000</v>
      </c>
      <c r="E203" s="192">
        <v>4.2138</v>
      </c>
      <c r="F203" s="193">
        <f>D203*E203</f>
        <v>16855.2</v>
      </c>
      <c r="G203" s="167"/>
      <c r="H203" s="184" t="s">
        <v>84</v>
      </c>
      <c r="I203" s="261">
        <f aca="true" t="shared" si="9" ref="I203:K205">D203</f>
        <v>4000</v>
      </c>
      <c r="J203" s="238">
        <f t="shared" si="9"/>
        <v>4.2138</v>
      </c>
      <c r="K203" s="239">
        <f t="shared" si="9"/>
        <v>16855.2</v>
      </c>
      <c r="L203" s="179"/>
      <c r="M203" s="240"/>
      <c r="N203" s="259"/>
    </row>
    <row r="204" spans="1:14" s="31" customFormat="1" ht="38.25">
      <c r="A204" s="86"/>
      <c r="C204" s="180" t="s">
        <v>84</v>
      </c>
      <c r="D204" s="235">
        <f>A202</f>
        <v>1800000</v>
      </c>
      <c r="E204" s="192">
        <v>0.0132</v>
      </c>
      <c r="F204" s="193">
        <f>D204*E204</f>
        <v>23760</v>
      </c>
      <c r="G204" s="167"/>
      <c r="H204" s="184" t="s">
        <v>84</v>
      </c>
      <c r="I204" s="235">
        <f t="shared" si="9"/>
        <v>1800000</v>
      </c>
      <c r="J204" s="238">
        <f t="shared" si="9"/>
        <v>0.0132</v>
      </c>
      <c r="K204" s="239">
        <f t="shared" si="9"/>
        <v>23760</v>
      </c>
      <c r="L204" s="179"/>
      <c r="M204" s="579"/>
      <c r="N204" s="580"/>
    </row>
    <row r="205" spans="1:14" s="31" customFormat="1" ht="39" thickBot="1">
      <c r="A205" s="86"/>
      <c r="C205" s="196" t="s">
        <v>85</v>
      </c>
      <c r="D205" s="235">
        <f>A202</f>
        <v>1800000</v>
      </c>
      <c r="E205" s="197">
        <v>0.055</v>
      </c>
      <c r="F205" s="183">
        <f>D205*E205</f>
        <v>99000</v>
      </c>
      <c r="G205" s="167"/>
      <c r="H205" s="198" t="s">
        <v>85</v>
      </c>
      <c r="I205" s="241">
        <f t="shared" si="9"/>
        <v>1800000</v>
      </c>
      <c r="J205" s="242">
        <f t="shared" si="9"/>
        <v>0.055</v>
      </c>
      <c r="K205" s="243">
        <f t="shared" si="9"/>
        <v>99000</v>
      </c>
      <c r="L205" s="179"/>
      <c r="M205" s="579"/>
      <c r="N205" s="580"/>
    </row>
    <row r="206" spans="1:15" s="9" customFormat="1" ht="14.25" customHeight="1" thickBot="1">
      <c r="A206" s="86"/>
      <c r="B206" s="31"/>
      <c r="C206" s="597"/>
      <c r="D206" s="598"/>
      <c r="E206" s="598"/>
      <c r="F206" s="598"/>
      <c r="G206" s="167"/>
      <c r="H206" s="598"/>
      <c r="I206" s="598"/>
      <c r="J206" s="598"/>
      <c r="K206" s="599"/>
      <c r="L206" s="31"/>
      <c r="M206" s="86"/>
      <c r="N206" s="202"/>
      <c r="O206" s="31"/>
    </row>
    <row r="207" spans="1:14" s="9" customFormat="1" ht="13.5" customHeight="1" thickBot="1">
      <c r="A207" s="94"/>
      <c r="B207" s="148"/>
      <c r="C207" s="203" t="s">
        <v>200</v>
      </c>
      <c r="D207" s="204"/>
      <c r="E207" s="204"/>
      <c r="F207" s="205">
        <f>SUM(F203:F205)+F202</f>
        <v>146242.19</v>
      </c>
      <c r="G207" s="206"/>
      <c r="H207" s="604" t="s">
        <v>201</v>
      </c>
      <c r="I207" s="604"/>
      <c r="J207" s="604"/>
      <c r="K207" s="189">
        <f>SUM(K203:K205)+K202</f>
        <v>147543.8138693149</v>
      </c>
      <c r="L207" s="207"/>
      <c r="M207" s="190">
        <f>K207-F207</f>
        <v>1301.6238693149062</v>
      </c>
      <c r="N207" s="383">
        <f>M207/F207</f>
        <v>0.008900467569002531</v>
      </c>
    </row>
    <row r="208" spans="1:14" s="9" customFormat="1" ht="12.75">
      <c r="A208" s="31"/>
      <c r="B208" s="31"/>
      <c r="C208" s="253"/>
      <c r="D208" s="123"/>
      <c r="E208" s="254"/>
      <c r="F208" s="179"/>
      <c r="G208" s="31"/>
      <c r="H208" s="253"/>
      <c r="I208" s="123"/>
      <c r="J208" s="255"/>
      <c r="K208" s="179"/>
      <c r="L208" s="179"/>
      <c r="M208" s="179"/>
      <c r="N208" s="229"/>
    </row>
    <row r="209" spans="1:14" s="9" customFormat="1" ht="12.75">
      <c r="A209" s="31"/>
      <c r="B209" s="31"/>
      <c r="C209" s="253"/>
      <c r="D209" s="123"/>
      <c r="E209" s="254"/>
      <c r="F209" s="179"/>
      <c r="G209" s="31"/>
      <c r="H209" s="253"/>
      <c r="I209" s="123"/>
      <c r="J209" s="255"/>
      <c r="K209" s="179"/>
      <c r="L209" s="179"/>
      <c r="M209" s="179"/>
      <c r="N209" s="229"/>
    </row>
    <row r="210" spans="1:14" s="9" customFormat="1" ht="14.25">
      <c r="A210" s="140"/>
      <c r="B210" s="143"/>
      <c r="C210" s="497" t="s">
        <v>244</v>
      </c>
      <c r="D210" s="499"/>
      <c r="E210" s="499"/>
      <c r="F210" s="224"/>
      <c r="G210" s="143"/>
      <c r="H210" s="143"/>
      <c r="I210" s="143"/>
      <c r="J210" s="225"/>
      <c r="K210" s="224"/>
      <c r="L210" s="224"/>
      <c r="M210" s="224"/>
      <c r="N210" s="226"/>
    </row>
    <row r="211" spans="1:14" s="9" customFormat="1" ht="15" thickBot="1">
      <c r="A211" s="140"/>
      <c r="B211" s="143"/>
      <c r="C211" s="140"/>
      <c r="D211" s="140"/>
      <c r="E211" s="140"/>
      <c r="F211" s="224"/>
      <c r="G211" s="143"/>
      <c r="H211" s="143"/>
      <c r="I211" s="143"/>
      <c r="J211" s="225"/>
      <c r="K211" s="224"/>
      <c r="L211" s="224"/>
      <c r="M211" s="224"/>
      <c r="N211" s="226"/>
    </row>
    <row r="212" spans="1:14" s="9" customFormat="1" ht="14.25">
      <c r="A212" s="11"/>
      <c r="C212" s="589" t="s">
        <v>95</v>
      </c>
      <c r="D212" s="590"/>
      <c r="E212" s="590"/>
      <c r="F212" s="591"/>
      <c r="G212" s="166"/>
      <c r="H212" s="589" t="s">
        <v>96</v>
      </c>
      <c r="I212" s="590"/>
      <c r="J212" s="590"/>
      <c r="K212" s="590"/>
      <c r="L212" s="590"/>
      <c r="M212" s="590"/>
      <c r="N212" s="591"/>
    </row>
    <row r="213" spans="1:14" s="9" customFormat="1" ht="13.5" thickBot="1">
      <c r="A213"/>
      <c r="C213" s="592"/>
      <c r="D213" s="593"/>
      <c r="E213" s="593"/>
      <c r="F213" s="594"/>
      <c r="G213" s="167"/>
      <c r="H213" s="592"/>
      <c r="I213" s="593"/>
      <c r="J213" s="593"/>
      <c r="K213" s="593"/>
      <c r="L213" s="593"/>
      <c r="M213" s="593"/>
      <c r="N213" s="594"/>
    </row>
    <row r="214" spans="1:14" s="9" customFormat="1" ht="60">
      <c r="A214" s="168" t="s">
        <v>19</v>
      </c>
      <c r="B214" s="169"/>
      <c r="C214" s="569"/>
      <c r="D214" s="581" t="s">
        <v>86</v>
      </c>
      <c r="E214" s="583" t="s">
        <v>87</v>
      </c>
      <c r="F214" s="585" t="s">
        <v>180</v>
      </c>
      <c r="G214" s="166"/>
      <c r="H214" s="170"/>
      <c r="I214" s="581" t="s">
        <v>86</v>
      </c>
      <c r="J214" s="583" t="s">
        <v>87</v>
      </c>
      <c r="K214" s="585" t="s">
        <v>182</v>
      </c>
      <c r="L214" s="169"/>
      <c r="M214" s="600" t="s">
        <v>181</v>
      </c>
      <c r="N214" s="602" t="s">
        <v>80</v>
      </c>
    </row>
    <row r="215" spans="1:14" s="9" customFormat="1" ht="13.5" thickBot="1">
      <c r="A215" s="12" t="s">
        <v>11</v>
      </c>
      <c r="B215" s="31"/>
      <c r="C215" s="570"/>
      <c r="D215" s="582"/>
      <c r="E215" s="584"/>
      <c r="F215" s="586"/>
      <c r="G215" s="167"/>
      <c r="H215" s="31"/>
      <c r="I215" s="582"/>
      <c r="J215" s="584"/>
      <c r="K215" s="586"/>
      <c r="L215" s="32"/>
      <c r="M215" s="601"/>
      <c r="N215" s="603"/>
    </row>
    <row r="216" spans="1:14" s="9" customFormat="1" ht="39" thickBot="1">
      <c r="A216" s="233">
        <v>3000</v>
      </c>
      <c r="B216" s="31"/>
      <c r="C216" s="173" t="s">
        <v>21</v>
      </c>
      <c r="D216" s="174" t="s">
        <v>81</v>
      </c>
      <c r="E216" s="175" t="s">
        <v>81</v>
      </c>
      <c r="F216" s="176">
        <f>+'12. Current Rates'!D114</f>
        <v>4588.58</v>
      </c>
      <c r="G216" s="167"/>
      <c r="H216" s="177" t="s">
        <v>21</v>
      </c>
      <c r="I216" s="174" t="str">
        <f>D216</f>
        <v>N/A</v>
      </c>
      <c r="J216" s="174" t="s">
        <v>81</v>
      </c>
      <c r="K216" s="234">
        <f>+'11. 2005 Final Rate Schedule '!F193</f>
        <v>3857.508826100473</v>
      </c>
      <c r="L216" s="179"/>
      <c r="M216" s="575"/>
      <c r="N216" s="576"/>
    </row>
    <row r="217" spans="1:14" s="9" customFormat="1" ht="26.25" thickBot="1">
      <c r="A217" s="12" t="s">
        <v>12</v>
      </c>
      <c r="B217" s="31"/>
      <c r="C217" s="180" t="s">
        <v>88</v>
      </c>
      <c r="D217" s="235">
        <f>A216</f>
        <v>3000</v>
      </c>
      <c r="E217" s="182">
        <f>+'12. Current Rates'!D112</f>
        <v>1.54</v>
      </c>
      <c r="F217" s="183">
        <f>D217*E217</f>
        <v>4620</v>
      </c>
      <c r="G217" s="167"/>
      <c r="H217" s="184" t="s">
        <v>88</v>
      </c>
      <c r="I217" s="185">
        <f>D217</f>
        <v>3000</v>
      </c>
      <c r="J217" s="249">
        <f>+'11. 2005 Final Rate Schedule '!F194</f>
        <v>2.0767405324311348</v>
      </c>
      <c r="K217" s="237">
        <f>I217*J217</f>
        <v>6230.221597293405</v>
      </c>
      <c r="L217" s="179"/>
      <c r="M217" s="577"/>
      <c r="N217" s="578"/>
    </row>
    <row r="218" spans="1:14" s="9" customFormat="1" ht="13.5" thickBot="1">
      <c r="A218" s="233">
        <v>800000</v>
      </c>
      <c r="B218" s="31"/>
      <c r="C218" s="605"/>
      <c r="D218" s="607"/>
      <c r="E218" s="187" t="s">
        <v>52</v>
      </c>
      <c r="F218" s="188">
        <f>SUM(F216:F217)</f>
        <v>9208.58</v>
      </c>
      <c r="G218" s="167"/>
      <c r="H218" s="595"/>
      <c r="I218" s="596"/>
      <c r="J218" s="187" t="s">
        <v>83</v>
      </c>
      <c r="K218" s="189">
        <f>SUM(K216:K217)</f>
        <v>10087.730423393878</v>
      </c>
      <c r="L218" s="179"/>
      <c r="M218" s="190">
        <f>K218-F218</f>
        <v>879.1504233938776</v>
      </c>
      <c r="N218" s="191">
        <f>M218/F218</f>
        <v>0.09547079173921252</v>
      </c>
    </row>
    <row r="219" spans="1:14" s="9" customFormat="1" ht="38.25">
      <c r="A219" s="86"/>
      <c r="B219" s="31"/>
      <c r="C219" s="180" t="s">
        <v>89</v>
      </c>
      <c r="D219" s="235">
        <f>A216</f>
        <v>3000</v>
      </c>
      <c r="E219" s="192">
        <v>4.2138</v>
      </c>
      <c r="F219" s="193">
        <f>D219*E219</f>
        <v>12641.4</v>
      </c>
      <c r="G219" s="167"/>
      <c r="H219" s="184" t="s">
        <v>84</v>
      </c>
      <c r="I219" s="261">
        <f aca="true" t="shared" si="10" ref="I219:K221">D219</f>
        <v>3000</v>
      </c>
      <c r="J219" s="238">
        <f t="shared" si="10"/>
        <v>4.2138</v>
      </c>
      <c r="K219" s="239">
        <f t="shared" si="10"/>
        <v>12641.4</v>
      </c>
      <c r="L219" s="179"/>
      <c r="M219" s="240"/>
      <c r="N219" s="259"/>
    </row>
    <row r="220" spans="1:14" s="9" customFormat="1" ht="38.25">
      <c r="A220" s="86"/>
      <c r="B220" s="31"/>
      <c r="C220" s="180" t="s">
        <v>84</v>
      </c>
      <c r="D220" s="235">
        <f>A218</f>
        <v>800000</v>
      </c>
      <c r="E220" s="192">
        <v>0.0132</v>
      </c>
      <c r="F220" s="193">
        <f>D220*E220</f>
        <v>10560</v>
      </c>
      <c r="G220" s="167"/>
      <c r="H220" s="184" t="s">
        <v>84</v>
      </c>
      <c r="I220" s="235">
        <f t="shared" si="10"/>
        <v>800000</v>
      </c>
      <c r="J220" s="238">
        <f t="shared" si="10"/>
        <v>0.0132</v>
      </c>
      <c r="K220" s="239">
        <f t="shared" si="10"/>
        <v>10560</v>
      </c>
      <c r="L220" s="179"/>
      <c r="M220" s="579"/>
      <c r="N220" s="580"/>
    </row>
    <row r="221" spans="1:14" s="9" customFormat="1" ht="39" thickBot="1">
      <c r="A221" s="86"/>
      <c r="B221" s="31"/>
      <c r="C221" s="196" t="s">
        <v>85</v>
      </c>
      <c r="D221" s="235">
        <f>A218</f>
        <v>800000</v>
      </c>
      <c r="E221" s="197">
        <v>0.055</v>
      </c>
      <c r="F221" s="183">
        <f>D221*E221</f>
        <v>44000</v>
      </c>
      <c r="G221" s="167"/>
      <c r="H221" s="198" t="s">
        <v>85</v>
      </c>
      <c r="I221" s="241">
        <f t="shared" si="10"/>
        <v>800000</v>
      </c>
      <c r="J221" s="242">
        <f t="shared" si="10"/>
        <v>0.055</v>
      </c>
      <c r="K221" s="243">
        <f t="shared" si="10"/>
        <v>44000</v>
      </c>
      <c r="L221" s="179"/>
      <c r="M221" s="579"/>
      <c r="N221" s="580"/>
    </row>
    <row r="222" spans="1:14" s="9" customFormat="1" ht="13.5" thickBot="1">
      <c r="A222" s="86"/>
      <c r="B222" s="31"/>
      <c r="C222" s="597"/>
      <c r="D222" s="598"/>
      <c r="E222" s="598"/>
      <c r="F222" s="598"/>
      <c r="G222" s="167"/>
      <c r="H222" s="598"/>
      <c r="I222" s="598"/>
      <c r="J222" s="598"/>
      <c r="K222" s="599"/>
      <c r="L222" s="31"/>
      <c r="M222" s="86"/>
      <c r="N222" s="202"/>
    </row>
    <row r="223" spans="1:14" s="9" customFormat="1" ht="13.5" thickBot="1">
      <c r="A223" s="94"/>
      <c r="B223" s="148"/>
      <c r="C223" s="203" t="s">
        <v>200</v>
      </c>
      <c r="D223" s="204"/>
      <c r="E223" s="204"/>
      <c r="F223" s="205">
        <f>SUM(F219:F221)+F218</f>
        <v>76409.98</v>
      </c>
      <c r="G223" s="206"/>
      <c r="H223" s="604" t="s">
        <v>201</v>
      </c>
      <c r="I223" s="604"/>
      <c r="J223" s="604"/>
      <c r="K223" s="189">
        <f>SUM(K219:K221)+K218</f>
        <v>77289.13042339387</v>
      </c>
      <c r="L223" s="207"/>
      <c r="M223" s="190">
        <f>K223-F223</f>
        <v>879.1504233938758</v>
      </c>
      <c r="N223" s="383">
        <f>M223/F223</f>
        <v>0.011505701524773019</v>
      </c>
    </row>
    <row r="224" spans="6:14" s="9" customFormat="1" ht="12.75">
      <c r="F224" s="179"/>
      <c r="K224" s="179"/>
      <c r="L224" s="216"/>
      <c r="M224" s="216"/>
      <c r="N224" s="229"/>
    </row>
    <row r="225" spans="1:14" s="9" customFormat="1" ht="13.5" thickBot="1">
      <c r="A225" s="148"/>
      <c r="B225" s="148"/>
      <c r="C225" s="250"/>
      <c r="D225" s="148"/>
      <c r="E225" s="251"/>
      <c r="F225" s="207"/>
      <c r="G225" s="148"/>
      <c r="H225" s="250"/>
      <c r="I225" s="148"/>
      <c r="J225" s="252"/>
      <c r="K225" s="207"/>
      <c r="L225" s="207"/>
      <c r="M225" s="207"/>
      <c r="N225" s="231"/>
    </row>
    <row r="226" spans="1:14" s="9" customFormat="1" ht="60">
      <c r="A226" s="168" t="s">
        <v>19</v>
      </c>
      <c r="B226" s="169"/>
      <c r="C226" s="569"/>
      <c r="D226" s="581" t="s">
        <v>86</v>
      </c>
      <c r="E226" s="583" t="s">
        <v>87</v>
      </c>
      <c r="F226" s="585" t="s">
        <v>182</v>
      </c>
      <c r="G226" s="166"/>
      <c r="H226" s="170"/>
      <c r="I226" s="581" t="s">
        <v>86</v>
      </c>
      <c r="J226" s="583" t="s">
        <v>87</v>
      </c>
      <c r="K226" s="585" t="s">
        <v>182</v>
      </c>
      <c r="L226" s="169"/>
      <c r="M226" s="600" t="s">
        <v>181</v>
      </c>
      <c r="N226" s="602" t="s">
        <v>80</v>
      </c>
    </row>
    <row r="227" spans="1:14" s="9" customFormat="1" ht="13.5" thickBot="1">
      <c r="A227" s="12" t="s">
        <v>11</v>
      </c>
      <c r="B227" s="31"/>
      <c r="C227" s="570"/>
      <c r="D227" s="582"/>
      <c r="E227" s="584"/>
      <c r="F227" s="586"/>
      <c r="G227" s="167"/>
      <c r="H227" s="31"/>
      <c r="I227" s="582"/>
      <c r="J227" s="584"/>
      <c r="K227" s="586"/>
      <c r="L227" s="32"/>
      <c r="M227" s="601"/>
      <c r="N227" s="603"/>
    </row>
    <row r="228" spans="1:14" s="9" customFormat="1" ht="39" thickBot="1">
      <c r="A228" s="233">
        <v>3000</v>
      </c>
      <c r="B228" s="31"/>
      <c r="C228" s="173" t="s">
        <v>21</v>
      </c>
      <c r="D228" s="174" t="s">
        <v>81</v>
      </c>
      <c r="E228" s="175" t="s">
        <v>81</v>
      </c>
      <c r="F228" s="176">
        <f>+F216</f>
        <v>4588.58</v>
      </c>
      <c r="G228" s="167"/>
      <c r="H228" s="177" t="s">
        <v>21</v>
      </c>
      <c r="I228" s="174" t="str">
        <f>D228</f>
        <v>N/A</v>
      </c>
      <c r="J228" s="174" t="s">
        <v>81</v>
      </c>
      <c r="K228" s="234">
        <f>+K216</f>
        <v>3857.508826100473</v>
      </c>
      <c r="L228" s="179"/>
      <c r="M228" s="575"/>
      <c r="N228" s="576"/>
    </row>
    <row r="229" spans="1:14" s="9" customFormat="1" ht="26.25" thickBot="1">
      <c r="A229" s="12" t="s">
        <v>12</v>
      </c>
      <c r="B229" s="31"/>
      <c r="C229" s="180" t="s">
        <v>88</v>
      </c>
      <c r="D229" s="235">
        <f>A228</f>
        <v>3000</v>
      </c>
      <c r="E229" s="182">
        <f>+E217</f>
        <v>1.54</v>
      </c>
      <c r="F229" s="183">
        <f>D229*E229</f>
        <v>4620</v>
      </c>
      <c r="G229" s="167"/>
      <c r="H229" s="184" t="s">
        <v>88</v>
      </c>
      <c r="I229" s="185">
        <f>D229</f>
        <v>3000</v>
      </c>
      <c r="J229" s="249">
        <f>+J217</f>
        <v>2.0767405324311348</v>
      </c>
      <c r="K229" s="237">
        <f>I229*J229</f>
        <v>6230.221597293405</v>
      </c>
      <c r="L229" s="179"/>
      <c r="M229" s="577"/>
      <c r="N229" s="578"/>
    </row>
    <row r="230" spans="1:14" s="9" customFormat="1" ht="13.5" thickBot="1">
      <c r="A230" s="233">
        <v>1000000</v>
      </c>
      <c r="B230" s="31"/>
      <c r="C230" s="605"/>
      <c r="D230" s="607"/>
      <c r="E230" s="187" t="s">
        <v>52</v>
      </c>
      <c r="F230" s="188">
        <f>SUM(F228:F229)</f>
        <v>9208.58</v>
      </c>
      <c r="G230" s="167"/>
      <c r="H230" s="595"/>
      <c r="I230" s="596"/>
      <c r="J230" s="187" t="s">
        <v>83</v>
      </c>
      <c r="K230" s="189">
        <f>SUM(K228:K229)</f>
        <v>10087.730423393878</v>
      </c>
      <c r="L230" s="179"/>
      <c r="M230" s="190">
        <f>K230-F230</f>
        <v>879.1504233938776</v>
      </c>
      <c r="N230" s="191">
        <f>M230/F230</f>
        <v>0.09547079173921252</v>
      </c>
    </row>
    <row r="231" spans="1:14" ht="38.25">
      <c r="A231" s="86"/>
      <c r="B231" s="31"/>
      <c r="C231" s="180" t="s">
        <v>89</v>
      </c>
      <c r="D231" s="235">
        <f>A228</f>
        <v>3000</v>
      </c>
      <c r="E231" s="192">
        <v>4.2138</v>
      </c>
      <c r="F231" s="193">
        <f>D231*E231</f>
        <v>12641.4</v>
      </c>
      <c r="G231" s="167"/>
      <c r="H231" s="184" t="s">
        <v>84</v>
      </c>
      <c r="I231" s="261">
        <f aca="true" t="shared" si="11" ref="I231:K233">D231</f>
        <v>3000</v>
      </c>
      <c r="J231" s="238">
        <f t="shared" si="11"/>
        <v>4.2138</v>
      </c>
      <c r="K231" s="239">
        <f t="shared" si="11"/>
        <v>12641.4</v>
      </c>
      <c r="L231" s="179"/>
      <c r="M231" s="240"/>
      <c r="N231" s="259"/>
    </row>
    <row r="232" spans="1:14" ht="38.25">
      <c r="A232" s="86"/>
      <c r="B232" s="31"/>
      <c r="C232" s="180" t="s">
        <v>84</v>
      </c>
      <c r="D232" s="235">
        <f>A230</f>
        <v>1000000</v>
      </c>
      <c r="E232" s="192">
        <v>0.0132</v>
      </c>
      <c r="F232" s="193">
        <f>D232*E232</f>
        <v>13200</v>
      </c>
      <c r="G232" s="167"/>
      <c r="H232" s="184" t="s">
        <v>84</v>
      </c>
      <c r="I232" s="235">
        <f t="shared" si="11"/>
        <v>1000000</v>
      </c>
      <c r="J232" s="238">
        <f t="shared" si="11"/>
        <v>0.0132</v>
      </c>
      <c r="K232" s="239">
        <f t="shared" si="11"/>
        <v>13200</v>
      </c>
      <c r="L232" s="179"/>
      <c r="M232" s="579"/>
      <c r="N232" s="580"/>
    </row>
    <row r="233" spans="1:14" ht="39" thickBot="1">
      <c r="A233" s="86"/>
      <c r="B233" s="31"/>
      <c r="C233" s="196" t="s">
        <v>85</v>
      </c>
      <c r="D233" s="235">
        <f>A230</f>
        <v>1000000</v>
      </c>
      <c r="E233" s="197">
        <v>0.055</v>
      </c>
      <c r="F233" s="183">
        <f>D233*E233</f>
        <v>55000</v>
      </c>
      <c r="G233" s="167"/>
      <c r="H233" s="198" t="s">
        <v>85</v>
      </c>
      <c r="I233" s="241">
        <f t="shared" si="11"/>
        <v>1000000</v>
      </c>
      <c r="J233" s="242">
        <f t="shared" si="11"/>
        <v>0.055</v>
      </c>
      <c r="K233" s="243">
        <f t="shared" si="11"/>
        <v>55000</v>
      </c>
      <c r="L233" s="179"/>
      <c r="M233" s="579"/>
      <c r="N233" s="580"/>
    </row>
    <row r="234" spans="1:14" ht="13.5" thickBot="1">
      <c r="A234" s="86"/>
      <c r="B234" s="31"/>
      <c r="C234" s="597"/>
      <c r="D234" s="598"/>
      <c r="E234" s="598"/>
      <c r="F234" s="598"/>
      <c r="G234" s="167"/>
      <c r="H234" s="598"/>
      <c r="I234" s="598"/>
      <c r="J234" s="598"/>
      <c r="K234" s="599"/>
      <c r="L234" s="31"/>
      <c r="M234" s="86"/>
      <c r="N234" s="202"/>
    </row>
    <row r="235" spans="1:14" ht="13.5" thickBot="1">
      <c r="A235" s="94"/>
      <c r="B235" s="148"/>
      <c r="C235" s="203" t="s">
        <v>200</v>
      </c>
      <c r="D235" s="204"/>
      <c r="E235" s="204"/>
      <c r="F235" s="205">
        <f>SUM(F231:F233)+F230</f>
        <v>90049.98</v>
      </c>
      <c r="G235" s="206"/>
      <c r="H235" s="604" t="s">
        <v>201</v>
      </c>
      <c r="I235" s="604"/>
      <c r="J235" s="604"/>
      <c r="K235" s="189">
        <f>SUM(K231:K233)+K230</f>
        <v>90929.13042339387</v>
      </c>
      <c r="L235" s="207"/>
      <c r="M235" s="190">
        <f>K235-F235</f>
        <v>879.1504233938758</v>
      </c>
      <c r="N235" s="383">
        <f>M235/F235</f>
        <v>0.009762916364821801</v>
      </c>
    </row>
    <row r="236" spans="1:14" ht="14.25">
      <c r="A236" s="11"/>
      <c r="B236" s="9"/>
      <c r="C236" s="9"/>
      <c r="D236" s="9"/>
      <c r="E236" s="9"/>
      <c r="F236" s="216"/>
      <c r="G236" s="9"/>
      <c r="H236" s="9"/>
      <c r="I236" s="9"/>
      <c r="J236" s="221"/>
      <c r="K236" s="216"/>
      <c r="L236" s="216"/>
      <c r="M236" s="216"/>
      <c r="N236" s="156"/>
    </row>
    <row r="237" spans="1:14" ht="15" thickBot="1">
      <c r="A237" s="11"/>
      <c r="B237" s="9"/>
      <c r="C237" s="9"/>
      <c r="D237" s="9"/>
      <c r="E237" s="9"/>
      <c r="F237" s="216"/>
      <c r="G237" s="9"/>
      <c r="H237" s="9"/>
      <c r="I237" s="9"/>
      <c r="J237" s="221"/>
      <c r="K237" s="216"/>
      <c r="L237" s="216"/>
      <c r="M237" s="216"/>
      <c r="N237" s="156"/>
    </row>
    <row r="238" spans="1:14" ht="60">
      <c r="A238" s="168" t="s">
        <v>19</v>
      </c>
      <c r="B238" s="169"/>
      <c r="C238" s="569"/>
      <c r="D238" s="581" t="s">
        <v>86</v>
      </c>
      <c r="E238" s="583" t="s">
        <v>87</v>
      </c>
      <c r="F238" s="585" t="s">
        <v>182</v>
      </c>
      <c r="G238" s="166"/>
      <c r="H238" s="170"/>
      <c r="I238" s="581" t="s">
        <v>86</v>
      </c>
      <c r="J238" s="583" t="s">
        <v>87</v>
      </c>
      <c r="K238" s="585" t="s">
        <v>182</v>
      </c>
      <c r="L238" s="169"/>
      <c r="M238" s="600" t="s">
        <v>181</v>
      </c>
      <c r="N238" s="602" t="s">
        <v>80</v>
      </c>
    </row>
    <row r="239" spans="1:14" ht="13.5" thickBot="1">
      <c r="A239" s="12" t="s">
        <v>11</v>
      </c>
      <c r="B239" s="31"/>
      <c r="C239" s="570"/>
      <c r="D239" s="582"/>
      <c r="E239" s="584"/>
      <c r="F239" s="586"/>
      <c r="G239" s="167"/>
      <c r="H239" s="31"/>
      <c r="I239" s="582"/>
      <c r="J239" s="584"/>
      <c r="K239" s="586"/>
      <c r="L239" s="32"/>
      <c r="M239" s="601"/>
      <c r="N239" s="603"/>
    </row>
    <row r="240" spans="1:14" ht="39" thickBot="1">
      <c r="A240" s="233">
        <v>4000</v>
      </c>
      <c r="B240" s="31"/>
      <c r="C240" s="173" t="s">
        <v>21</v>
      </c>
      <c r="D240" s="174" t="s">
        <v>81</v>
      </c>
      <c r="E240" s="175" t="s">
        <v>81</v>
      </c>
      <c r="F240" s="176">
        <f>+F228</f>
        <v>4588.58</v>
      </c>
      <c r="G240" s="167"/>
      <c r="H240" s="177" t="s">
        <v>21</v>
      </c>
      <c r="I240" s="174" t="str">
        <f>D240</f>
        <v>N/A</v>
      </c>
      <c r="J240" s="174" t="s">
        <v>81</v>
      </c>
      <c r="K240" s="234">
        <f>+K228</f>
        <v>3857.508826100473</v>
      </c>
      <c r="L240" s="179"/>
      <c r="M240" s="575"/>
      <c r="N240" s="576"/>
    </row>
    <row r="241" spans="1:14" ht="26.25" thickBot="1">
      <c r="A241" s="12" t="s">
        <v>12</v>
      </c>
      <c r="B241" s="31"/>
      <c r="C241" s="180" t="s">
        <v>88</v>
      </c>
      <c r="D241" s="235">
        <f>A240</f>
        <v>4000</v>
      </c>
      <c r="E241" s="182">
        <f>+E229</f>
        <v>1.54</v>
      </c>
      <c r="F241" s="183">
        <f>D241*E241</f>
        <v>6160</v>
      </c>
      <c r="G241" s="167"/>
      <c r="H241" s="184" t="s">
        <v>88</v>
      </c>
      <c r="I241" s="185">
        <f>D241</f>
        <v>4000</v>
      </c>
      <c r="J241" s="249">
        <f>+J229</f>
        <v>2.0767405324311348</v>
      </c>
      <c r="K241" s="237">
        <f>I241*J241</f>
        <v>8306.96212972454</v>
      </c>
      <c r="L241" s="179"/>
      <c r="M241" s="577"/>
      <c r="N241" s="578"/>
    </row>
    <row r="242" spans="1:14" ht="13.5" thickBot="1">
      <c r="A242" s="233">
        <v>1200000</v>
      </c>
      <c r="B242" s="31"/>
      <c r="C242" s="605"/>
      <c r="D242" s="607"/>
      <c r="E242" s="187" t="s">
        <v>52</v>
      </c>
      <c r="F242" s="188">
        <f>SUM(F240:F241)</f>
        <v>10748.58</v>
      </c>
      <c r="G242" s="167"/>
      <c r="H242" s="595"/>
      <c r="I242" s="596"/>
      <c r="J242" s="187" t="s">
        <v>83</v>
      </c>
      <c r="K242" s="189">
        <f>SUM(K240:K241)</f>
        <v>12164.470955825012</v>
      </c>
      <c r="L242" s="179"/>
      <c r="M242" s="190">
        <f>K242-F242</f>
        <v>1415.8909558250125</v>
      </c>
      <c r="N242" s="191">
        <f>M242/F242</f>
        <v>0.1317281869628372</v>
      </c>
    </row>
    <row r="243" spans="1:14" ht="38.25">
      <c r="A243" s="86"/>
      <c r="B243" s="31"/>
      <c r="C243" s="180" t="s">
        <v>89</v>
      </c>
      <c r="D243" s="235">
        <f>A240</f>
        <v>4000</v>
      </c>
      <c r="E243" s="192">
        <v>4.2138</v>
      </c>
      <c r="F243" s="193">
        <f>D243*E243</f>
        <v>16855.2</v>
      </c>
      <c r="G243" s="167"/>
      <c r="H243" s="184" t="s">
        <v>84</v>
      </c>
      <c r="I243" s="261">
        <f aca="true" t="shared" si="12" ref="I243:K245">D243</f>
        <v>4000</v>
      </c>
      <c r="J243" s="238">
        <f t="shared" si="12"/>
        <v>4.2138</v>
      </c>
      <c r="K243" s="239">
        <f t="shared" si="12"/>
        <v>16855.2</v>
      </c>
      <c r="L243" s="179"/>
      <c r="M243" s="240"/>
      <c r="N243" s="259"/>
    </row>
    <row r="244" spans="1:14" ht="38.25">
      <c r="A244" s="86"/>
      <c r="B244" s="31"/>
      <c r="C244" s="180" t="s">
        <v>84</v>
      </c>
      <c r="D244" s="235">
        <f>A242</f>
        <v>1200000</v>
      </c>
      <c r="E244" s="192">
        <v>0.0132</v>
      </c>
      <c r="F244" s="193">
        <f>D244*E244</f>
        <v>15840</v>
      </c>
      <c r="G244" s="167"/>
      <c r="H244" s="184" t="s">
        <v>84</v>
      </c>
      <c r="I244" s="235">
        <f t="shared" si="12"/>
        <v>1200000</v>
      </c>
      <c r="J244" s="238">
        <f t="shared" si="12"/>
        <v>0.0132</v>
      </c>
      <c r="K244" s="239">
        <f t="shared" si="12"/>
        <v>15840</v>
      </c>
      <c r="L244" s="179"/>
      <c r="M244" s="579"/>
      <c r="N244" s="580"/>
    </row>
    <row r="245" spans="1:14" ht="39" thickBot="1">
      <c r="A245" s="86"/>
      <c r="B245" s="31"/>
      <c r="C245" s="196" t="s">
        <v>85</v>
      </c>
      <c r="D245" s="235">
        <f>A242</f>
        <v>1200000</v>
      </c>
      <c r="E245" s="197">
        <v>0.055</v>
      </c>
      <c r="F245" s="183">
        <f>D245*E245</f>
        <v>66000</v>
      </c>
      <c r="G245" s="167"/>
      <c r="H245" s="198" t="s">
        <v>85</v>
      </c>
      <c r="I245" s="241">
        <f t="shared" si="12"/>
        <v>1200000</v>
      </c>
      <c r="J245" s="242">
        <f t="shared" si="12"/>
        <v>0.055</v>
      </c>
      <c r="K245" s="243">
        <f t="shared" si="12"/>
        <v>66000</v>
      </c>
      <c r="L245" s="179"/>
      <c r="M245" s="579"/>
      <c r="N245" s="580"/>
    </row>
    <row r="246" spans="1:14" ht="13.5" thickBot="1">
      <c r="A246" s="86"/>
      <c r="B246" s="31"/>
      <c r="C246" s="597"/>
      <c r="D246" s="598"/>
      <c r="E246" s="598"/>
      <c r="F246" s="598"/>
      <c r="G246" s="167"/>
      <c r="H246" s="598"/>
      <c r="I246" s="598"/>
      <c r="J246" s="598"/>
      <c r="K246" s="599"/>
      <c r="L246" s="31"/>
      <c r="M246" s="86"/>
      <c r="N246" s="202"/>
    </row>
    <row r="247" spans="1:14" ht="13.5" thickBot="1">
      <c r="A247" s="94"/>
      <c r="B247" s="148"/>
      <c r="C247" s="203" t="s">
        <v>200</v>
      </c>
      <c r="D247" s="204"/>
      <c r="E247" s="204"/>
      <c r="F247" s="205">
        <f>SUM(F243:F245)+F242</f>
        <v>109443.78</v>
      </c>
      <c r="G247" s="206"/>
      <c r="H247" s="604" t="s">
        <v>201</v>
      </c>
      <c r="I247" s="604"/>
      <c r="J247" s="604"/>
      <c r="K247" s="189">
        <f>SUM(K243:K245)+K242</f>
        <v>110859.67095582501</v>
      </c>
      <c r="L247" s="207"/>
      <c r="M247" s="190">
        <f>K247-F247</f>
        <v>1415.8909558250161</v>
      </c>
      <c r="N247" s="191">
        <f>M247/F247</f>
        <v>0.012937153265585456</v>
      </c>
    </row>
    <row r="248" spans="1:14" ht="12.75">
      <c r="A248" s="9"/>
      <c r="B248" s="9"/>
      <c r="C248" s="9"/>
      <c r="D248" s="9"/>
      <c r="E248" s="9"/>
      <c r="F248" s="216"/>
      <c r="G248" s="9"/>
      <c r="H248" s="9"/>
      <c r="I248" s="9"/>
      <c r="J248" s="221"/>
      <c r="K248" s="216"/>
      <c r="L248" s="216"/>
      <c r="M248" s="216"/>
      <c r="N248" s="156"/>
    </row>
    <row r="249" spans="1:14" ht="13.5" thickBot="1">
      <c r="A249" s="31"/>
      <c r="B249" s="31"/>
      <c r="C249" s="253"/>
      <c r="D249" s="123"/>
      <c r="E249" s="254"/>
      <c r="F249" s="179"/>
      <c r="G249" s="31"/>
      <c r="H249" s="253"/>
      <c r="I249" s="123"/>
      <c r="J249" s="255"/>
      <c r="K249" s="179"/>
      <c r="L249" s="179"/>
      <c r="M249" s="179"/>
      <c r="N249" s="229"/>
    </row>
    <row r="250" spans="1:14" ht="60">
      <c r="A250" s="168" t="s">
        <v>19</v>
      </c>
      <c r="B250" s="169"/>
      <c r="C250" s="569"/>
      <c r="D250" s="581" t="s">
        <v>86</v>
      </c>
      <c r="E250" s="583" t="s">
        <v>87</v>
      </c>
      <c r="F250" s="585" t="s">
        <v>182</v>
      </c>
      <c r="G250" s="166"/>
      <c r="H250" s="170"/>
      <c r="I250" s="581" t="s">
        <v>86</v>
      </c>
      <c r="J250" s="583" t="s">
        <v>87</v>
      </c>
      <c r="K250" s="585" t="s">
        <v>182</v>
      </c>
      <c r="L250" s="169"/>
      <c r="M250" s="600" t="s">
        <v>181</v>
      </c>
      <c r="N250" s="602" t="s">
        <v>80</v>
      </c>
    </row>
    <row r="251" spans="1:14" ht="13.5" thickBot="1">
      <c r="A251" s="12" t="s">
        <v>11</v>
      </c>
      <c r="B251" s="31"/>
      <c r="C251" s="570"/>
      <c r="D251" s="582"/>
      <c r="E251" s="584"/>
      <c r="F251" s="586"/>
      <c r="G251" s="167"/>
      <c r="H251" s="31"/>
      <c r="I251" s="582"/>
      <c r="J251" s="584"/>
      <c r="K251" s="586"/>
      <c r="L251" s="32"/>
      <c r="M251" s="601"/>
      <c r="N251" s="603"/>
    </row>
    <row r="252" spans="1:14" ht="39" thickBot="1">
      <c r="A252" s="233">
        <v>4000</v>
      </c>
      <c r="B252" s="31"/>
      <c r="C252" s="173" t="s">
        <v>21</v>
      </c>
      <c r="D252" s="174" t="s">
        <v>81</v>
      </c>
      <c r="E252" s="175" t="s">
        <v>81</v>
      </c>
      <c r="F252" s="176">
        <f>+F240</f>
        <v>4588.58</v>
      </c>
      <c r="G252" s="167"/>
      <c r="H252" s="177" t="s">
        <v>21</v>
      </c>
      <c r="I252" s="174" t="str">
        <f>D252</f>
        <v>N/A</v>
      </c>
      <c r="J252" s="174" t="s">
        <v>81</v>
      </c>
      <c r="K252" s="234">
        <f>+K240</f>
        <v>3857.508826100473</v>
      </c>
      <c r="L252" s="179"/>
      <c r="M252" s="575"/>
      <c r="N252" s="576"/>
    </row>
    <row r="253" spans="1:14" ht="26.25" thickBot="1">
      <c r="A253" s="12" t="s">
        <v>12</v>
      </c>
      <c r="B253" s="31"/>
      <c r="C253" s="180" t="s">
        <v>88</v>
      </c>
      <c r="D253" s="235">
        <f>A252</f>
        <v>4000</v>
      </c>
      <c r="E253" s="182">
        <f>+E241</f>
        <v>1.54</v>
      </c>
      <c r="F253" s="183">
        <f>D253*E253</f>
        <v>6160</v>
      </c>
      <c r="G253" s="167"/>
      <c r="H253" s="184" t="s">
        <v>88</v>
      </c>
      <c r="I253" s="185">
        <f>D253</f>
        <v>4000</v>
      </c>
      <c r="J253" s="382">
        <f>+J241</f>
        <v>2.0767405324311348</v>
      </c>
      <c r="K253" s="237">
        <f>I253*J253</f>
        <v>8306.96212972454</v>
      </c>
      <c r="L253" s="179"/>
      <c r="M253" s="577"/>
      <c r="N253" s="578"/>
    </row>
    <row r="254" spans="1:14" ht="13.5" thickBot="1">
      <c r="A254" s="233">
        <v>1800000</v>
      </c>
      <c r="B254" s="31"/>
      <c r="C254" s="605"/>
      <c r="D254" s="607"/>
      <c r="E254" s="187" t="s">
        <v>52</v>
      </c>
      <c r="F254" s="188">
        <f>SUM(F252:F253)</f>
        <v>10748.58</v>
      </c>
      <c r="G254" s="167"/>
      <c r="H254" s="595"/>
      <c r="I254" s="596"/>
      <c r="J254" s="187" t="s">
        <v>83</v>
      </c>
      <c r="K254" s="189">
        <f>SUM(K252:K253)</f>
        <v>12164.470955825012</v>
      </c>
      <c r="L254" s="179"/>
      <c r="M254" s="190">
        <f>K254-F254</f>
        <v>1415.8909558250125</v>
      </c>
      <c r="N254" s="191">
        <f>M254/F254</f>
        <v>0.1317281869628372</v>
      </c>
    </row>
    <row r="255" spans="1:14" ht="38.25">
      <c r="A255" s="86"/>
      <c r="B255" s="31"/>
      <c r="C255" s="180" t="s">
        <v>89</v>
      </c>
      <c r="D255" s="235">
        <f>A252</f>
        <v>4000</v>
      </c>
      <c r="E255" s="192">
        <v>4.2138</v>
      </c>
      <c r="F255" s="193">
        <f>D255*E255</f>
        <v>16855.2</v>
      </c>
      <c r="G255" s="167"/>
      <c r="H255" s="184" t="s">
        <v>84</v>
      </c>
      <c r="I255" s="261">
        <f aca="true" t="shared" si="13" ref="I255:K257">D255</f>
        <v>4000</v>
      </c>
      <c r="J255" s="238">
        <f t="shared" si="13"/>
        <v>4.2138</v>
      </c>
      <c r="K255" s="239">
        <f t="shared" si="13"/>
        <v>16855.2</v>
      </c>
      <c r="L255" s="179"/>
      <c r="M255" s="240"/>
      <c r="N255" s="259"/>
    </row>
    <row r="256" spans="1:14" ht="38.25">
      <c r="A256" s="86"/>
      <c r="B256" s="31"/>
      <c r="C256" s="180" t="s">
        <v>84</v>
      </c>
      <c r="D256" s="235">
        <f>A254</f>
        <v>1800000</v>
      </c>
      <c r="E256" s="192">
        <v>0.0132</v>
      </c>
      <c r="F256" s="193">
        <f>D256*E256</f>
        <v>23760</v>
      </c>
      <c r="G256" s="167"/>
      <c r="H256" s="184" t="s">
        <v>84</v>
      </c>
      <c r="I256" s="235">
        <f t="shared" si="13"/>
        <v>1800000</v>
      </c>
      <c r="J256" s="238">
        <f t="shared" si="13"/>
        <v>0.0132</v>
      </c>
      <c r="K256" s="239">
        <f t="shared" si="13"/>
        <v>23760</v>
      </c>
      <c r="L256" s="179"/>
      <c r="M256" s="579"/>
      <c r="N256" s="580"/>
    </row>
    <row r="257" spans="1:14" ht="39" thickBot="1">
      <c r="A257" s="86"/>
      <c r="B257" s="31"/>
      <c r="C257" s="196" t="s">
        <v>85</v>
      </c>
      <c r="D257" s="235">
        <f>A254</f>
        <v>1800000</v>
      </c>
      <c r="E257" s="197">
        <v>0.055</v>
      </c>
      <c r="F257" s="183">
        <f>D257*E257</f>
        <v>99000</v>
      </c>
      <c r="G257" s="167"/>
      <c r="H257" s="198" t="s">
        <v>85</v>
      </c>
      <c r="I257" s="241">
        <f t="shared" si="13"/>
        <v>1800000</v>
      </c>
      <c r="J257" s="242">
        <f t="shared" si="13"/>
        <v>0.055</v>
      </c>
      <c r="K257" s="243">
        <f t="shared" si="13"/>
        <v>99000</v>
      </c>
      <c r="L257" s="179"/>
      <c r="M257" s="579"/>
      <c r="N257" s="580"/>
    </row>
    <row r="258" spans="1:14" ht="13.5" thickBot="1">
      <c r="A258" s="86"/>
      <c r="B258" s="31"/>
      <c r="C258" s="597"/>
      <c r="D258" s="598"/>
      <c r="E258" s="598"/>
      <c r="F258" s="598"/>
      <c r="G258" s="167"/>
      <c r="H258" s="598"/>
      <c r="I258" s="598"/>
      <c r="J258" s="598"/>
      <c r="K258" s="599"/>
      <c r="L258" s="31"/>
      <c r="M258" s="86"/>
      <c r="N258" s="202"/>
    </row>
    <row r="259" spans="1:14" ht="13.5" thickBot="1">
      <c r="A259" s="94"/>
      <c r="B259" s="148"/>
      <c r="C259" s="203" t="s">
        <v>200</v>
      </c>
      <c r="D259" s="204"/>
      <c r="E259" s="204"/>
      <c r="F259" s="205">
        <f>SUM(F255:F257)+F254</f>
        <v>150363.78</v>
      </c>
      <c r="G259" s="206"/>
      <c r="H259" s="604" t="s">
        <v>201</v>
      </c>
      <c r="I259" s="604"/>
      <c r="J259" s="604"/>
      <c r="K259" s="189">
        <f>SUM(K255:K257)+K254</f>
        <v>151779.67095582501</v>
      </c>
      <c r="L259" s="207"/>
      <c r="M259" s="190">
        <f>K259-F259</f>
        <v>1415.8909558250161</v>
      </c>
      <c r="N259" s="383">
        <f>M259/F259</f>
        <v>0.009416436297524684</v>
      </c>
    </row>
    <row r="260" spans="1:14" ht="12.75">
      <c r="A260" s="31"/>
      <c r="B260" s="31"/>
      <c r="C260" s="31"/>
      <c r="D260" s="31"/>
      <c r="E260" s="31"/>
      <c r="F260" s="31"/>
      <c r="G260" s="31"/>
      <c r="H260" s="31"/>
      <c r="I260" s="31"/>
      <c r="J260" s="31"/>
      <c r="K260" s="31"/>
      <c r="L260" s="31"/>
      <c r="M260" s="31"/>
      <c r="N260" s="31"/>
    </row>
    <row r="261" spans="1:14" ht="12.75">
      <c r="A261" s="31"/>
      <c r="B261" s="31"/>
      <c r="C261" s="31"/>
      <c r="D261" s="31"/>
      <c r="E261" s="31"/>
      <c r="F261" s="31"/>
      <c r="G261" s="31"/>
      <c r="H261" s="31"/>
      <c r="I261" s="31"/>
      <c r="J261" s="31"/>
      <c r="K261" s="31"/>
      <c r="L261" s="31"/>
      <c r="M261" s="31"/>
      <c r="N261" s="31"/>
    </row>
    <row r="262" spans="1:14" ht="23.25">
      <c r="A262" s="220" t="s">
        <v>90</v>
      </c>
      <c r="B262" s="9"/>
      <c r="C262" s="9"/>
      <c r="D262" s="9"/>
      <c r="E262" s="9"/>
      <c r="F262" s="9"/>
      <c r="G262" s="9"/>
      <c r="H262" s="9"/>
      <c r="I262" s="9"/>
      <c r="J262" s="9"/>
      <c r="K262" s="9"/>
      <c r="L262" s="9"/>
      <c r="M262" s="9"/>
      <c r="N262" s="156"/>
    </row>
    <row r="263" spans="1:14" ht="15.75">
      <c r="A263" s="131"/>
      <c r="B263" s="9"/>
      <c r="C263" s="9"/>
      <c r="D263" s="9"/>
      <c r="E263" s="9"/>
      <c r="F263" s="9"/>
      <c r="G263" s="9"/>
      <c r="H263" s="9"/>
      <c r="I263" s="9"/>
      <c r="J263" s="9"/>
      <c r="K263" s="9"/>
      <c r="L263" s="9"/>
      <c r="M263" s="9"/>
      <c r="N263" s="156"/>
    </row>
    <row r="264" spans="1:14" ht="14.25">
      <c r="A264" s="140" t="s">
        <v>145</v>
      </c>
      <c r="B264" s="143"/>
      <c r="C264" s="143"/>
      <c r="D264" s="143"/>
      <c r="E264" s="143"/>
      <c r="F264" s="143"/>
      <c r="G264" s="143"/>
      <c r="H264" s="143"/>
      <c r="I264" s="143"/>
      <c r="J264" s="143"/>
      <c r="K264" s="143"/>
      <c r="L264" s="143"/>
      <c r="M264" s="143"/>
      <c r="N264" s="226"/>
    </row>
    <row r="265" spans="1:14" ht="14.25">
      <c r="A265" s="140" t="s">
        <v>51</v>
      </c>
      <c r="B265" s="143"/>
      <c r="C265" s="143"/>
      <c r="D265" s="143"/>
      <c r="E265" s="143"/>
      <c r="F265" s="143"/>
      <c r="G265" s="143"/>
      <c r="H265" s="143"/>
      <c r="I265" s="143"/>
      <c r="J265" s="143"/>
      <c r="K265" s="143"/>
      <c r="L265" s="143"/>
      <c r="M265" s="143"/>
      <c r="N265" s="226"/>
    </row>
    <row r="266" spans="1:14" ht="14.25">
      <c r="A266" s="140" t="s">
        <v>147</v>
      </c>
      <c r="B266" s="143"/>
      <c r="C266" s="143"/>
      <c r="D266" s="143"/>
      <c r="E266" s="143"/>
      <c r="F266" s="143"/>
      <c r="G266" s="143"/>
      <c r="H266" s="143"/>
      <c r="I266" s="143"/>
      <c r="J266" s="143"/>
      <c r="K266" s="143"/>
      <c r="L266" s="143"/>
      <c r="M266" s="143"/>
      <c r="N266" s="226"/>
    </row>
    <row r="267" spans="1:14" ht="14.25">
      <c r="A267" s="140" t="s">
        <v>146</v>
      </c>
      <c r="B267" s="143"/>
      <c r="C267" s="143"/>
      <c r="D267" s="143"/>
      <c r="E267" s="143"/>
      <c r="F267" s="143"/>
      <c r="G267" s="143"/>
      <c r="H267" s="143"/>
      <c r="I267" s="143"/>
      <c r="J267" s="143"/>
      <c r="K267" s="143"/>
      <c r="L267" s="143"/>
      <c r="M267" s="143"/>
      <c r="N267" s="226"/>
    </row>
    <row r="268" spans="1:14" ht="12.75">
      <c r="A268" s="31"/>
      <c r="B268" s="31"/>
      <c r="C268" s="31"/>
      <c r="D268" s="31"/>
      <c r="E268" s="31"/>
      <c r="F268" s="179"/>
      <c r="G268" s="31"/>
      <c r="H268" s="31"/>
      <c r="I268" s="31"/>
      <c r="J268" s="256"/>
      <c r="K268" s="179"/>
      <c r="L268" s="179"/>
      <c r="M268" s="179"/>
      <c r="N268" s="229"/>
    </row>
    <row r="269" spans="1:14" ht="12.75">
      <c r="A269" s="31"/>
      <c r="B269" s="31"/>
      <c r="C269" s="500" t="s">
        <v>244</v>
      </c>
      <c r="D269" s="501"/>
      <c r="E269" s="501"/>
      <c r="F269" s="179"/>
      <c r="G269" s="31"/>
      <c r="H269" s="31"/>
      <c r="I269" s="31"/>
      <c r="J269" s="256"/>
      <c r="K269" s="179"/>
      <c r="L269" s="179"/>
      <c r="M269" s="179"/>
      <c r="N269" s="229"/>
    </row>
    <row r="270" spans="1:14" ht="15.75" thickBot="1">
      <c r="A270" s="31"/>
      <c r="B270" s="31"/>
      <c r="C270" s="257"/>
      <c r="D270" s="31"/>
      <c r="E270" s="31"/>
      <c r="F270" s="31"/>
      <c r="G270" s="31"/>
      <c r="H270" s="257"/>
      <c r="I270" s="31"/>
      <c r="J270" s="31"/>
      <c r="K270" s="258"/>
      <c r="L270" s="31"/>
      <c r="M270" s="31"/>
      <c r="N270" s="229"/>
    </row>
    <row r="271" spans="1:14" ht="14.25">
      <c r="A271" s="11"/>
      <c r="B271" s="9"/>
      <c r="C271" s="589" t="s">
        <v>95</v>
      </c>
      <c r="D271" s="590"/>
      <c r="E271" s="590"/>
      <c r="F271" s="591"/>
      <c r="G271" s="166"/>
      <c r="H271" s="589" t="s">
        <v>96</v>
      </c>
      <c r="I271" s="590"/>
      <c r="J271" s="590"/>
      <c r="K271" s="590"/>
      <c r="L271" s="590"/>
      <c r="M271" s="590"/>
      <c r="N271" s="591"/>
    </row>
    <row r="272" spans="2:14" ht="13.5" thickBot="1">
      <c r="B272" s="9"/>
      <c r="C272" s="592"/>
      <c r="D272" s="593"/>
      <c r="E272" s="593"/>
      <c r="F272" s="594"/>
      <c r="G272" s="167"/>
      <c r="H272" s="592"/>
      <c r="I272" s="593"/>
      <c r="J272" s="593"/>
      <c r="K272" s="593"/>
      <c r="L272" s="593"/>
      <c r="M272" s="593"/>
      <c r="N272" s="594"/>
    </row>
    <row r="273" spans="1:14" ht="60">
      <c r="A273" s="168" t="s">
        <v>19</v>
      </c>
      <c r="B273" s="169"/>
      <c r="C273" s="569"/>
      <c r="D273" s="581" t="s">
        <v>86</v>
      </c>
      <c r="E273" s="583" t="s">
        <v>87</v>
      </c>
      <c r="F273" s="585" t="s">
        <v>182</v>
      </c>
      <c r="G273" s="166"/>
      <c r="H273" s="170"/>
      <c r="I273" s="581" t="s">
        <v>86</v>
      </c>
      <c r="J273" s="583" t="s">
        <v>87</v>
      </c>
      <c r="K273" s="585" t="s">
        <v>182</v>
      </c>
      <c r="L273" s="169"/>
      <c r="M273" s="600" t="s">
        <v>181</v>
      </c>
      <c r="N273" s="602" t="s">
        <v>80</v>
      </c>
    </row>
    <row r="274" spans="1:14" ht="13.5" thickBot="1">
      <c r="A274" s="12" t="s">
        <v>11</v>
      </c>
      <c r="B274" s="31"/>
      <c r="C274" s="570"/>
      <c r="D274" s="582"/>
      <c r="E274" s="584"/>
      <c r="F274" s="586"/>
      <c r="G274" s="167"/>
      <c r="H274" s="31"/>
      <c r="I274" s="582"/>
      <c r="J274" s="584"/>
      <c r="K274" s="586"/>
      <c r="L274" s="32"/>
      <c r="M274" s="601"/>
      <c r="N274" s="603"/>
    </row>
    <row r="275" spans="1:14" ht="39" thickBot="1">
      <c r="A275" s="233">
        <v>6000</v>
      </c>
      <c r="B275" s="31"/>
      <c r="C275" s="173" t="s">
        <v>21</v>
      </c>
      <c r="D275" s="174" t="s">
        <v>81</v>
      </c>
      <c r="E275" s="175" t="s">
        <v>81</v>
      </c>
      <c r="F275" s="176">
        <f>+'12. Current Rates'!D128</f>
        <v>11298.32</v>
      </c>
      <c r="G275" s="167"/>
      <c r="H275" s="177" t="s">
        <v>21</v>
      </c>
      <c r="I275" s="174" t="str">
        <f>D275</f>
        <v>N/A</v>
      </c>
      <c r="J275" s="174" t="s">
        <v>81</v>
      </c>
      <c r="K275" s="234">
        <f>+'11. 2005 Final Rate Schedule '!F205</f>
        <v>10069.069583156099</v>
      </c>
      <c r="L275" s="179"/>
      <c r="M275" s="575"/>
      <c r="N275" s="576"/>
    </row>
    <row r="276" spans="1:14" ht="26.25" thickBot="1">
      <c r="A276" s="12" t="s">
        <v>12</v>
      </c>
      <c r="B276" s="31"/>
      <c r="C276" s="180" t="s">
        <v>88</v>
      </c>
      <c r="D276" s="235">
        <f>A275</f>
        <v>6000</v>
      </c>
      <c r="E276" s="182">
        <f>+'12. Current Rates'!D126</f>
        <v>1.88</v>
      </c>
      <c r="F276" s="183">
        <f>D276*E276</f>
        <v>11280</v>
      </c>
      <c r="G276" s="167"/>
      <c r="H276" s="184" t="s">
        <v>88</v>
      </c>
      <c r="I276" s="185">
        <f>D276</f>
        <v>6000</v>
      </c>
      <c r="J276" s="249">
        <f>+'11. 2005 Final Rate Schedule '!F206</f>
        <v>2.6159248864575155</v>
      </c>
      <c r="K276" s="237">
        <f>IF(ISERROR(I276*J276),0,I276*J276)</f>
        <v>15695.549318745094</v>
      </c>
      <c r="L276" s="179"/>
      <c r="M276" s="577"/>
      <c r="N276" s="578"/>
    </row>
    <row r="277" spans="1:14" ht="13.5" thickBot="1">
      <c r="A277" s="233">
        <v>2800000</v>
      </c>
      <c r="B277" s="31"/>
      <c r="C277" s="605"/>
      <c r="D277" s="607"/>
      <c r="E277" s="187" t="s">
        <v>52</v>
      </c>
      <c r="F277" s="188">
        <f>SUM(F275:F276)</f>
        <v>22578.32</v>
      </c>
      <c r="G277" s="167"/>
      <c r="H277" s="595"/>
      <c r="I277" s="596"/>
      <c r="J277" s="187" t="s">
        <v>83</v>
      </c>
      <c r="K277" s="189">
        <f>SUM(K275:K276)</f>
        <v>25764.618901901194</v>
      </c>
      <c r="L277" s="179"/>
      <c r="M277" s="190">
        <f>K277-F277</f>
        <v>3186.2989019011948</v>
      </c>
      <c r="N277" s="191">
        <f>M277/F277</f>
        <v>0.1411220543380196</v>
      </c>
    </row>
    <row r="278" spans="1:14" ht="38.25">
      <c r="A278" s="86"/>
      <c r="B278" s="31"/>
      <c r="C278" s="180" t="s">
        <v>89</v>
      </c>
      <c r="D278" s="235">
        <f>A275</f>
        <v>6000</v>
      </c>
      <c r="E278" s="192">
        <v>0.047369</v>
      </c>
      <c r="F278" s="193">
        <f>D278*E278</f>
        <v>284.214</v>
      </c>
      <c r="G278" s="167"/>
      <c r="H278" s="184" t="s">
        <v>84</v>
      </c>
      <c r="I278" s="261">
        <f aca="true" t="shared" si="14" ref="I278:K280">D278</f>
        <v>6000</v>
      </c>
      <c r="J278" s="238">
        <f t="shared" si="14"/>
        <v>0.047369</v>
      </c>
      <c r="K278" s="239">
        <f t="shared" si="14"/>
        <v>284.214</v>
      </c>
      <c r="L278" s="179"/>
      <c r="M278" s="240"/>
      <c r="N278" s="259"/>
    </row>
    <row r="279" spans="1:14" ht="38.25">
      <c r="A279" s="86"/>
      <c r="B279" s="31"/>
      <c r="C279" s="180" t="s">
        <v>84</v>
      </c>
      <c r="D279" s="235">
        <f>A277</f>
        <v>2800000</v>
      </c>
      <c r="E279" s="192">
        <v>0.0132</v>
      </c>
      <c r="F279" s="193">
        <f>D279*E279</f>
        <v>36960</v>
      </c>
      <c r="G279" s="167"/>
      <c r="H279" s="184" t="s">
        <v>84</v>
      </c>
      <c r="I279" s="235">
        <f t="shared" si="14"/>
        <v>2800000</v>
      </c>
      <c r="J279" s="238">
        <f t="shared" si="14"/>
        <v>0.0132</v>
      </c>
      <c r="K279" s="239">
        <f t="shared" si="14"/>
        <v>36960</v>
      </c>
      <c r="L279" s="179"/>
      <c r="M279" s="579"/>
      <c r="N279" s="580"/>
    </row>
    <row r="280" spans="1:14" ht="39" thickBot="1">
      <c r="A280" s="86"/>
      <c r="B280" s="31"/>
      <c r="C280" s="196" t="s">
        <v>85</v>
      </c>
      <c r="D280" s="235">
        <f>A277</f>
        <v>2800000</v>
      </c>
      <c r="E280" s="197">
        <v>0.055</v>
      </c>
      <c r="F280" s="183">
        <f>D280*E280</f>
        <v>154000</v>
      </c>
      <c r="G280" s="167"/>
      <c r="H280" s="198" t="s">
        <v>85</v>
      </c>
      <c r="I280" s="241">
        <f t="shared" si="14"/>
        <v>2800000</v>
      </c>
      <c r="J280" s="242">
        <f t="shared" si="14"/>
        <v>0.055</v>
      </c>
      <c r="K280" s="243">
        <f t="shared" si="14"/>
        <v>154000</v>
      </c>
      <c r="L280" s="179"/>
      <c r="M280" s="579"/>
      <c r="N280" s="580"/>
    </row>
    <row r="281" spans="1:14" ht="13.5" thickBot="1">
      <c r="A281" s="86"/>
      <c r="B281" s="31"/>
      <c r="C281" s="597"/>
      <c r="D281" s="598"/>
      <c r="E281" s="598"/>
      <c r="F281" s="598"/>
      <c r="G281" s="167"/>
      <c r="H281" s="598"/>
      <c r="I281" s="598"/>
      <c r="J281" s="598"/>
      <c r="K281" s="599"/>
      <c r="L281" s="31"/>
      <c r="M281" s="94"/>
      <c r="N281" s="260"/>
    </row>
    <row r="282" spans="1:14" ht="13.5" thickBot="1">
      <c r="A282" s="94"/>
      <c r="B282" s="148"/>
      <c r="C282" s="203" t="s">
        <v>200</v>
      </c>
      <c r="D282" s="204"/>
      <c r="E282" s="204"/>
      <c r="F282" s="205">
        <f>SUM(F278:F280)+F277</f>
        <v>213822.534</v>
      </c>
      <c r="G282" s="206"/>
      <c r="H282" s="604" t="s">
        <v>201</v>
      </c>
      <c r="I282" s="604"/>
      <c r="J282" s="604"/>
      <c r="K282" s="189">
        <f>SUM(K278:K280)+K277</f>
        <v>217008.83290190122</v>
      </c>
      <c r="L282" s="207"/>
      <c r="M282" s="190">
        <f>K282-F282</f>
        <v>3186.298901901202</v>
      </c>
      <c r="N282" s="191">
        <f>M282/F282</f>
        <v>0.014901604813556282</v>
      </c>
    </row>
    <row r="283" spans="1:14" ht="12.75">
      <c r="A283" s="9"/>
      <c r="B283" s="9"/>
      <c r="C283" s="9"/>
      <c r="D283" s="9"/>
      <c r="E283" s="9"/>
      <c r="F283" s="179"/>
      <c r="G283" s="9"/>
      <c r="H283" s="9"/>
      <c r="I283" s="9"/>
      <c r="J283" s="9"/>
      <c r="K283" s="179"/>
      <c r="L283" s="216"/>
      <c r="M283" s="216"/>
      <c r="N283" s="229"/>
    </row>
    <row r="284" spans="1:14" ht="13.5" thickBot="1">
      <c r="A284" s="148"/>
      <c r="B284" s="148"/>
      <c r="C284" s="250"/>
      <c r="D284" s="148"/>
      <c r="E284" s="251"/>
      <c r="F284" s="207"/>
      <c r="G284" s="148"/>
      <c r="H284" s="250"/>
      <c r="I284" s="148"/>
      <c r="J284" s="252"/>
      <c r="K284" s="207"/>
      <c r="L284" s="207"/>
      <c r="M284" s="207"/>
      <c r="N284" s="231"/>
    </row>
    <row r="285" spans="1:14" ht="60">
      <c r="A285" s="168" t="s">
        <v>19</v>
      </c>
      <c r="B285" s="169"/>
      <c r="C285" s="569"/>
      <c r="D285" s="581" t="s">
        <v>86</v>
      </c>
      <c r="E285" s="583" t="s">
        <v>87</v>
      </c>
      <c r="F285" s="585" t="s">
        <v>182</v>
      </c>
      <c r="G285" s="166"/>
      <c r="H285" s="170"/>
      <c r="I285" s="581" t="s">
        <v>86</v>
      </c>
      <c r="J285" s="583" t="s">
        <v>87</v>
      </c>
      <c r="K285" s="585" t="s">
        <v>182</v>
      </c>
      <c r="L285" s="169"/>
      <c r="M285" s="600" t="s">
        <v>181</v>
      </c>
      <c r="N285" s="602" t="s">
        <v>80</v>
      </c>
    </row>
    <row r="286" spans="1:14" ht="13.5" thickBot="1">
      <c r="A286" s="12" t="s">
        <v>11</v>
      </c>
      <c r="B286" s="31"/>
      <c r="C286" s="570"/>
      <c r="D286" s="582"/>
      <c r="E286" s="584"/>
      <c r="F286" s="586"/>
      <c r="G286" s="167"/>
      <c r="H286" s="31"/>
      <c r="I286" s="582"/>
      <c r="J286" s="584"/>
      <c r="K286" s="586"/>
      <c r="L286" s="32"/>
      <c r="M286" s="601"/>
      <c r="N286" s="603"/>
    </row>
    <row r="287" spans="1:14" ht="39" thickBot="1">
      <c r="A287" s="233">
        <v>15000</v>
      </c>
      <c r="B287" s="31"/>
      <c r="C287" s="173" t="s">
        <v>21</v>
      </c>
      <c r="D287" s="174" t="s">
        <v>81</v>
      </c>
      <c r="E287" s="175" t="s">
        <v>81</v>
      </c>
      <c r="F287" s="176">
        <f>+F275</f>
        <v>11298.32</v>
      </c>
      <c r="G287" s="167"/>
      <c r="H287" s="177" t="s">
        <v>21</v>
      </c>
      <c r="I287" s="174" t="str">
        <f>D287</f>
        <v>N/A</v>
      </c>
      <c r="J287" s="174" t="s">
        <v>81</v>
      </c>
      <c r="K287" s="234">
        <f>+K275</f>
        <v>10069.069583156099</v>
      </c>
      <c r="L287" s="179"/>
      <c r="M287" s="575"/>
      <c r="N287" s="576"/>
    </row>
    <row r="288" spans="1:14" ht="26.25" thickBot="1">
      <c r="A288" s="12" t="s">
        <v>12</v>
      </c>
      <c r="B288" s="31"/>
      <c r="C288" s="180" t="s">
        <v>88</v>
      </c>
      <c r="D288" s="235">
        <f>A287</f>
        <v>15000</v>
      </c>
      <c r="E288" s="182">
        <f>+E276</f>
        <v>1.88</v>
      </c>
      <c r="F288" s="183">
        <f>D288*E288</f>
        <v>28200</v>
      </c>
      <c r="G288" s="167"/>
      <c r="H288" s="184" t="s">
        <v>88</v>
      </c>
      <c r="I288" s="185">
        <f>D288</f>
        <v>15000</v>
      </c>
      <c r="J288" s="249">
        <f>+J276</f>
        <v>2.6159248864575155</v>
      </c>
      <c r="K288" s="237">
        <f>IF(ISERROR(I288*J288),0,I288*J288)</f>
        <v>39238.87329686273</v>
      </c>
      <c r="L288" s="179"/>
      <c r="M288" s="577"/>
      <c r="N288" s="578"/>
    </row>
    <row r="289" spans="1:14" ht="13.5" thickBot="1">
      <c r="A289" s="233">
        <v>10000000</v>
      </c>
      <c r="B289" s="31"/>
      <c r="C289" s="605"/>
      <c r="D289" s="607"/>
      <c r="E289" s="187" t="s">
        <v>52</v>
      </c>
      <c r="F289" s="188">
        <f>SUM(F287:F288)</f>
        <v>39498.32</v>
      </c>
      <c r="G289" s="167"/>
      <c r="H289" s="595"/>
      <c r="I289" s="596"/>
      <c r="J289" s="187" t="s">
        <v>83</v>
      </c>
      <c r="K289" s="189">
        <f>SUM(K287:K288)</f>
        <v>49307.94288001883</v>
      </c>
      <c r="L289" s="179"/>
      <c r="M289" s="190">
        <f>K289-F289</f>
        <v>9809.622880018833</v>
      </c>
      <c r="N289" s="191">
        <f>M289/F289</f>
        <v>0.24835544600425621</v>
      </c>
    </row>
    <row r="290" spans="1:14" ht="38.25">
      <c r="A290" s="86"/>
      <c r="B290" s="31"/>
      <c r="C290" s="180" t="s">
        <v>89</v>
      </c>
      <c r="D290" s="235">
        <f>A287</f>
        <v>15000</v>
      </c>
      <c r="E290" s="192">
        <v>0.047369</v>
      </c>
      <c r="F290" s="193">
        <f>D290*E290</f>
        <v>710.535</v>
      </c>
      <c r="G290" s="167"/>
      <c r="H290" s="184" t="s">
        <v>84</v>
      </c>
      <c r="I290" s="261">
        <f aca="true" t="shared" si="15" ref="I290:K292">D290</f>
        <v>15000</v>
      </c>
      <c r="J290" s="238">
        <f t="shared" si="15"/>
        <v>0.047369</v>
      </c>
      <c r="K290" s="239">
        <f t="shared" si="15"/>
        <v>710.535</v>
      </c>
      <c r="L290" s="179"/>
      <c r="M290" s="240"/>
      <c r="N290" s="259"/>
    </row>
    <row r="291" spans="1:14" ht="38.25">
      <c r="A291" s="86"/>
      <c r="B291" s="31"/>
      <c r="C291" s="180" t="s">
        <v>84</v>
      </c>
      <c r="D291" s="235">
        <f>A289</f>
        <v>10000000</v>
      </c>
      <c r="E291" s="192">
        <v>0.0132</v>
      </c>
      <c r="F291" s="193">
        <f>D291*E291</f>
        <v>132000</v>
      </c>
      <c r="G291" s="167"/>
      <c r="H291" s="184" t="s">
        <v>84</v>
      </c>
      <c r="I291" s="235">
        <f t="shared" si="15"/>
        <v>10000000</v>
      </c>
      <c r="J291" s="238">
        <f t="shared" si="15"/>
        <v>0.0132</v>
      </c>
      <c r="K291" s="239">
        <f t="shared" si="15"/>
        <v>132000</v>
      </c>
      <c r="L291" s="179"/>
      <c r="M291" s="579"/>
      <c r="N291" s="580"/>
    </row>
    <row r="292" spans="1:14" ht="39" thickBot="1">
      <c r="A292" s="86"/>
      <c r="B292" s="31"/>
      <c r="C292" s="196" t="s">
        <v>85</v>
      </c>
      <c r="D292" s="235">
        <f>A289</f>
        <v>10000000</v>
      </c>
      <c r="E292" s="197">
        <v>0.055</v>
      </c>
      <c r="F292" s="183">
        <f>D292*E292</f>
        <v>550000</v>
      </c>
      <c r="G292" s="167"/>
      <c r="H292" s="198" t="s">
        <v>85</v>
      </c>
      <c r="I292" s="241">
        <f t="shared" si="15"/>
        <v>10000000</v>
      </c>
      <c r="J292" s="242">
        <f t="shared" si="15"/>
        <v>0.055</v>
      </c>
      <c r="K292" s="243">
        <f t="shared" si="15"/>
        <v>550000</v>
      </c>
      <c r="L292" s="179"/>
      <c r="M292" s="579"/>
      <c r="N292" s="580"/>
    </row>
    <row r="293" spans="1:14" ht="13.5" thickBot="1">
      <c r="A293" s="86"/>
      <c r="B293" s="31"/>
      <c r="C293" s="597"/>
      <c r="D293" s="598"/>
      <c r="E293" s="598"/>
      <c r="F293" s="598"/>
      <c r="G293" s="167"/>
      <c r="H293" s="598"/>
      <c r="I293" s="598"/>
      <c r="J293" s="598"/>
      <c r="K293" s="599"/>
      <c r="L293" s="31"/>
      <c r="M293" s="94"/>
      <c r="N293" s="260"/>
    </row>
    <row r="294" spans="1:14" ht="13.5" thickBot="1">
      <c r="A294" s="94"/>
      <c r="B294" s="148"/>
      <c r="C294" s="203" t="s">
        <v>200</v>
      </c>
      <c r="D294" s="204"/>
      <c r="E294" s="204"/>
      <c r="F294" s="205">
        <f>SUM(F290:F292)+F289</f>
        <v>722208.855</v>
      </c>
      <c r="G294" s="206"/>
      <c r="H294" s="604" t="s">
        <v>201</v>
      </c>
      <c r="I294" s="604"/>
      <c r="J294" s="604"/>
      <c r="K294" s="189">
        <f>SUM(K290:K292)+K289</f>
        <v>732018.4778800189</v>
      </c>
      <c r="L294" s="207"/>
      <c r="M294" s="190">
        <f>K294-F294</f>
        <v>9809.622880018898</v>
      </c>
      <c r="N294" s="191">
        <f>M294/F294</f>
        <v>0.013582806153794527</v>
      </c>
    </row>
    <row r="295" spans="1:14" ht="12.75">
      <c r="A295" s="9"/>
      <c r="B295" s="9"/>
      <c r="C295" s="9"/>
      <c r="D295" s="9"/>
      <c r="E295" s="9"/>
      <c r="F295" s="216"/>
      <c r="G295" s="9"/>
      <c r="H295" s="9"/>
      <c r="I295" s="9"/>
      <c r="J295" s="221"/>
      <c r="K295" s="216"/>
      <c r="L295" s="216"/>
      <c r="M295" s="216"/>
      <c r="N295" s="156"/>
    </row>
    <row r="296" spans="1:14" ht="12.75">
      <c r="A296" s="31"/>
      <c r="B296" s="31"/>
      <c r="C296" s="31"/>
      <c r="D296" s="31"/>
      <c r="E296" s="31"/>
      <c r="F296" s="31"/>
      <c r="G296" s="31"/>
      <c r="H296" s="31"/>
      <c r="I296" s="31"/>
      <c r="J296" s="31"/>
      <c r="K296" s="31"/>
      <c r="L296" s="31"/>
      <c r="M296" s="31"/>
      <c r="N296" s="31"/>
    </row>
    <row r="297" spans="1:14" ht="12.75">
      <c r="A297" s="31"/>
      <c r="B297" s="31"/>
      <c r="C297" s="500" t="s">
        <v>251</v>
      </c>
      <c r="D297" s="501"/>
      <c r="E297" s="501"/>
      <c r="F297" s="179"/>
      <c r="G297" s="31"/>
      <c r="H297" s="31"/>
      <c r="I297" s="31"/>
      <c r="J297" s="256"/>
      <c r="K297" s="179"/>
      <c r="L297" s="179"/>
      <c r="M297" s="179"/>
      <c r="N297" s="229"/>
    </row>
    <row r="298" spans="1:14" ht="15.75" thickBot="1">
      <c r="A298" s="31"/>
      <c r="B298" s="31"/>
      <c r="C298" s="257"/>
      <c r="D298" s="31"/>
      <c r="E298" s="31"/>
      <c r="F298" s="31"/>
      <c r="G298" s="31"/>
      <c r="H298" s="257"/>
      <c r="I298" s="31"/>
      <c r="J298" s="31"/>
      <c r="K298" s="258"/>
      <c r="L298" s="31"/>
      <c r="M298" s="31"/>
      <c r="N298" s="229"/>
    </row>
    <row r="299" spans="1:14" ht="14.25">
      <c r="A299" s="11"/>
      <c r="B299" s="9"/>
      <c r="C299" s="589" t="s">
        <v>95</v>
      </c>
      <c r="D299" s="590"/>
      <c r="E299" s="590"/>
      <c r="F299" s="591"/>
      <c r="G299" s="166"/>
      <c r="H299" s="589" t="s">
        <v>96</v>
      </c>
      <c r="I299" s="590"/>
      <c r="J299" s="590"/>
      <c r="K299" s="590"/>
      <c r="L299" s="590"/>
      <c r="M299" s="590"/>
      <c r="N299" s="591"/>
    </row>
    <row r="300" spans="2:14" ht="13.5" thickBot="1">
      <c r="B300" s="9"/>
      <c r="C300" s="592"/>
      <c r="D300" s="593"/>
      <c r="E300" s="593"/>
      <c r="F300" s="594"/>
      <c r="G300" s="167"/>
      <c r="H300" s="592"/>
      <c r="I300" s="593"/>
      <c r="J300" s="593"/>
      <c r="K300" s="593"/>
      <c r="L300" s="593"/>
      <c r="M300" s="593"/>
      <c r="N300" s="594"/>
    </row>
    <row r="301" spans="1:14" ht="60">
      <c r="A301" s="168" t="s">
        <v>19</v>
      </c>
      <c r="B301" s="169"/>
      <c r="C301" s="569"/>
      <c r="D301" s="581" t="s">
        <v>86</v>
      </c>
      <c r="E301" s="583" t="s">
        <v>87</v>
      </c>
      <c r="F301" s="585" t="s">
        <v>182</v>
      </c>
      <c r="G301" s="166"/>
      <c r="H301" s="170"/>
      <c r="I301" s="581" t="s">
        <v>86</v>
      </c>
      <c r="J301" s="583" t="s">
        <v>87</v>
      </c>
      <c r="K301" s="585" t="s">
        <v>182</v>
      </c>
      <c r="L301" s="169"/>
      <c r="M301" s="600" t="s">
        <v>181</v>
      </c>
      <c r="N301" s="602" t="s">
        <v>80</v>
      </c>
    </row>
    <row r="302" spans="1:14" ht="13.5" thickBot="1">
      <c r="A302" s="12" t="s">
        <v>11</v>
      </c>
      <c r="B302" s="31"/>
      <c r="C302" s="570"/>
      <c r="D302" s="582"/>
      <c r="E302" s="584"/>
      <c r="F302" s="586"/>
      <c r="G302" s="167"/>
      <c r="H302" s="31"/>
      <c r="I302" s="582"/>
      <c r="J302" s="584"/>
      <c r="K302" s="586"/>
      <c r="L302" s="32"/>
      <c r="M302" s="601"/>
      <c r="N302" s="603"/>
    </row>
    <row r="303" spans="1:14" ht="39" thickBot="1">
      <c r="A303" s="233">
        <v>6000</v>
      </c>
      <c r="B303" s="31"/>
      <c r="C303" s="173" t="s">
        <v>21</v>
      </c>
      <c r="D303" s="174" t="s">
        <v>81</v>
      </c>
      <c r="E303" s="175" t="s">
        <v>81</v>
      </c>
      <c r="F303" s="176">
        <f>+'12. Current Rates'!D133</f>
        <v>13421.94</v>
      </c>
      <c r="G303" s="167"/>
      <c r="H303" s="177" t="s">
        <v>21</v>
      </c>
      <c r="I303" s="174" t="str">
        <f>D303</f>
        <v>N/A</v>
      </c>
      <c r="J303" s="174" t="s">
        <v>81</v>
      </c>
      <c r="K303" s="234">
        <f>+'11. 2005 Final Rate Schedule '!F748</f>
        <v>12771.823754726202</v>
      </c>
      <c r="L303" s="179"/>
      <c r="M303" s="575"/>
      <c r="N303" s="576"/>
    </row>
    <row r="304" spans="1:14" ht="26.25" thickBot="1">
      <c r="A304" s="12" t="s">
        <v>12</v>
      </c>
      <c r="B304" s="31"/>
      <c r="C304" s="180" t="s">
        <v>88</v>
      </c>
      <c r="D304" s="235">
        <f>A303</f>
        <v>6000</v>
      </c>
      <c r="E304" s="182">
        <f>+'12. Current Rates'!D131</f>
        <v>2.17</v>
      </c>
      <c r="F304" s="183">
        <f>D304*E304</f>
        <v>13020</v>
      </c>
      <c r="G304" s="167"/>
      <c r="H304" s="184" t="s">
        <v>88</v>
      </c>
      <c r="I304" s="185">
        <f>D304</f>
        <v>6000</v>
      </c>
      <c r="J304" s="249">
        <f>+'11. 2005 Final Rate Schedule '!F749</f>
        <v>2.657332409957566</v>
      </c>
      <c r="K304" s="237">
        <f>IF(ISERROR(I304*J304),0,I304*J304)</f>
        <v>15943.994459745396</v>
      </c>
      <c r="L304" s="179"/>
      <c r="M304" s="577"/>
      <c r="N304" s="578"/>
    </row>
    <row r="305" spans="1:14" ht="13.5" thickBot="1">
      <c r="A305" s="233">
        <v>2800000</v>
      </c>
      <c r="B305" s="31"/>
      <c r="C305" s="605"/>
      <c r="D305" s="607"/>
      <c r="E305" s="187" t="s">
        <v>52</v>
      </c>
      <c r="F305" s="188">
        <f>SUM(F303:F304)</f>
        <v>26441.940000000002</v>
      </c>
      <c r="G305" s="167"/>
      <c r="H305" s="595"/>
      <c r="I305" s="596"/>
      <c r="J305" s="187" t="s">
        <v>83</v>
      </c>
      <c r="K305" s="189">
        <f>SUM(K303:K304)</f>
        <v>28715.818214471597</v>
      </c>
      <c r="L305" s="179"/>
      <c r="M305" s="190">
        <f>K305-F305</f>
        <v>2273.878214471595</v>
      </c>
      <c r="N305" s="191">
        <f>M305/F305</f>
        <v>0.08599513554873792</v>
      </c>
    </row>
    <row r="306" spans="1:14" ht="38.25">
      <c r="A306" s="86"/>
      <c r="B306" s="31"/>
      <c r="C306" s="180" t="s">
        <v>89</v>
      </c>
      <c r="D306" s="235">
        <f>A303</f>
        <v>6000</v>
      </c>
      <c r="E306" s="192">
        <v>0.047369</v>
      </c>
      <c r="F306" s="193">
        <f>D306*E306</f>
        <v>284.214</v>
      </c>
      <c r="G306" s="167"/>
      <c r="H306" s="184" t="s">
        <v>84</v>
      </c>
      <c r="I306" s="261">
        <f aca="true" t="shared" si="16" ref="I306:K308">D306</f>
        <v>6000</v>
      </c>
      <c r="J306" s="238">
        <f t="shared" si="16"/>
        <v>0.047369</v>
      </c>
      <c r="K306" s="239">
        <f t="shared" si="16"/>
        <v>284.214</v>
      </c>
      <c r="L306" s="179"/>
      <c r="M306" s="240"/>
      <c r="N306" s="259"/>
    </row>
    <row r="307" spans="1:14" ht="38.25">
      <c r="A307" s="86"/>
      <c r="B307" s="31"/>
      <c r="C307" s="180" t="s">
        <v>84</v>
      </c>
      <c r="D307" s="235">
        <f>A305</f>
        <v>2800000</v>
      </c>
      <c r="E307" s="192">
        <v>0.0132</v>
      </c>
      <c r="F307" s="193">
        <f>D307*E307</f>
        <v>36960</v>
      </c>
      <c r="G307" s="167"/>
      <c r="H307" s="184" t="s">
        <v>84</v>
      </c>
      <c r="I307" s="235">
        <f t="shared" si="16"/>
        <v>2800000</v>
      </c>
      <c r="J307" s="238">
        <f t="shared" si="16"/>
        <v>0.0132</v>
      </c>
      <c r="K307" s="239">
        <f t="shared" si="16"/>
        <v>36960</v>
      </c>
      <c r="L307" s="179"/>
      <c r="M307" s="579"/>
      <c r="N307" s="580"/>
    </row>
    <row r="308" spans="1:14" ht="39" thickBot="1">
      <c r="A308" s="86"/>
      <c r="B308" s="31"/>
      <c r="C308" s="196" t="s">
        <v>85</v>
      </c>
      <c r="D308" s="235">
        <f>A305</f>
        <v>2800000</v>
      </c>
      <c r="E308" s="197">
        <v>0.055</v>
      </c>
      <c r="F308" s="183">
        <f>D308*E308</f>
        <v>154000</v>
      </c>
      <c r="G308" s="167"/>
      <c r="H308" s="198" t="s">
        <v>85</v>
      </c>
      <c r="I308" s="241">
        <f t="shared" si="16"/>
        <v>2800000</v>
      </c>
      <c r="J308" s="242">
        <f t="shared" si="16"/>
        <v>0.055</v>
      </c>
      <c r="K308" s="243">
        <f t="shared" si="16"/>
        <v>154000</v>
      </c>
      <c r="L308" s="179"/>
      <c r="M308" s="579"/>
      <c r="N308" s="580"/>
    </row>
    <row r="309" spans="1:14" ht="13.5" thickBot="1">
      <c r="A309" s="86"/>
      <c r="B309" s="31"/>
      <c r="C309" s="597"/>
      <c r="D309" s="598"/>
      <c r="E309" s="598"/>
      <c r="F309" s="598"/>
      <c r="G309" s="167"/>
      <c r="H309" s="598"/>
      <c r="I309" s="598"/>
      <c r="J309" s="598"/>
      <c r="K309" s="599"/>
      <c r="L309" s="31"/>
      <c r="M309" s="94"/>
      <c r="N309" s="260"/>
    </row>
    <row r="310" spans="1:14" ht="13.5" thickBot="1">
      <c r="A310" s="94"/>
      <c r="B310" s="148"/>
      <c r="C310" s="203" t="s">
        <v>200</v>
      </c>
      <c r="D310" s="204"/>
      <c r="E310" s="204"/>
      <c r="F310" s="205">
        <f>SUM(F306:F308)+F305</f>
        <v>217686.154</v>
      </c>
      <c r="G310" s="206"/>
      <c r="H310" s="604" t="s">
        <v>201</v>
      </c>
      <c r="I310" s="604"/>
      <c r="J310" s="604"/>
      <c r="K310" s="189">
        <f>SUM(K306:K308)+K305</f>
        <v>219960.0322144716</v>
      </c>
      <c r="L310" s="207"/>
      <c r="M310" s="190">
        <f>K310-F310</f>
        <v>2273.878214471595</v>
      </c>
      <c r="N310" s="191">
        <f>M310/F310</f>
        <v>0.010445672233575292</v>
      </c>
    </row>
    <row r="311" spans="1:14" ht="12.75">
      <c r="A311" s="9"/>
      <c r="B311" s="9"/>
      <c r="C311" s="9"/>
      <c r="D311" s="9"/>
      <c r="E311" s="9"/>
      <c r="F311" s="179"/>
      <c r="G311" s="9"/>
      <c r="H311" s="9"/>
      <c r="I311" s="9"/>
      <c r="J311" s="9"/>
      <c r="K311" s="179"/>
      <c r="L311" s="216"/>
      <c r="M311" s="216"/>
      <c r="N311" s="229"/>
    </row>
    <row r="312" spans="1:14" ht="13.5" thickBot="1">
      <c r="A312" s="148"/>
      <c r="B312" s="148"/>
      <c r="C312" s="250"/>
      <c r="D312" s="148"/>
      <c r="E312" s="251"/>
      <c r="F312" s="207"/>
      <c r="G312" s="148"/>
      <c r="H312" s="250"/>
      <c r="I312" s="148"/>
      <c r="J312" s="252"/>
      <c r="K312" s="207"/>
      <c r="L312" s="207"/>
      <c r="M312" s="207"/>
      <c r="N312" s="231"/>
    </row>
    <row r="313" spans="1:14" ht="60">
      <c r="A313" s="168" t="s">
        <v>19</v>
      </c>
      <c r="B313" s="169"/>
      <c r="C313" s="569"/>
      <c r="D313" s="581" t="s">
        <v>86</v>
      </c>
      <c r="E313" s="583" t="s">
        <v>87</v>
      </c>
      <c r="F313" s="585" t="s">
        <v>182</v>
      </c>
      <c r="G313" s="166"/>
      <c r="H313" s="170"/>
      <c r="I313" s="581" t="s">
        <v>86</v>
      </c>
      <c r="J313" s="583" t="s">
        <v>87</v>
      </c>
      <c r="K313" s="585" t="s">
        <v>182</v>
      </c>
      <c r="L313" s="169"/>
      <c r="M313" s="600" t="s">
        <v>181</v>
      </c>
      <c r="N313" s="602" t="s">
        <v>80</v>
      </c>
    </row>
    <row r="314" spans="1:14" ht="13.5" thickBot="1">
      <c r="A314" s="12" t="s">
        <v>11</v>
      </c>
      <c r="B314" s="31"/>
      <c r="C314" s="570"/>
      <c r="D314" s="582"/>
      <c r="E314" s="584"/>
      <c r="F314" s="586"/>
      <c r="G314" s="167"/>
      <c r="H314" s="31"/>
      <c r="I314" s="582"/>
      <c r="J314" s="584"/>
      <c r="K314" s="586"/>
      <c r="L314" s="32"/>
      <c r="M314" s="601"/>
      <c r="N314" s="603"/>
    </row>
    <row r="315" spans="1:14" ht="39" thickBot="1">
      <c r="A315" s="233">
        <v>15000</v>
      </c>
      <c r="B315" s="31"/>
      <c r="C315" s="173" t="s">
        <v>21</v>
      </c>
      <c r="D315" s="174" t="s">
        <v>81</v>
      </c>
      <c r="E315" s="175" t="s">
        <v>81</v>
      </c>
      <c r="F315" s="176">
        <f>+F303</f>
        <v>13421.94</v>
      </c>
      <c r="G315" s="167"/>
      <c r="H315" s="177" t="s">
        <v>21</v>
      </c>
      <c r="I315" s="174" t="str">
        <f>D315</f>
        <v>N/A</v>
      </c>
      <c r="J315" s="174" t="s">
        <v>81</v>
      </c>
      <c r="K315" s="234">
        <f>+K303</f>
        <v>12771.823754726202</v>
      </c>
      <c r="L315" s="179"/>
      <c r="M315" s="575"/>
      <c r="N315" s="576"/>
    </row>
    <row r="316" spans="1:14" ht="26.25" thickBot="1">
      <c r="A316" s="12" t="s">
        <v>12</v>
      </c>
      <c r="B316" s="31"/>
      <c r="C316" s="180" t="s">
        <v>88</v>
      </c>
      <c r="D316" s="235">
        <f>A315</f>
        <v>15000</v>
      </c>
      <c r="E316" s="182">
        <f>+E304</f>
        <v>2.17</v>
      </c>
      <c r="F316" s="183">
        <f>D316*E316</f>
        <v>32550</v>
      </c>
      <c r="G316" s="167"/>
      <c r="H316" s="184" t="s">
        <v>88</v>
      </c>
      <c r="I316" s="185">
        <f>D316</f>
        <v>15000</v>
      </c>
      <c r="J316" s="249">
        <f>+J304</f>
        <v>2.657332409957566</v>
      </c>
      <c r="K316" s="237">
        <f>IF(ISERROR(I316*J316),0,I316*J316)</f>
        <v>39859.98614936349</v>
      </c>
      <c r="L316" s="179"/>
      <c r="M316" s="577"/>
      <c r="N316" s="578"/>
    </row>
    <row r="317" spans="1:14" ht="13.5" thickBot="1">
      <c r="A317" s="233">
        <v>10000000</v>
      </c>
      <c r="B317" s="31"/>
      <c r="C317" s="605"/>
      <c r="D317" s="607"/>
      <c r="E317" s="187" t="s">
        <v>52</v>
      </c>
      <c r="F317" s="188">
        <f>SUM(F315:F316)</f>
        <v>45971.94</v>
      </c>
      <c r="G317" s="167"/>
      <c r="H317" s="595"/>
      <c r="I317" s="596"/>
      <c r="J317" s="187" t="s">
        <v>83</v>
      </c>
      <c r="K317" s="189">
        <f>SUM(K315:K316)</f>
        <v>52631.80990408969</v>
      </c>
      <c r="L317" s="179"/>
      <c r="M317" s="190">
        <f>K317-F317</f>
        <v>6659.86990408969</v>
      </c>
      <c r="N317" s="191">
        <f>M317/F317</f>
        <v>0.144868150095247</v>
      </c>
    </row>
    <row r="318" spans="1:14" ht="38.25">
      <c r="A318" s="86"/>
      <c r="B318" s="31"/>
      <c r="C318" s="180" t="s">
        <v>89</v>
      </c>
      <c r="D318" s="235">
        <f>A315</f>
        <v>15000</v>
      </c>
      <c r="E318" s="192">
        <v>0.047369</v>
      </c>
      <c r="F318" s="193">
        <f>D318*E318</f>
        <v>710.535</v>
      </c>
      <c r="G318" s="167"/>
      <c r="H318" s="184" t="s">
        <v>84</v>
      </c>
      <c r="I318" s="261">
        <f aca="true" t="shared" si="17" ref="I318:K320">D318</f>
        <v>15000</v>
      </c>
      <c r="J318" s="238">
        <f t="shared" si="17"/>
        <v>0.047369</v>
      </c>
      <c r="K318" s="239">
        <f t="shared" si="17"/>
        <v>710.535</v>
      </c>
      <c r="L318" s="179"/>
      <c r="M318" s="240"/>
      <c r="N318" s="259"/>
    </row>
    <row r="319" spans="1:14" ht="38.25">
      <c r="A319" s="86"/>
      <c r="B319" s="31"/>
      <c r="C319" s="180" t="s">
        <v>84</v>
      </c>
      <c r="D319" s="235">
        <f>A317</f>
        <v>10000000</v>
      </c>
      <c r="E319" s="192">
        <v>0.0132</v>
      </c>
      <c r="F319" s="193">
        <f>D319*E319</f>
        <v>132000</v>
      </c>
      <c r="G319" s="167"/>
      <c r="H319" s="184" t="s">
        <v>84</v>
      </c>
      <c r="I319" s="235">
        <f t="shared" si="17"/>
        <v>10000000</v>
      </c>
      <c r="J319" s="238">
        <f t="shared" si="17"/>
        <v>0.0132</v>
      </c>
      <c r="K319" s="239">
        <f t="shared" si="17"/>
        <v>132000</v>
      </c>
      <c r="L319" s="179"/>
      <c r="M319" s="579"/>
      <c r="N319" s="580"/>
    </row>
    <row r="320" spans="1:14" ht="39" thickBot="1">
      <c r="A320" s="86"/>
      <c r="B320" s="31"/>
      <c r="C320" s="196" t="s">
        <v>85</v>
      </c>
      <c r="D320" s="235">
        <f>A317</f>
        <v>10000000</v>
      </c>
      <c r="E320" s="197">
        <v>0.055</v>
      </c>
      <c r="F320" s="183">
        <f>D320*E320</f>
        <v>550000</v>
      </c>
      <c r="G320" s="167"/>
      <c r="H320" s="198" t="s">
        <v>85</v>
      </c>
      <c r="I320" s="241">
        <f t="shared" si="17"/>
        <v>10000000</v>
      </c>
      <c r="J320" s="242">
        <f t="shared" si="17"/>
        <v>0.055</v>
      </c>
      <c r="K320" s="243">
        <f t="shared" si="17"/>
        <v>550000</v>
      </c>
      <c r="L320" s="179"/>
      <c r="M320" s="579"/>
      <c r="N320" s="580"/>
    </row>
    <row r="321" spans="1:14" ht="13.5" thickBot="1">
      <c r="A321" s="86"/>
      <c r="B321" s="31"/>
      <c r="C321" s="597"/>
      <c r="D321" s="598"/>
      <c r="E321" s="598"/>
      <c r="F321" s="598"/>
      <c r="G321" s="167"/>
      <c r="H321" s="598"/>
      <c r="I321" s="598"/>
      <c r="J321" s="598"/>
      <c r="K321" s="599"/>
      <c r="L321" s="31"/>
      <c r="M321" s="94"/>
      <c r="N321" s="260"/>
    </row>
    <row r="322" spans="1:14" ht="13.5" thickBot="1">
      <c r="A322" s="94"/>
      <c r="B322" s="148"/>
      <c r="C322" s="203" t="s">
        <v>200</v>
      </c>
      <c r="D322" s="204"/>
      <c r="E322" s="204"/>
      <c r="F322" s="205">
        <f>SUM(F318:F320)+F317</f>
        <v>728682.4750000001</v>
      </c>
      <c r="G322" s="206"/>
      <c r="H322" s="604" t="s">
        <v>201</v>
      </c>
      <c r="I322" s="604"/>
      <c r="J322" s="604"/>
      <c r="K322" s="189">
        <f>SUM(K318:K320)+K317</f>
        <v>735342.3449040897</v>
      </c>
      <c r="L322" s="207"/>
      <c r="M322" s="190">
        <f>K322-F322</f>
        <v>6659.869904089603</v>
      </c>
      <c r="N322" s="191">
        <f>M322/F322</f>
        <v>0.009139604879463584</v>
      </c>
    </row>
  </sheetData>
  <sheetProtection/>
  <mergeCells count="374">
    <mergeCell ref="K313:K314"/>
    <mergeCell ref="M313:M314"/>
    <mergeCell ref="C313:C314"/>
    <mergeCell ref="D313:D314"/>
    <mergeCell ref="E313:E314"/>
    <mergeCell ref="F313:F314"/>
    <mergeCell ref="J301:J302"/>
    <mergeCell ref="M319:N320"/>
    <mergeCell ref="C321:F321"/>
    <mergeCell ref="H321:K321"/>
    <mergeCell ref="H322:J322"/>
    <mergeCell ref="M315:N316"/>
    <mergeCell ref="C317:D317"/>
    <mergeCell ref="H317:I317"/>
    <mergeCell ref="I313:I314"/>
    <mergeCell ref="J313:J314"/>
    <mergeCell ref="H305:I305"/>
    <mergeCell ref="C301:C302"/>
    <mergeCell ref="D301:D302"/>
    <mergeCell ref="E301:E302"/>
    <mergeCell ref="F301:F302"/>
    <mergeCell ref="I301:I302"/>
    <mergeCell ref="M307:N308"/>
    <mergeCell ref="C309:F309"/>
    <mergeCell ref="H309:K309"/>
    <mergeCell ref="H310:J310"/>
    <mergeCell ref="N313:N314"/>
    <mergeCell ref="K301:K302"/>
    <mergeCell ref="M301:M302"/>
    <mergeCell ref="N301:N302"/>
    <mergeCell ref="M303:N304"/>
    <mergeCell ref="C305:D305"/>
    <mergeCell ref="M279:N280"/>
    <mergeCell ref="C281:F281"/>
    <mergeCell ref="H281:K281"/>
    <mergeCell ref="H282:J282"/>
    <mergeCell ref="N285:N286"/>
    <mergeCell ref="N273:N274"/>
    <mergeCell ref="M275:N276"/>
    <mergeCell ref="E273:E274"/>
    <mergeCell ref="F273:F274"/>
    <mergeCell ref="I273:I274"/>
    <mergeCell ref="J273:J274"/>
    <mergeCell ref="K273:K274"/>
    <mergeCell ref="M273:M274"/>
    <mergeCell ref="C258:F258"/>
    <mergeCell ref="H258:K258"/>
    <mergeCell ref="H259:J259"/>
    <mergeCell ref="C299:F300"/>
    <mergeCell ref="H299:N300"/>
    <mergeCell ref="M252:N253"/>
    <mergeCell ref="C254:D254"/>
    <mergeCell ref="H254:I254"/>
    <mergeCell ref="C273:C274"/>
    <mergeCell ref="D273:D274"/>
    <mergeCell ref="M244:N245"/>
    <mergeCell ref="C246:F246"/>
    <mergeCell ref="H246:K246"/>
    <mergeCell ref="H247:J247"/>
    <mergeCell ref="N250:N251"/>
    <mergeCell ref="M256:N257"/>
    <mergeCell ref="I250:I251"/>
    <mergeCell ref="J250:J251"/>
    <mergeCell ref="K250:K251"/>
    <mergeCell ref="M250:M251"/>
    <mergeCell ref="C250:C251"/>
    <mergeCell ref="D250:D251"/>
    <mergeCell ref="E250:E251"/>
    <mergeCell ref="F250:F251"/>
    <mergeCell ref="M240:N241"/>
    <mergeCell ref="C242:D242"/>
    <mergeCell ref="H242:I242"/>
    <mergeCell ref="I238:I239"/>
    <mergeCell ref="J238:J239"/>
    <mergeCell ref="K238:K239"/>
    <mergeCell ref="M238:M239"/>
    <mergeCell ref="C238:C239"/>
    <mergeCell ref="D238:D239"/>
    <mergeCell ref="E238:E239"/>
    <mergeCell ref="K226:K227"/>
    <mergeCell ref="M226:M227"/>
    <mergeCell ref="C226:C227"/>
    <mergeCell ref="D226:D227"/>
    <mergeCell ref="E226:E227"/>
    <mergeCell ref="F226:F227"/>
    <mergeCell ref="M232:N233"/>
    <mergeCell ref="C234:F234"/>
    <mergeCell ref="H234:K234"/>
    <mergeCell ref="H235:J235"/>
    <mergeCell ref="N238:N239"/>
    <mergeCell ref="M228:N229"/>
    <mergeCell ref="C230:D230"/>
    <mergeCell ref="H230:I230"/>
    <mergeCell ref="F238:F239"/>
    <mergeCell ref="C218:D218"/>
    <mergeCell ref="H218:I218"/>
    <mergeCell ref="C214:C215"/>
    <mergeCell ref="D214:D215"/>
    <mergeCell ref="E214:E215"/>
    <mergeCell ref="F214:F215"/>
    <mergeCell ref="I214:I215"/>
    <mergeCell ref="H222:K222"/>
    <mergeCell ref="H223:J223"/>
    <mergeCell ref="N226:N227"/>
    <mergeCell ref="K214:K215"/>
    <mergeCell ref="M214:M215"/>
    <mergeCell ref="N214:N215"/>
    <mergeCell ref="M216:N217"/>
    <mergeCell ref="J214:J215"/>
    <mergeCell ref="I226:I227"/>
    <mergeCell ref="J226:J227"/>
    <mergeCell ref="M25:N26"/>
    <mergeCell ref="C27:D27"/>
    <mergeCell ref="H27:I27"/>
    <mergeCell ref="I23:I24"/>
    <mergeCell ref="J23:J24"/>
    <mergeCell ref="K23:K24"/>
    <mergeCell ref="A1:N1"/>
    <mergeCell ref="E2:F2"/>
    <mergeCell ref="A4:F4"/>
    <mergeCell ref="G4:H4"/>
    <mergeCell ref="A5:E5"/>
    <mergeCell ref="A6:F6"/>
    <mergeCell ref="A7:F7"/>
    <mergeCell ref="A8:D8"/>
    <mergeCell ref="E8:F8"/>
    <mergeCell ref="A9:E9"/>
    <mergeCell ref="C212:F213"/>
    <mergeCell ref="H212:N213"/>
    <mergeCell ref="H21:N22"/>
    <mergeCell ref="E23:E24"/>
    <mergeCell ref="F23:F24"/>
    <mergeCell ref="C21:F22"/>
    <mergeCell ref="M23:M24"/>
    <mergeCell ref="C23:C24"/>
    <mergeCell ref="D23:D24"/>
    <mergeCell ref="F34:F35"/>
    <mergeCell ref="M28:N29"/>
    <mergeCell ref="C30:F30"/>
    <mergeCell ref="H30:K30"/>
    <mergeCell ref="H31:J31"/>
    <mergeCell ref="N34:N35"/>
    <mergeCell ref="N23:N24"/>
    <mergeCell ref="M36:N37"/>
    <mergeCell ref="C38:D38"/>
    <mergeCell ref="H38:I38"/>
    <mergeCell ref="I34:I35"/>
    <mergeCell ref="J34:J35"/>
    <mergeCell ref="K34:K35"/>
    <mergeCell ref="M34:M35"/>
    <mergeCell ref="C34:C35"/>
    <mergeCell ref="D34:D35"/>
    <mergeCell ref="E34:E35"/>
    <mergeCell ref="M48:N49"/>
    <mergeCell ref="C50:D50"/>
    <mergeCell ref="H50:I50"/>
    <mergeCell ref="I46:I47"/>
    <mergeCell ref="J46:J47"/>
    <mergeCell ref="K46:K47"/>
    <mergeCell ref="M46:M47"/>
    <mergeCell ref="C46:C47"/>
    <mergeCell ref="D46:D47"/>
    <mergeCell ref="E46:E47"/>
    <mergeCell ref="F46:F47"/>
    <mergeCell ref="M39:N41"/>
    <mergeCell ref="C42:F42"/>
    <mergeCell ref="H42:K42"/>
    <mergeCell ref="H43:J43"/>
    <mergeCell ref="N46:N47"/>
    <mergeCell ref="M60:N61"/>
    <mergeCell ref="C62:D62"/>
    <mergeCell ref="H62:I62"/>
    <mergeCell ref="I58:I59"/>
    <mergeCell ref="J58:J59"/>
    <mergeCell ref="K58:K59"/>
    <mergeCell ref="M58:M59"/>
    <mergeCell ref="C58:C59"/>
    <mergeCell ref="D58:D59"/>
    <mergeCell ref="E58:E59"/>
    <mergeCell ref="F58:F59"/>
    <mergeCell ref="M51:N53"/>
    <mergeCell ref="C54:F54"/>
    <mergeCell ref="H54:K54"/>
    <mergeCell ref="H55:J55"/>
    <mergeCell ref="N58:N59"/>
    <mergeCell ref="M72:N73"/>
    <mergeCell ref="C74:D74"/>
    <mergeCell ref="H74:I74"/>
    <mergeCell ref="I70:I71"/>
    <mergeCell ref="J70:J71"/>
    <mergeCell ref="K70:K71"/>
    <mergeCell ref="M70:M71"/>
    <mergeCell ref="C70:C71"/>
    <mergeCell ref="D70:D71"/>
    <mergeCell ref="E70:E71"/>
    <mergeCell ref="F70:F71"/>
    <mergeCell ref="M63:N65"/>
    <mergeCell ref="C66:F66"/>
    <mergeCell ref="H66:K66"/>
    <mergeCell ref="H67:J67"/>
    <mergeCell ref="N70:N71"/>
    <mergeCell ref="N92:N93"/>
    <mergeCell ref="M75:N77"/>
    <mergeCell ref="C78:F78"/>
    <mergeCell ref="H78:K78"/>
    <mergeCell ref="H79:J79"/>
    <mergeCell ref="C96:D96"/>
    <mergeCell ref="H96:I96"/>
    <mergeCell ref="C90:F91"/>
    <mergeCell ref="I104:I105"/>
    <mergeCell ref="J104:J105"/>
    <mergeCell ref="K104:K105"/>
    <mergeCell ref="M94:N95"/>
    <mergeCell ref="M104:M105"/>
    <mergeCell ref="N104:N105"/>
    <mergeCell ref="M98:N99"/>
    <mergeCell ref="H90:N91"/>
    <mergeCell ref="C92:C93"/>
    <mergeCell ref="D92:D93"/>
    <mergeCell ref="E92:E93"/>
    <mergeCell ref="F92:F93"/>
    <mergeCell ref="I92:I93"/>
    <mergeCell ref="J92:J93"/>
    <mergeCell ref="K92:K93"/>
    <mergeCell ref="M92:M93"/>
    <mergeCell ref="F116:F117"/>
    <mergeCell ref="M110:N111"/>
    <mergeCell ref="C112:F112"/>
    <mergeCell ref="H112:K112"/>
    <mergeCell ref="H113:J113"/>
    <mergeCell ref="N116:N117"/>
    <mergeCell ref="M106:N107"/>
    <mergeCell ref="C108:D108"/>
    <mergeCell ref="H108:I108"/>
    <mergeCell ref="C100:F100"/>
    <mergeCell ref="H100:K100"/>
    <mergeCell ref="H101:J101"/>
    <mergeCell ref="C104:C105"/>
    <mergeCell ref="D104:D105"/>
    <mergeCell ref="E104:E105"/>
    <mergeCell ref="F104:F105"/>
    <mergeCell ref="M118:N119"/>
    <mergeCell ref="C120:D120"/>
    <mergeCell ref="H120:I120"/>
    <mergeCell ref="I116:I117"/>
    <mergeCell ref="J116:J117"/>
    <mergeCell ref="K116:K117"/>
    <mergeCell ref="M116:M117"/>
    <mergeCell ref="C116:C117"/>
    <mergeCell ref="D116:D117"/>
    <mergeCell ref="E116:E117"/>
    <mergeCell ref="I128:I129"/>
    <mergeCell ref="J128:J129"/>
    <mergeCell ref="K128:K129"/>
    <mergeCell ref="M128:M129"/>
    <mergeCell ref="C128:C129"/>
    <mergeCell ref="D128:D129"/>
    <mergeCell ref="E128:E129"/>
    <mergeCell ref="E140:E141"/>
    <mergeCell ref="F128:F129"/>
    <mergeCell ref="M122:N123"/>
    <mergeCell ref="C124:F124"/>
    <mergeCell ref="H124:K124"/>
    <mergeCell ref="H125:J125"/>
    <mergeCell ref="N128:N129"/>
    <mergeCell ref="M130:N131"/>
    <mergeCell ref="C132:D132"/>
    <mergeCell ref="H132:I132"/>
    <mergeCell ref="M134:N135"/>
    <mergeCell ref="C136:F136"/>
    <mergeCell ref="H136:K136"/>
    <mergeCell ref="H137:J137"/>
    <mergeCell ref="N140:N141"/>
    <mergeCell ref="M142:N143"/>
    <mergeCell ref="I140:I141"/>
    <mergeCell ref="J140:J141"/>
    <mergeCell ref="K140:K141"/>
    <mergeCell ref="M140:M141"/>
    <mergeCell ref="M162:M163"/>
    <mergeCell ref="C162:C163"/>
    <mergeCell ref="D162:D163"/>
    <mergeCell ref="E162:E163"/>
    <mergeCell ref="F162:F163"/>
    <mergeCell ref="F140:F141"/>
    <mergeCell ref="C144:D144"/>
    <mergeCell ref="H144:I144"/>
    <mergeCell ref="C140:C141"/>
    <mergeCell ref="D140:D141"/>
    <mergeCell ref="M146:N147"/>
    <mergeCell ref="C148:F148"/>
    <mergeCell ref="H148:K148"/>
    <mergeCell ref="H149:J149"/>
    <mergeCell ref="N162:N163"/>
    <mergeCell ref="C160:F161"/>
    <mergeCell ref="H160:N161"/>
    <mergeCell ref="I162:I163"/>
    <mergeCell ref="J162:J163"/>
    <mergeCell ref="K162:K163"/>
    <mergeCell ref="K174:K175"/>
    <mergeCell ref="M174:M175"/>
    <mergeCell ref="C174:C175"/>
    <mergeCell ref="D174:D175"/>
    <mergeCell ref="E174:E175"/>
    <mergeCell ref="F174:F175"/>
    <mergeCell ref="M168:N169"/>
    <mergeCell ref="C170:F170"/>
    <mergeCell ref="H170:K170"/>
    <mergeCell ref="H171:J171"/>
    <mergeCell ref="N174:N175"/>
    <mergeCell ref="M164:N165"/>
    <mergeCell ref="C166:D166"/>
    <mergeCell ref="H166:I166"/>
    <mergeCell ref="I174:I175"/>
    <mergeCell ref="J174:J175"/>
    <mergeCell ref="K186:K187"/>
    <mergeCell ref="M186:M187"/>
    <mergeCell ref="C186:C187"/>
    <mergeCell ref="D186:D187"/>
    <mergeCell ref="E186:E187"/>
    <mergeCell ref="F186:F187"/>
    <mergeCell ref="M180:N181"/>
    <mergeCell ref="C182:F182"/>
    <mergeCell ref="H182:K182"/>
    <mergeCell ref="H183:J183"/>
    <mergeCell ref="N186:N187"/>
    <mergeCell ref="M176:N177"/>
    <mergeCell ref="C178:D178"/>
    <mergeCell ref="H178:I178"/>
    <mergeCell ref="I186:I187"/>
    <mergeCell ref="J186:J187"/>
    <mergeCell ref="M188:N189"/>
    <mergeCell ref="C190:D190"/>
    <mergeCell ref="H190:I190"/>
    <mergeCell ref="I198:I199"/>
    <mergeCell ref="J198:J199"/>
    <mergeCell ref="K198:K199"/>
    <mergeCell ref="M198:M199"/>
    <mergeCell ref="C198:C199"/>
    <mergeCell ref="D198:D199"/>
    <mergeCell ref="E198:E199"/>
    <mergeCell ref="C271:F272"/>
    <mergeCell ref="H271:N272"/>
    <mergeCell ref="M192:N193"/>
    <mergeCell ref="C194:F194"/>
    <mergeCell ref="H194:K194"/>
    <mergeCell ref="H195:J195"/>
    <mergeCell ref="N198:N199"/>
    <mergeCell ref="F198:F199"/>
    <mergeCell ref="M220:N221"/>
    <mergeCell ref="C222:F222"/>
    <mergeCell ref="M204:N205"/>
    <mergeCell ref="C206:F206"/>
    <mergeCell ref="H206:K206"/>
    <mergeCell ref="H207:J207"/>
    <mergeCell ref="M200:N201"/>
    <mergeCell ref="C202:D202"/>
    <mergeCell ref="H202:I202"/>
    <mergeCell ref="C277:D277"/>
    <mergeCell ref="H277:I277"/>
    <mergeCell ref="I285:I286"/>
    <mergeCell ref="J285:J286"/>
    <mergeCell ref="K285:K286"/>
    <mergeCell ref="M285:M286"/>
    <mergeCell ref="C285:C286"/>
    <mergeCell ref="D285:D286"/>
    <mergeCell ref="E285:E286"/>
    <mergeCell ref="F285:F286"/>
    <mergeCell ref="M291:N292"/>
    <mergeCell ref="C293:F293"/>
    <mergeCell ref="H293:K293"/>
    <mergeCell ref="H294:J294"/>
    <mergeCell ref="M287:N288"/>
    <mergeCell ref="C289:D289"/>
    <mergeCell ref="H289:I289"/>
  </mergeCells>
  <printOptions/>
  <pageMargins left="0.75" right="0.75" top="1" bottom="1" header="0.5" footer="0.5"/>
  <pageSetup horizontalDpi="300" verticalDpi="300" orientation="portrait" scale="55" r:id="rId1"/>
  <rowBreaks count="9" manualBreakCount="9">
    <brk id="44" max="13" man="1"/>
    <brk id="80" max="13" man="1"/>
    <brk id="126" max="13" man="1"/>
    <brk id="150" max="13" man="1"/>
    <brk id="184" max="13" man="1"/>
    <brk id="208" max="255" man="1"/>
    <brk id="236" max="13" man="1"/>
    <brk id="261" max="13" man="1"/>
    <brk id="296" max="13" man="1"/>
  </rowBreaks>
</worksheet>
</file>

<file path=xl/worksheets/sheet16.xml><?xml version="1.0" encoding="utf-8"?>
<worksheet xmlns="http://schemas.openxmlformats.org/spreadsheetml/2006/main" xmlns:r="http://schemas.openxmlformats.org/officeDocument/2006/relationships">
  <sheetPr>
    <pageSetUpPr fitToPage="1"/>
  </sheetPr>
  <dimension ref="A1:H59"/>
  <sheetViews>
    <sheetView zoomScalePageLayoutView="0" workbookViewId="0" topLeftCell="A1">
      <selection activeCell="B18" sqref="B18"/>
    </sheetView>
  </sheetViews>
  <sheetFormatPr defaultColWidth="9.140625" defaultRowHeight="12.75"/>
  <cols>
    <col min="1" max="1" width="54.8515625" style="0" customWidth="1"/>
    <col min="3" max="3" width="12.28125" style="0" bestFit="1" customWidth="1"/>
    <col min="4" max="4" width="15.00390625" style="0" customWidth="1"/>
    <col min="6" max="6" width="11.28125" style="0" bestFit="1" customWidth="1"/>
    <col min="7" max="8" width="14.00390625" style="0" bestFit="1" customWidth="1"/>
  </cols>
  <sheetData>
    <row r="1" ht="12.75">
      <c r="A1" s="1" t="s">
        <v>204</v>
      </c>
    </row>
    <row r="2" ht="12.75">
      <c r="A2" s="1" t="s">
        <v>256</v>
      </c>
    </row>
    <row r="4" ht="13.5" thickBot="1"/>
    <row r="5" spans="1:4" ht="37.5" thickBot="1">
      <c r="A5" s="54" t="s">
        <v>235</v>
      </c>
      <c r="B5" s="9"/>
      <c r="C5" s="492" t="s">
        <v>12</v>
      </c>
      <c r="D5" s="151" t="s">
        <v>20</v>
      </c>
    </row>
    <row r="6" spans="1:4" ht="15">
      <c r="A6" s="132"/>
      <c r="B6" s="9"/>
      <c r="C6" s="9"/>
      <c r="D6" s="9"/>
    </row>
    <row r="7" spans="1:8" ht="15">
      <c r="A7" s="132" t="s">
        <v>223</v>
      </c>
      <c r="B7" s="9"/>
      <c r="C7" s="488">
        <v>15819391</v>
      </c>
      <c r="D7" s="488">
        <v>1687</v>
      </c>
      <c r="E7" s="503">
        <v>0.0047</v>
      </c>
      <c r="F7" s="502">
        <v>3.68</v>
      </c>
      <c r="G7" s="504">
        <f>+E7*C7</f>
        <v>74351.1377</v>
      </c>
      <c r="H7" s="504">
        <f>+F7*D7*12</f>
        <v>74497.92</v>
      </c>
    </row>
    <row r="8" spans="1:8" ht="15">
      <c r="A8" s="132" t="s">
        <v>224</v>
      </c>
      <c r="B8" s="9"/>
      <c r="C8" s="488">
        <v>3680038</v>
      </c>
      <c r="D8" s="488">
        <v>388</v>
      </c>
      <c r="E8" s="503">
        <v>0.0158</v>
      </c>
      <c r="F8" s="502">
        <v>13.87</v>
      </c>
      <c r="G8" s="504">
        <f aca="true" t="shared" si="0" ref="G8:G17">+E8*C8</f>
        <v>58144.6004</v>
      </c>
      <c r="H8" s="504">
        <f aca="true" t="shared" si="1" ref="H8:H17">+F8*D8*12</f>
        <v>64578.719999999994</v>
      </c>
    </row>
    <row r="9" spans="1:8" ht="15">
      <c r="A9" s="132" t="s">
        <v>225</v>
      </c>
      <c r="B9" s="9"/>
      <c r="C9" s="488">
        <v>139169853</v>
      </c>
      <c r="D9" s="488">
        <v>15994</v>
      </c>
      <c r="E9" s="503">
        <v>0.0149</v>
      </c>
      <c r="F9" s="502">
        <v>12.33</v>
      </c>
      <c r="G9" s="504">
        <f t="shared" si="0"/>
        <v>2073630.8097</v>
      </c>
      <c r="H9" s="504">
        <f t="shared" si="1"/>
        <v>2366472.2399999998</v>
      </c>
    </row>
    <row r="10" spans="1:8" ht="15">
      <c r="A10" s="132" t="s">
        <v>226</v>
      </c>
      <c r="B10" s="9"/>
      <c r="C10" s="488">
        <v>9624043</v>
      </c>
      <c r="D10" s="488">
        <v>1006</v>
      </c>
      <c r="E10" s="503">
        <v>0.0141</v>
      </c>
      <c r="F10" s="502">
        <v>12.33</v>
      </c>
      <c r="G10" s="504">
        <f t="shared" si="0"/>
        <v>135699.0063</v>
      </c>
      <c r="H10" s="504">
        <f t="shared" si="1"/>
        <v>148847.76</v>
      </c>
    </row>
    <row r="11" spans="1:8" ht="15">
      <c r="A11" s="132" t="s">
        <v>227</v>
      </c>
      <c r="B11" s="9"/>
      <c r="C11" s="488">
        <v>2597275</v>
      </c>
      <c r="D11" s="488">
        <v>335</v>
      </c>
      <c r="E11" s="503">
        <v>0.0122</v>
      </c>
      <c r="F11" s="502">
        <v>9.74</v>
      </c>
      <c r="G11" s="504">
        <f t="shared" si="0"/>
        <v>31686.755</v>
      </c>
      <c r="H11" s="504">
        <f t="shared" si="1"/>
        <v>39154.8</v>
      </c>
    </row>
    <row r="12" spans="1:8" ht="15">
      <c r="A12" s="132" t="s">
        <v>228</v>
      </c>
      <c r="B12" s="9"/>
      <c r="C12" s="488">
        <v>2237409</v>
      </c>
      <c r="D12" s="488">
        <v>282</v>
      </c>
      <c r="E12" s="503">
        <v>0.0143</v>
      </c>
      <c r="F12" s="502">
        <v>13.58</v>
      </c>
      <c r="G12" s="504">
        <f t="shared" si="0"/>
        <v>31994.9487</v>
      </c>
      <c r="H12" s="504">
        <f t="shared" si="1"/>
        <v>45954.72</v>
      </c>
    </row>
    <row r="13" spans="1:8" ht="15">
      <c r="A13" s="132" t="s">
        <v>229</v>
      </c>
      <c r="B13" s="9"/>
      <c r="C13" s="488">
        <v>10742282</v>
      </c>
      <c r="D13" s="488">
        <v>1345</v>
      </c>
      <c r="E13" s="503">
        <v>0.0166</v>
      </c>
      <c r="F13" s="502">
        <v>13.49</v>
      </c>
      <c r="G13" s="504">
        <f t="shared" si="0"/>
        <v>178321.8812</v>
      </c>
      <c r="H13" s="504">
        <f t="shared" si="1"/>
        <v>217728.59999999998</v>
      </c>
    </row>
    <row r="14" spans="1:8" ht="15">
      <c r="A14" s="132" t="s">
        <v>230</v>
      </c>
      <c r="B14" s="9"/>
      <c r="C14" s="488">
        <v>3373917</v>
      </c>
      <c r="D14" s="488">
        <v>361</v>
      </c>
      <c r="E14" s="503">
        <v>0.0086</v>
      </c>
      <c r="F14" s="502">
        <v>7.06</v>
      </c>
      <c r="G14" s="504">
        <f t="shared" si="0"/>
        <v>29015.6862</v>
      </c>
      <c r="H14" s="504">
        <f t="shared" si="1"/>
        <v>30583.92</v>
      </c>
    </row>
    <row r="15" spans="1:8" ht="15">
      <c r="A15" s="132" t="s">
        <v>231</v>
      </c>
      <c r="B15" s="9"/>
      <c r="C15" s="488">
        <v>17653441</v>
      </c>
      <c r="D15" s="488">
        <v>1839</v>
      </c>
      <c r="E15" s="503">
        <v>0.0125</v>
      </c>
      <c r="F15" s="502">
        <v>10.72</v>
      </c>
      <c r="G15" s="504">
        <f t="shared" si="0"/>
        <v>220668.0125</v>
      </c>
      <c r="H15" s="504">
        <f t="shared" si="1"/>
        <v>236568.96000000002</v>
      </c>
    </row>
    <row r="16" spans="1:8" ht="15">
      <c r="A16" s="132" t="s">
        <v>232</v>
      </c>
      <c r="B16" s="9"/>
      <c r="C16" s="488">
        <v>37331183</v>
      </c>
      <c r="D16" s="488">
        <v>4348</v>
      </c>
      <c r="E16" s="503">
        <v>0.0169</v>
      </c>
      <c r="F16" s="502">
        <v>14.22</v>
      </c>
      <c r="G16" s="504">
        <f t="shared" si="0"/>
        <v>630896.9927</v>
      </c>
      <c r="H16" s="504">
        <f t="shared" si="1"/>
        <v>741942.7200000001</v>
      </c>
    </row>
    <row r="17" spans="1:8" ht="15">
      <c r="A17" s="132" t="s">
        <v>233</v>
      </c>
      <c r="B17" s="9"/>
      <c r="C17" s="488">
        <v>6095691</v>
      </c>
      <c r="D17" s="488">
        <v>619</v>
      </c>
      <c r="E17" s="503">
        <v>0.0112</v>
      </c>
      <c r="F17" s="502">
        <v>10.1</v>
      </c>
      <c r="G17" s="504">
        <f t="shared" si="0"/>
        <v>68271.7392</v>
      </c>
      <c r="H17" s="504">
        <f t="shared" si="1"/>
        <v>75022.79999999999</v>
      </c>
    </row>
    <row r="18" spans="1:8" ht="15.75" thickBot="1">
      <c r="A18" s="132"/>
      <c r="B18" s="9"/>
      <c r="C18" s="489">
        <f>SUM(C7:C17)</f>
        <v>248324523</v>
      </c>
      <c r="D18" s="489">
        <f>SUM(D7:D17)</f>
        <v>28204</v>
      </c>
      <c r="E18" s="503"/>
      <c r="F18" s="502"/>
      <c r="G18" s="505">
        <f>SUM(G7:G17)</f>
        <v>3532681.5696000005</v>
      </c>
      <c r="H18" s="505">
        <f>SUM(H7:H17)</f>
        <v>4041353.1599999997</v>
      </c>
    </row>
    <row r="19" spans="1:8" ht="16.5" thickBot="1" thickTop="1">
      <c r="A19" s="132"/>
      <c r="B19" s="9"/>
      <c r="C19" s="9"/>
      <c r="D19" s="9"/>
      <c r="F19" s="502"/>
      <c r="G19" s="506">
        <f>+G18/C18</f>
        <v>0.014226068077859554</v>
      </c>
      <c r="H19" s="507">
        <f>+H18/D18/12</f>
        <v>11.940839242660616</v>
      </c>
    </row>
    <row r="20" spans="1:6" ht="17.25" thickBot="1" thickTop="1">
      <c r="A20" s="54"/>
      <c r="B20" s="9"/>
      <c r="C20" s="9"/>
      <c r="D20" s="9"/>
      <c r="F20" s="502"/>
    </row>
    <row r="21" spans="1:6" ht="37.5" thickBot="1">
      <c r="A21" s="54" t="s">
        <v>239</v>
      </c>
      <c r="B21" s="492" t="s">
        <v>11</v>
      </c>
      <c r="C21" s="492" t="s">
        <v>12</v>
      </c>
      <c r="D21" s="151" t="s">
        <v>20</v>
      </c>
      <c r="F21" s="502"/>
    </row>
    <row r="22" spans="1:6" ht="15.75">
      <c r="A22" s="54"/>
      <c r="B22" s="9"/>
      <c r="C22" s="9"/>
      <c r="D22" s="9"/>
      <c r="F22" s="502"/>
    </row>
    <row r="23" spans="1:8" ht="15">
      <c r="A23" s="132" t="s">
        <v>223</v>
      </c>
      <c r="B23" s="488">
        <v>45432</v>
      </c>
      <c r="C23" s="488">
        <v>17323383</v>
      </c>
      <c r="D23" s="488">
        <v>1</v>
      </c>
      <c r="E23" s="105">
        <v>1.4066</v>
      </c>
      <c r="F23" s="105">
        <v>2302.37</v>
      </c>
      <c r="G23" s="504">
        <f>+E23*B23</f>
        <v>63904.6512</v>
      </c>
      <c r="H23" s="504">
        <f>+F23*D23*12</f>
        <v>27628.44</v>
      </c>
    </row>
    <row r="24" spans="1:8" ht="15">
      <c r="A24" s="132" t="s">
        <v>225</v>
      </c>
      <c r="B24" s="488">
        <v>96543</v>
      </c>
      <c r="C24" s="488">
        <v>46837295</v>
      </c>
      <c r="D24" s="488">
        <v>3</v>
      </c>
      <c r="E24" s="105">
        <v>2.07</v>
      </c>
      <c r="F24" s="105">
        <v>3857.51</v>
      </c>
      <c r="G24" s="504">
        <f>+E24*B24</f>
        <v>199844.00999999998</v>
      </c>
      <c r="H24" s="504">
        <f>+F24*D24*12</f>
        <v>138870.36000000002</v>
      </c>
    </row>
    <row r="25" spans="1:8" ht="16.5" thickBot="1">
      <c r="A25" s="54"/>
      <c r="B25" s="489">
        <f>SUM(B23:B24)</f>
        <v>141975</v>
      </c>
      <c r="C25" s="489">
        <f>SUM(C23:C24)</f>
        <v>64160678</v>
      </c>
      <c r="D25" s="489">
        <f>SUM(D23:D24)</f>
        <v>4</v>
      </c>
      <c r="E25" s="502"/>
      <c r="F25" s="502"/>
      <c r="G25" s="505">
        <f>SUM(G23:G24)</f>
        <v>263748.6612</v>
      </c>
      <c r="H25" s="505">
        <f>SUM(H23:H24)</f>
        <v>166498.80000000002</v>
      </c>
    </row>
    <row r="26" spans="1:8" ht="17.25" thickBot="1" thickTop="1">
      <c r="A26" s="54"/>
      <c r="B26" s="9"/>
      <c r="C26" s="9"/>
      <c r="D26" s="9"/>
      <c r="E26" s="502"/>
      <c r="F26" s="502"/>
      <c r="G26" s="506">
        <f>+G25/B25</f>
        <v>1.8577119999999998</v>
      </c>
      <c r="H26" s="507">
        <f>+H25/D25/12</f>
        <v>3468.7250000000004</v>
      </c>
    </row>
    <row r="27" spans="1:6" ht="17.25" thickBot="1" thickTop="1">
      <c r="A27" s="54"/>
      <c r="B27" s="9"/>
      <c r="C27" s="9"/>
      <c r="D27" s="9"/>
      <c r="E27" s="502"/>
      <c r="F27" s="502"/>
    </row>
    <row r="28" spans="1:6" ht="37.5" thickBot="1">
      <c r="A28" s="54" t="s">
        <v>236</v>
      </c>
      <c r="B28" s="492" t="s">
        <v>11</v>
      </c>
      <c r="C28" s="492" t="s">
        <v>12</v>
      </c>
      <c r="D28" s="151" t="s">
        <v>20</v>
      </c>
      <c r="E28" s="502"/>
      <c r="F28" s="502"/>
    </row>
    <row r="29" spans="1:6" ht="15.75">
      <c r="A29" s="54"/>
      <c r="B29" s="9"/>
      <c r="C29" s="9"/>
      <c r="D29" s="9"/>
      <c r="E29" s="502"/>
      <c r="F29" s="502"/>
    </row>
    <row r="30" spans="1:8" ht="15">
      <c r="A30" s="132" t="s">
        <v>225</v>
      </c>
      <c r="B30" s="488">
        <v>55024</v>
      </c>
      <c r="C30" s="488">
        <v>24323494</v>
      </c>
      <c r="D30" s="488">
        <v>1</v>
      </c>
      <c r="E30" s="105">
        <v>2.61</v>
      </c>
      <c r="F30" s="105">
        <v>10069.07</v>
      </c>
      <c r="G30" s="504">
        <f>+E30*B30</f>
        <v>143612.63999999998</v>
      </c>
      <c r="H30" s="504">
        <f>+F30*D30*12</f>
        <v>120828.84</v>
      </c>
    </row>
    <row r="31" spans="1:8" ht="15">
      <c r="A31" s="132" t="s">
        <v>232</v>
      </c>
      <c r="B31" s="488">
        <v>61751</v>
      </c>
      <c r="C31" s="488">
        <v>15687604</v>
      </c>
      <c r="D31" s="488">
        <v>1</v>
      </c>
      <c r="E31" s="105">
        <v>2.657</v>
      </c>
      <c r="F31" s="105">
        <v>12771.82</v>
      </c>
      <c r="G31" s="504">
        <f>+E31*B31</f>
        <v>164072.407</v>
      </c>
      <c r="H31" s="504">
        <f>+F31*D31*12</f>
        <v>153261.84</v>
      </c>
    </row>
    <row r="32" spans="1:8" ht="16.5" thickBot="1">
      <c r="A32" s="54"/>
      <c r="B32" s="489">
        <f>SUM(B30:B31)</f>
        <v>116775</v>
      </c>
      <c r="C32" s="489">
        <f>SUM(C30:C31)</f>
        <v>40011098</v>
      </c>
      <c r="D32" s="489">
        <f>SUM(D30:D31)</f>
        <v>2</v>
      </c>
      <c r="E32" s="502"/>
      <c r="F32" s="502"/>
      <c r="G32" s="505">
        <f>SUM(G30:G31)</f>
        <v>307685.047</v>
      </c>
      <c r="H32" s="505">
        <f>SUM(H30:H31)</f>
        <v>274090.68</v>
      </c>
    </row>
    <row r="33" spans="1:8" ht="17.25" thickBot="1" thickTop="1">
      <c r="A33" s="54"/>
      <c r="B33" s="9"/>
      <c r="C33" s="9"/>
      <c r="D33" s="9"/>
      <c r="E33" s="502"/>
      <c r="F33" s="502"/>
      <c r="G33" s="506">
        <f>+G32/B32</f>
        <v>2.6348537529436955</v>
      </c>
      <c r="H33" s="507">
        <f>+H32/D32/12</f>
        <v>11420.445</v>
      </c>
    </row>
    <row r="34" spans="1:6" ht="17.25" thickBot="1" thickTop="1">
      <c r="A34" s="54"/>
      <c r="B34" s="9"/>
      <c r="C34" s="9"/>
      <c r="D34" s="9"/>
      <c r="E34" s="502"/>
      <c r="F34" s="502"/>
    </row>
    <row r="35" spans="1:6" ht="37.5" thickBot="1">
      <c r="A35" s="54" t="s">
        <v>237</v>
      </c>
      <c r="B35" s="492" t="s">
        <v>11</v>
      </c>
      <c r="C35" s="492" t="s">
        <v>12</v>
      </c>
      <c r="D35" s="151" t="s">
        <v>20</v>
      </c>
      <c r="F35" s="502"/>
    </row>
    <row r="36" spans="1:6" ht="15">
      <c r="A36" s="132"/>
      <c r="B36" s="9"/>
      <c r="C36" s="9"/>
      <c r="D36" s="9"/>
      <c r="F36" s="502"/>
    </row>
    <row r="37" spans="1:8" ht="15">
      <c r="A37" s="132" t="s">
        <v>223</v>
      </c>
      <c r="B37" s="9">
        <v>127</v>
      </c>
      <c r="C37" s="488">
        <v>38893</v>
      </c>
      <c r="D37" s="488">
        <v>35</v>
      </c>
      <c r="E37">
        <v>1.59</v>
      </c>
      <c r="F37" s="502">
        <v>1.71</v>
      </c>
      <c r="G37" s="502">
        <f>+E37*B37</f>
        <v>201.93</v>
      </c>
      <c r="H37" s="502">
        <f>+F37*D37*12</f>
        <v>718.2</v>
      </c>
    </row>
    <row r="38" spans="1:8" ht="15">
      <c r="A38" s="132" t="s">
        <v>224</v>
      </c>
      <c r="B38" s="9">
        <v>36</v>
      </c>
      <c r="C38" s="488">
        <v>10979</v>
      </c>
      <c r="D38" s="488">
        <v>11</v>
      </c>
      <c r="E38">
        <v>3.486</v>
      </c>
      <c r="F38" s="502">
        <v>3.14</v>
      </c>
      <c r="G38" s="502">
        <f aca="true" t="shared" si="2" ref="G38:G47">+E38*B38</f>
        <v>125.49600000000001</v>
      </c>
      <c r="H38" s="502">
        <f aca="true" t="shared" si="3" ref="H38:H47">+F38*D38*12</f>
        <v>414.48</v>
      </c>
    </row>
    <row r="39" spans="1:8" ht="15">
      <c r="A39" s="132" t="s">
        <v>225</v>
      </c>
      <c r="B39" s="9">
        <v>478</v>
      </c>
      <c r="C39" s="488">
        <v>146773</v>
      </c>
      <c r="D39" s="488">
        <v>108</v>
      </c>
      <c r="E39">
        <v>3.14</v>
      </c>
      <c r="F39" s="502">
        <v>4.85</v>
      </c>
      <c r="G39" s="502">
        <f t="shared" si="2"/>
        <v>1500.92</v>
      </c>
      <c r="H39" s="502">
        <f t="shared" si="3"/>
        <v>6285.599999999999</v>
      </c>
    </row>
    <row r="40" spans="1:8" ht="15">
      <c r="A40" s="132" t="s">
        <v>226</v>
      </c>
      <c r="B40" s="9">
        <v>109</v>
      </c>
      <c r="C40" s="488">
        <v>33488</v>
      </c>
      <c r="D40" s="488">
        <v>26</v>
      </c>
      <c r="E40">
        <v>3.158</v>
      </c>
      <c r="F40" s="502">
        <v>4.52</v>
      </c>
      <c r="G40" s="502">
        <f t="shared" si="2"/>
        <v>344.222</v>
      </c>
      <c r="H40" s="502">
        <f t="shared" si="3"/>
        <v>1410.2399999999998</v>
      </c>
    </row>
    <row r="41" spans="1:8" ht="15">
      <c r="A41" s="132" t="s">
        <v>227</v>
      </c>
      <c r="B41" s="9">
        <v>0</v>
      </c>
      <c r="C41" s="488">
        <v>0</v>
      </c>
      <c r="D41" s="488">
        <v>0</v>
      </c>
      <c r="F41" s="502"/>
      <c r="G41" s="502">
        <f t="shared" si="2"/>
        <v>0</v>
      </c>
      <c r="H41" s="502">
        <f t="shared" si="3"/>
        <v>0</v>
      </c>
    </row>
    <row r="42" spans="1:8" ht="15">
      <c r="A42" s="132" t="s">
        <v>228</v>
      </c>
      <c r="B42" s="9">
        <v>9</v>
      </c>
      <c r="C42" s="488">
        <v>2650</v>
      </c>
      <c r="D42" s="488">
        <v>4</v>
      </c>
      <c r="E42">
        <v>0.51</v>
      </c>
      <c r="F42" s="502">
        <v>0.52</v>
      </c>
      <c r="G42" s="502">
        <f t="shared" si="2"/>
        <v>4.59</v>
      </c>
      <c r="H42" s="502">
        <f t="shared" si="3"/>
        <v>24.96</v>
      </c>
    </row>
    <row r="43" spans="1:8" ht="15">
      <c r="A43" s="132" t="s">
        <v>229</v>
      </c>
      <c r="B43" s="9">
        <v>62</v>
      </c>
      <c r="C43" s="488">
        <v>19093</v>
      </c>
      <c r="D43" s="488">
        <v>20</v>
      </c>
      <c r="E43">
        <v>2.48</v>
      </c>
      <c r="F43" s="502">
        <v>2.55</v>
      </c>
      <c r="G43" s="502">
        <f t="shared" si="2"/>
        <v>153.76</v>
      </c>
      <c r="H43" s="502">
        <f t="shared" si="3"/>
        <v>612</v>
      </c>
    </row>
    <row r="44" spans="1:8" ht="15">
      <c r="A44" s="132" t="s">
        <v>230</v>
      </c>
      <c r="B44" s="9">
        <v>59</v>
      </c>
      <c r="C44" s="488">
        <v>18239</v>
      </c>
      <c r="D44" s="488">
        <v>16</v>
      </c>
      <c r="E44">
        <v>4.012</v>
      </c>
      <c r="F44" s="502">
        <v>3.12</v>
      </c>
      <c r="G44" s="502">
        <f t="shared" si="2"/>
        <v>236.70799999999997</v>
      </c>
      <c r="H44" s="502">
        <f t="shared" si="3"/>
        <v>599.04</v>
      </c>
    </row>
    <row r="45" spans="1:8" ht="15">
      <c r="A45" s="132" t="s">
        <v>231</v>
      </c>
      <c r="B45" s="9">
        <v>141</v>
      </c>
      <c r="C45" s="488">
        <v>43213</v>
      </c>
      <c r="D45" s="488">
        <v>32</v>
      </c>
      <c r="E45">
        <v>2.74</v>
      </c>
      <c r="F45" s="502">
        <v>3.69</v>
      </c>
      <c r="G45" s="502">
        <f t="shared" si="2"/>
        <v>386.34000000000003</v>
      </c>
      <c r="H45" s="502">
        <f t="shared" si="3"/>
        <v>1416.96</v>
      </c>
    </row>
    <row r="46" spans="1:8" ht="15">
      <c r="A46" s="132" t="s">
        <v>232</v>
      </c>
      <c r="B46" s="9">
        <v>302</v>
      </c>
      <c r="C46" s="488">
        <v>92816</v>
      </c>
      <c r="D46" s="488">
        <v>102</v>
      </c>
      <c r="E46">
        <v>3.4</v>
      </c>
      <c r="F46" s="502">
        <v>4.6</v>
      </c>
      <c r="G46" s="502">
        <f t="shared" si="2"/>
        <v>1026.8</v>
      </c>
      <c r="H46" s="502">
        <f t="shared" si="3"/>
        <v>5630.4</v>
      </c>
    </row>
    <row r="47" spans="1:8" ht="15">
      <c r="A47" s="132" t="s">
        <v>233</v>
      </c>
      <c r="B47" s="9">
        <v>39</v>
      </c>
      <c r="C47" s="488">
        <v>12039</v>
      </c>
      <c r="D47" s="488">
        <v>9</v>
      </c>
      <c r="E47">
        <v>1.06</v>
      </c>
      <c r="F47" s="502">
        <v>2.02</v>
      </c>
      <c r="G47" s="502">
        <f t="shared" si="2"/>
        <v>41.34</v>
      </c>
      <c r="H47" s="502">
        <f t="shared" si="3"/>
        <v>218.16</v>
      </c>
    </row>
    <row r="48" spans="1:8" ht="15.75" thickBot="1">
      <c r="A48" s="132"/>
      <c r="B48" s="489">
        <f>SUM(B37:B47)</f>
        <v>1362</v>
      </c>
      <c r="C48" s="489">
        <f>SUM(C37:C47)</f>
        <v>418183</v>
      </c>
      <c r="D48" s="489">
        <f>SUM(D37:D47)</f>
        <v>363</v>
      </c>
      <c r="F48" s="502"/>
      <c r="G48" s="505">
        <f>SUM(G37:G47)</f>
        <v>4022.1060000000007</v>
      </c>
      <c r="H48" s="505">
        <f>SUM(H37:H47)</f>
        <v>17330.039999999997</v>
      </c>
    </row>
    <row r="49" spans="6:8" ht="14.25" thickBot="1" thickTop="1">
      <c r="F49" s="502"/>
      <c r="G49" s="506">
        <f>+G48/B48</f>
        <v>2.9530881057268727</v>
      </c>
      <c r="H49" s="507">
        <f>+H48/D48/12</f>
        <v>3.978429752066115</v>
      </c>
    </row>
    <row r="50" ht="13.5" thickTop="1">
      <c r="F50" s="502"/>
    </row>
    <row r="51" ht="12.75">
      <c r="F51" s="502"/>
    </row>
    <row r="52" ht="12.75">
      <c r="F52" s="502"/>
    </row>
    <row r="53" ht="12.75">
      <c r="F53" s="502"/>
    </row>
    <row r="54" ht="12.75">
      <c r="F54" s="502"/>
    </row>
    <row r="55" ht="12.75">
      <c r="F55" s="502"/>
    </row>
    <row r="56" ht="12.75">
      <c r="F56" s="502"/>
    </row>
    <row r="57" ht="12.75">
      <c r="F57" s="502"/>
    </row>
    <row r="58" ht="12.75">
      <c r="F58" s="502"/>
    </row>
    <row r="59" ht="12.75">
      <c r="F59" s="502"/>
    </row>
  </sheetData>
  <sheetProtection/>
  <printOptions/>
  <pageMargins left="0.75" right="0.75" top="1" bottom="1" header="0.5" footer="0.5"/>
  <pageSetup fitToHeight="1" fitToWidth="1" horizontalDpi="600" verticalDpi="600" orientation="portrait" scale="65" r:id="rId1"/>
</worksheet>
</file>

<file path=xl/worksheets/sheet2.xml><?xml version="1.0" encoding="utf-8"?>
<worksheet xmlns="http://schemas.openxmlformats.org/spreadsheetml/2006/main" xmlns:r="http://schemas.openxmlformats.org/officeDocument/2006/relationships">
  <dimension ref="A1:G226"/>
  <sheetViews>
    <sheetView zoomScalePageLayoutView="0" workbookViewId="0" topLeftCell="A1">
      <pane ySplit="1" topLeftCell="A41" activePane="bottomLeft" state="frozen"/>
      <selection pane="topLeft" activeCell="A1" sqref="A1"/>
      <selection pane="bottomLeft" activeCell="A98" sqref="A98:IV104"/>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110</v>
      </c>
      <c r="D1" s="10"/>
    </row>
    <row r="2" ht="13.5" thickBot="1"/>
    <row r="3" spans="1:6" ht="15.75">
      <c r="A3" s="518" t="str">
        <f>"Name of Utility:      "&amp;'Info Sheet'!B4</f>
        <v>Name of Utility:      Chatham-Kent Hydro</v>
      </c>
      <c r="B3" s="519"/>
      <c r="C3" s="519"/>
      <c r="D3" s="455" t="str">
        <f>'Info Sheet'!B21</f>
        <v>2005.V1.1</v>
      </c>
      <c r="E3" s="36"/>
      <c r="F3" s="14"/>
    </row>
    <row r="4" spans="1:6" ht="18">
      <c r="A4" s="301" t="str">
        <f>"License Number:   "&amp;'Info Sheet'!B6</f>
        <v>License Number:   ED-2002-0563</v>
      </c>
      <c r="B4" s="27"/>
      <c r="C4" s="392"/>
      <c r="D4" s="395" t="str">
        <f>'Info Sheet'!B8</f>
        <v>RP-2005-0013</v>
      </c>
      <c r="E4" s="36"/>
      <c r="F4" s="14"/>
    </row>
    <row r="5" spans="1:4" ht="15.75">
      <c r="A5" s="515" t="str">
        <f>"Name of Contact:  "&amp;'Info Sheet'!B12</f>
        <v>Name of Contact:  Jim Hogan</v>
      </c>
      <c r="B5" s="516"/>
      <c r="C5" s="516"/>
      <c r="D5" s="395" t="str">
        <f>'Info Sheet'!B10</f>
        <v>EB-2005-0017</v>
      </c>
    </row>
    <row r="6" spans="1:4" ht="18" customHeight="1">
      <c r="A6" s="520" t="str">
        <f>"E- Mail Address:    "&amp;'Info Sheet'!B14</f>
        <v>E- Mail Address:    jimhogan@ckenergy.com</v>
      </c>
      <c r="B6" s="517"/>
      <c r="C6" s="517"/>
      <c r="D6" s="100"/>
    </row>
    <row r="7" spans="1:4" ht="15.75">
      <c r="A7" s="301" t="str">
        <f>"Phone Number:     "&amp;'Info Sheet'!B16</f>
        <v>Phone Number:     </v>
      </c>
      <c r="B7" s="517" t="str">
        <f>'Info Sheet'!$C$16&amp;" "&amp;'Info Sheet'!$D$16</f>
        <v>519-352-6300 (277) </v>
      </c>
      <c r="C7" s="517"/>
      <c r="D7" s="100"/>
    </row>
    <row r="8" spans="1:4" ht="16.5" thickBot="1">
      <c r="A8" s="302" t="str">
        <f>"Date:                      "&amp;('Info Sheet'!B18)</f>
        <v>Date:                      March 10, 2005</v>
      </c>
      <c r="B8" s="303"/>
      <c r="C8" s="393"/>
      <c r="D8" s="149"/>
    </row>
    <row r="9" spans="1:3" ht="15.75">
      <c r="A9" s="28"/>
      <c r="B9" s="29"/>
      <c r="C9" s="27"/>
    </row>
    <row r="10" spans="1:5" ht="16.5" customHeight="1">
      <c r="A10" s="306" t="s">
        <v>113</v>
      </c>
      <c r="B10" s="35"/>
      <c r="C10" s="40"/>
      <c r="D10" s="307"/>
      <c r="E10" s="35"/>
    </row>
    <row r="11" spans="1:5" ht="16.5" customHeight="1">
      <c r="A11" s="514" t="s">
        <v>192</v>
      </c>
      <c r="B11" s="514"/>
      <c r="C11" s="514"/>
      <c r="D11" s="514"/>
      <c r="E11" s="514"/>
    </row>
    <row r="12" spans="1:5" ht="14.25" customHeight="1">
      <c r="A12" s="514"/>
      <c r="B12" s="514"/>
      <c r="C12" s="514"/>
      <c r="D12" s="514"/>
      <c r="E12" s="514"/>
    </row>
    <row r="13" ht="13.5" customHeight="1"/>
    <row r="14" ht="15">
      <c r="A14" s="309" t="s">
        <v>183</v>
      </c>
    </row>
    <row r="15" spans="2:4" ht="15" customHeight="1">
      <c r="B15" s="39"/>
      <c r="C15" s="40"/>
      <c r="D15" s="307"/>
    </row>
    <row r="16" spans="2:6" ht="12.75">
      <c r="B16" s="14"/>
      <c r="C16" s="14"/>
      <c r="D16" s="14"/>
      <c r="E16" s="14"/>
      <c r="F16" s="14"/>
    </row>
    <row r="17" spans="1:7" ht="18">
      <c r="A17" s="55" t="s">
        <v>0</v>
      </c>
      <c r="B17" s="52"/>
      <c r="C17" s="53"/>
      <c r="E17" s="15"/>
      <c r="G17" s="15"/>
    </row>
    <row r="18" spans="1:7" ht="12.75">
      <c r="A18" s="484" t="s">
        <v>211</v>
      </c>
      <c r="B18" s="15"/>
      <c r="C18" s="15"/>
      <c r="D18" s="49"/>
      <c r="E18" s="15"/>
      <c r="F18" s="15"/>
      <c r="G18" s="15"/>
    </row>
    <row r="19" spans="1:7" ht="12.75">
      <c r="A19" s="109" t="s">
        <v>68</v>
      </c>
      <c r="B19" s="109"/>
      <c r="C19" s="110"/>
      <c r="D19" s="111">
        <v>0.003</v>
      </c>
      <c r="E19" s="15"/>
      <c r="F19" s="15"/>
      <c r="G19" s="15"/>
    </row>
    <row r="20" spans="1:7" ht="12.75">
      <c r="A20" s="112"/>
      <c r="B20" s="112"/>
      <c r="C20" s="113"/>
      <c r="D20" s="113"/>
      <c r="E20" s="15"/>
      <c r="F20" s="15"/>
      <c r="G20" s="15"/>
    </row>
    <row r="21" spans="1:7" ht="12.75">
      <c r="A21" s="109" t="s">
        <v>69</v>
      </c>
      <c r="B21" s="109"/>
      <c r="C21" s="110"/>
      <c r="D21" s="114">
        <v>3.49</v>
      </c>
      <c r="E21" s="15"/>
      <c r="F21" s="15"/>
      <c r="G21" s="15"/>
    </row>
    <row r="22" spans="3:7" ht="12.75">
      <c r="C22" s="15"/>
      <c r="D22" s="15"/>
      <c r="E22" s="15"/>
      <c r="F22" s="15"/>
      <c r="G22" s="15"/>
    </row>
    <row r="23" spans="3:7" ht="12.75">
      <c r="C23" s="15"/>
      <c r="D23" s="15"/>
      <c r="E23" s="15"/>
      <c r="F23" s="15"/>
      <c r="G23" s="15"/>
    </row>
    <row r="24" spans="1:7" ht="12.75">
      <c r="A24" s="484" t="s">
        <v>212</v>
      </c>
      <c r="B24" s="15"/>
      <c r="C24" s="15"/>
      <c r="D24" s="49"/>
      <c r="E24" s="15"/>
      <c r="F24" s="15"/>
      <c r="G24" s="15"/>
    </row>
    <row r="25" spans="1:7" ht="12.75">
      <c r="A25" s="109" t="s">
        <v>68</v>
      </c>
      <c r="B25" s="109"/>
      <c r="C25" s="110"/>
      <c r="D25" s="111">
        <v>0.0094</v>
      </c>
      <c r="E25" s="15"/>
      <c r="F25" s="15"/>
      <c r="G25" s="15"/>
    </row>
    <row r="26" spans="1:7" ht="12.75">
      <c r="A26" s="112"/>
      <c r="B26" s="112"/>
      <c r="C26" s="113"/>
      <c r="D26" s="113"/>
      <c r="E26" s="15"/>
      <c r="F26" s="15"/>
      <c r="G26" s="15"/>
    </row>
    <row r="27" spans="1:7" ht="12.75">
      <c r="A27" s="109" t="s">
        <v>69</v>
      </c>
      <c r="B27" s="109"/>
      <c r="C27" s="110"/>
      <c r="D27" s="114">
        <v>12.35</v>
      </c>
      <c r="E27" s="15"/>
      <c r="F27" s="15"/>
      <c r="G27" s="15"/>
    </row>
    <row r="28" spans="3:7" ht="12.75">
      <c r="C28" s="15"/>
      <c r="D28" s="15"/>
      <c r="E28" s="15"/>
      <c r="F28" s="15"/>
      <c r="G28" s="15"/>
    </row>
    <row r="29" spans="3:7" ht="12.75">
      <c r="C29" s="15"/>
      <c r="D29" s="15"/>
      <c r="E29" s="15"/>
      <c r="F29" s="15"/>
      <c r="G29" s="15"/>
    </row>
    <row r="30" spans="1:7" ht="12.75">
      <c r="A30" s="484" t="s">
        <v>213</v>
      </c>
      <c r="B30" s="15"/>
      <c r="C30" s="15"/>
      <c r="D30" s="49"/>
      <c r="E30" s="15"/>
      <c r="F30" s="15"/>
      <c r="G30" s="15"/>
    </row>
    <row r="31" spans="1:7" ht="12.75">
      <c r="A31" s="109" t="s">
        <v>68</v>
      </c>
      <c r="B31" s="109"/>
      <c r="C31" s="110"/>
      <c r="D31" s="111">
        <v>0.0088</v>
      </c>
      <c r="E31" s="15"/>
      <c r="F31" s="15"/>
      <c r="G31" s="15"/>
    </row>
    <row r="32" spans="1:7" ht="12.75">
      <c r="A32" s="112"/>
      <c r="B32" s="112"/>
      <c r="C32" s="113"/>
      <c r="D32" s="113"/>
      <c r="E32" s="15"/>
      <c r="F32" s="15"/>
      <c r="G32" s="15"/>
    </row>
    <row r="33" spans="1:7" ht="12.75">
      <c r="A33" s="109" t="s">
        <v>69</v>
      </c>
      <c r="B33" s="109"/>
      <c r="C33" s="110"/>
      <c r="D33" s="114">
        <v>11.08</v>
      </c>
      <c r="E33" s="15"/>
      <c r="F33" s="15"/>
      <c r="G33" s="15"/>
    </row>
    <row r="34" spans="3:7" ht="12.75">
      <c r="C34" s="15"/>
      <c r="D34" s="15"/>
      <c r="E34" s="15"/>
      <c r="F34" s="15"/>
      <c r="G34" s="15"/>
    </row>
    <row r="35" spans="3:7" ht="12.75">
      <c r="C35" s="15"/>
      <c r="D35" s="15"/>
      <c r="E35" s="15"/>
      <c r="F35" s="15"/>
      <c r="G35" s="15"/>
    </row>
    <row r="36" spans="1:7" ht="12.75">
      <c r="A36" s="484" t="s">
        <v>214</v>
      </c>
      <c r="B36" s="15"/>
      <c r="C36" s="15"/>
      <c r="D36" s="49"/>
      <c r="E36" s="15"/>
      <c r="F36" s="15"/>
      <c r="G36" s="15"/>
    </row>
    <row r="37" spans="1:7" ht="12.75">
      <c r="A37" s="109" t="s">
        <v>68</v>
      </c>
      <c r="B37" s="109"/>
      <c r="C37" s="110"/>
      <c r="D37" s="111">
        <v>0.0085</v>
      </c>
      <c r="E37" s="15"/>
      <c r="F37" s="15"/>
      <c r="G37" s="15"/>
    </row>
    <row r="38" spans="1:7" ht="12.75">
      <c r="A38" s="112"/>
      <c r="B38" s="112"/>
      <c r="C38" s="113"/>
      <c r="D38" s="113"/>
      <c r="E38" s="15"/>
      <c r="F38" s="15"/>
      <c r="G38" s="15"/>
    </row>
    <row r="39" spans="1:7" ht="12.75">
      <c r="A39" s="109" t="s">
        <v>69</v>
      </c>
      <c r="B39" s="109"/>
      <c r="C39" s="110"/>
      <c r="D39" s="114">
        <v>11.06</v>
      </c>
      <c r="E39" s="15"/>
      <c r="F39" s="15"/>
      <c r="G39" s="15"/>
    </row>
    <row r="40" spans="3:7" ht="12.75">
      <c r="C40" s="15"/>
      <c r="D40" s="15"/>
      <c r="E40" s="15"/>
      <c r="F40" s="15"/>
      <c r="G40" s="15"/>
    </row>
    <row r="41" spans="3:7" ht="12.75">
      <c r="C41" s="15"/>
      <c r="D41" s="15"/>
      <c r="E41" s="15"/>
      <c r="F41" s="15"/>
      <c r="G41" s="15"/>
    </row>
    <row r="42" spans="1:7" ht="12.75">
      <c r="A42" s="484" t="s">
        <v>215</v>
      </c>
      <c r="B42" s="15"/>
      <c r="C42" s="15"/>
      <c r="D42" s="49"/>
      <c r="E42" s="15"/>
      <c r="F42" s="15"/>
      <c r="G42" s="15"/>
    </row>
    <row r="43" spans="1:7" ht="12.75">
      <c r="A43" s="109" t="s">
        <v>68</v>
      </c>
      <c r="B43" s="109"/>
      <c r="C43" s="110"/>
      <c r="D43" s="111">
        <v>0.007</v>
      </c>
      <c r="E43" s="15"/>
      <c r="F43" s="15"/>
      <c r="G43" s="15"/>
    </row>
    <row r="44" spans="1:7" ht="12.75">
      <c r="A44" s="112"/>
      <c r="B44" s="112"/>
      <c r="C44" s="113"/>
      <c r="D44" s="113"/>
      <c r="E44" s="15"/>
      <c r="F44" s="15"/>
      <c r="G44" s="15"/>
    </row>
    <row r="45" spans="1:7" ht="12.75">
      <c r="A45" s="109" t="s">
        <v>69</v>
      </c>
      <c r="B45" s="109"/>
      <c r="C45" s="110"/>
      <c r="D45" s="114">
        <v>8.8</v>
      </c>
      <c r="E45" s="15"/>
      <c r="F45" s="15"/>
      <c r="G45" s="15"/>
    </row>
    <row r="46" spans="3:7" ht="12.75">
      <c r="C46" s="15"/>
      <c r="D46" s="15"/>
      <c r="E46" s="15"/>
      <c r="F46" s="15"/>
      <c r="G46" s="15"/>
    </row>
    <row r="47" spans="3:7" ht="12.75">
      <c r="C47" s="15"/>
      <c r="D47" s="15"/>
      <c r="E47" s="15"/>
      <c r="F47" s="15"/>
      <c r="G47" s="15"/>
    </row>
    <row r="48" spans="1:7" ht="12.75">
      <c r="A48" s="484" t="s">
        <v>216</v>
      </c>
      <c r="B48" s="15"/>
      <c r="C48" s="15"/>
      <c r="D48" s="49"/>
      <c r="E48" s="15"/>
      <c r="F48" s="15"/>
      <c r="G48" s="15"/>
    </row>
    <row r="49" spans="1:7" ht="12.75">
      <c r="A49" s="109" t="s">
        <v>68</v>
      </c>
      <c r="B49" s="109"/>
      <c r="C49" s="110"/>
      <c r="D49" s="111">
        <v>0.0081</v>
      </c>
      <c r="E49" s="15"/>
      <c r="F49" s="15"/>
      <c r="G49" s="15"/>
    </row>
    <row r="50" spans="1:7" ht="12.75">
      <c r="A50" s="112"/>
      <c r="B50" s="112"/>
      <c r="C50" s="113"/>
      <c r="D50" s="113"/>
      <c r="E50" s="15"/>
      <c r="F50" s="15"/>
      <c r="G50" s="15"/>
    </row>
    <row r="51" spans="1:7" ht="12.75">
      <c r="A51" s="109" t="s">
        <v>69</v>
      </c>
      <c r="B51" s="109"/>
      <c r="C51" s="110"/>
      <c r="D51" s="114">
        <v>11.83</v>
      </c>
      <c r="E51" s="15"/>
      <c r="F51" s="15"/>
      <c r="G51" s="15"/>
    </row>
    <row r="52" spans="3:7" ht="12.75">
      <c r="C52" s="15"/>
      <c r="D52" s="15"/>
      <c r="E52" s="15"/>
      <c r="F52" s="15"/>
      <c r="G52" s="15"/>
    </row>
    <row r="53" spans="3:7" ht="12.75">
      <c r="C53" s="15"/>
      <c r="D53" s="15"/>
      <c r="E53" s="15"/>
      <c r="F53" s="15"/>
      <c r="G53" s="15"/>
    </row>
    <row r="54" spans="1:7" ht="12.75">
      <c r="A54" s="484" t="s">
        <v>217</v>
      </c>
      <c r="B54" s="15"/>
      <c r="C54" s="15"/>
      <c r="D54" s="49"/>
      <c r="E54" s="15"/>
      <c r="F54" s="15"/>
      <c r="G54" s="15"/>
    </row>
    <row r="55" spans="1:7" ht="12.75">
      <c r="A55" s="109" t="s">
        <v>68</v>
      </c>
      <c r="B55" s="109"/>
      <c r="C55" s="110"/>
      <c r="D55" s="111">
        <v>0.0096</v>
      </c>
      <c r="E55" s="15"/>
      <c r="F55" s="15"/>
      <c r="G55" s="15"/>
    </row>
    <row r="56" spans="1:7" ht="12.75">
      <c r="A56" s="112"/>
      <c r="B56" s="112"/>
      <c r="C56" s="113"/>
      <c r="D56" s="113"/>
      <c r="E56" s="15"/>
      <c r="F56" s="15"/>
      <c r="G56" s="15"/>
    </row>
    <row r="57" spans="1:7" ht="12.75">
      <c r="A57" s="109" t="s">
        <v>69</v>
      </c>
      <c r="B57" s="109"/>
      <c r="C57" s="110"/>
      <c r="D57" s="114">
        <v>12.13</v>
      </c>
      <c r="E57" s="15"/>
      <c r="F57" s="15"/>
      <c r="G57" s="15"/>
    </row>
    <row r="58" spans="3:7" ht="12.75">
      <c r="C58" s="15"/>
      <c r="D58" s="15"/>
      <c r="E58" s="15"/>
      <c r="F58" s="15"/>
      <c r="G58" s="15"/>
    </row>
    <row r="59" spans="3:7" ht="12.75">
      <c r="C59" s="15"/>
      <c r="D59" s="15"/>
      <c r="E59" s="15"/>
      <c r="F59" s="15"/>
      <c r="G59" s="15"/>
    </row>
    <row r="60" spans="1:7" ht="12.75">
      <c r="A60" s="484" t="s">
        <v>218</v>
      </c>
      <c r="B60" s="15"/>
      <c r="C60" s="15"/>
      <c r="D60" s="49"/>
      <c r="E60" s="15"/>
      <c r="F60" s="15"/>
      <c r="G60" s="15"/>
    </row>
    <row r="61" spans="1:7" ht="12.75">
      <c r="A61" s="109" t="s">
        <v>68</v>
      </c>
      <c r="B61" s="109"/>
      <c r="C61" s="110"/>
      <c r="D61" s="111">
        <v>0.0052</v>
      </c>
      <c r="E61" s="15"/>
      <c r="F61" s="15"/>
      <c r="G61" s="15"/>
    </row>
    <row r="62" spans="1:7" ht="12.75">
      <c r="A62" s="112"/>
      <c r="B62" s="112"/>
      <c r="C62" s="113"/>
      <c r="D62" s="113"/>
      <c r="E62" s="15"/>
      <c r="F62" s="15"/>
      <c r="G62" s="15"/>
    </row>
    <row r="63" spans="1:7" ht="12.75">
      <c r="A63" s="109" t="s">
        <v>69</v>
      </c>
      <c r="B63" s="109"/>
      <c r="C63" s="110"/>
      <c r="D63" s="114">
        <v>6.4</v>
      </c>
      <c r="E63" s="15"/>
      <c r="F63" s="15"/>
      <c r="G63" s="15"/>
    </row>
    <row r="64" spans="3:7" ht="12.75">
      <c r="C64" s="15"/>
      <c r="D64" s="15"/>
      <c r="E64" s="15"/>
      <c r="F64" s="15"/>
      <c r="G64" s="15"/>
    </row>
    <row r="65" spans="3:7" ht="12.75">
      <c r="C65" s="15"/>
      <c r="D65" s="15"/>
      <c r="E65" s="15"/>
      <c r="F65" s="15"/>
      <c r="G65" s="15"/>
    </row>
    <row r="66" spans="1:7" ht="12.75">
      <c r="A66" s="484" t="s">
        <v>219</v>
      </c>
      <c r="B66" s="15"/>
      <c r="C66" s="15"/>
      <c r="D66" s="49"/>
      <c r="E66" s="15"/>
      <c r="F66" s="15"/>
      <c r="G66" s="15"/>
    </row>
    <row r="67" spans="1:7" ht="12.75">
      <c r="A67" s="109" t="s">
        <v>68</v>
      </c>
      <c r="B67" s="109"/>
      <c r="C67" s="110"/>
      <c r="D67" s="111">
        <v>0.0076</v>
      </c>
      <c r="E67" s="15"/>
      <c r="F67" s="15"/>
      <c r="G67" s="15"/>
    </row>
    <row r="68" spans="1:7" ht="12.75">
      <c r="A68" s="112"/>
      <c r="B68" s="112"/>
      <c r="C68" s="113"/>
      <c r="D68" s="113"/>
      <c r="E68" s="15"/>
      <c r="F68" s="15"/>
      <c r="G68" s="15"/>
    </row>
    <row r="69" spans="1:7" ht="12.75">
      <c r="A69" s="109" t="s">
        <v>69</v>
      </c>
      <c r="B69" s="109"/>
      <c r="C69" s="110"/>
      <c r="D69" s="114">
        <v>9.63</v>
      </c>
      <c r="E69" s="15"/>
      <c r="F69" s="15"/>
      <c r="G69" s="15"/>
    </row>
    <row r="70" spans="3:7" ht="12.75">
      <c r="C70" s="15"/>
      <c r="D70" s="15"/>
      <c r="E70" s="15"/>
      <c r="F70" s="15"/>
      <c r="G70" s="15"/>
    </row>
    <row r="71" spans="3:7" ht="12.75">
      <c r="C71" s="15"/>
      <c r="D71" s="15"/>
      <c r="E71" s="15"/>
      <c r="F71" s="15"/>
      <c r="G71" s="15"/>
    </row>
    <row r="72" spans="1:7" ht="12.75">
      <c r="A72" s="484" t="s">
        <v>220</v>
      </c>
      <c r="B72" s="15"/>
      <c r="C72" s="15"/>
      <c r="D72" s="49"/>
      <c r="E72" s="15"/>
      <c r="F72" s="15"/>
      <c r="G72" s="15"/>
    </row>
    <row r="73" spans="1:7" ht="12.75">
      <c r="A73" s="109" t="s">
        <v>68</v>
      </c>
      <c r="B73" s="109"/>
      <c r="C73" s="110"/>
      <c r="D73" s="111">
        <v>0.01</v>
      </c>
      <c r="E73" s="15"/>
      <c r="F73" s="15"/>
      <c r="G73" s="15"/>
    </row>
    <row r="74" spans="1:7" ht="12.75">
      <c r="A74" s="112"/>
      <c r="B74" s="112"/>
      <c r="C74" s="113"/>
      <c r="D74" s="113"/>
      <c r="E74" s="15"/>
      <c r="F74" s="15"/>
      <c r="G74" s="15"/>
    </row>
    <row r="75" spans="1:7" ht="12.75">
      <c r="A75" s="109" t="s">
        <v>69</v>
      </c>
      <c r="B75" s="109"/>
      <c r="C75" s="110"/>
      <c r="D75" s="114">
        <v>12.75</v>
      </c>
      <c r="E75" s="15"/>
      <c r="F75" s="15"/>
      <c r="G75" s="15"/>
    </row>
    <row r="76" spans="3:7" ht="12.75">
      <c r="C76" s="15"/>
      <c r="D76" s="15"/>
      <c r="E76" s="15"/>
      <c r="F76" s="15"/>
      <c r="G76" s="15"/>
    </row>
    <row r="77" spans="3:7" ht="12.75">
      <c r="C77" s="15"/>
      <c r="D77" s="15"/>
      <c r="E77" s="15"/>
      <c r="F77" s="15"/>
      <c r="G77" s="15"/>
    </row>
    <row r="78" spans="1:7" ht="12.75">
      <c r="A78" s="484" t="s">
        <v>221</v>
      </c>
      <c r="B78" s="15"/>
      <c r="C78" s="15"/>
      <c r="D78" s="49"/>
      <c r="E78" s="15"/>
      <c r="F78" s="15"/>
      <c r="G78" s="15"/>
    </row>
    <row r="79" spans="1:7" ht="12.75">
      <c r="A79" s="109" t="s">
        <v>68</v>
      </c>
      <c r="B79" s="109"/>
      <c r="C79" s="110"/>
      <c r="D79" s="111">
        <v>0.0069</v>
      </c>
      <c r="E79" s="15"/>
      <c r="F79" s="15"/>
      <c r="G79" s="15"/>
    </row>
    <row r="80" spans="1:7" ht="12.75">
      <c r="A80" s="112"/>
      <c r="B80" s="112"/>
      <c r="C80" s="113"/>
      <c r="D80" s="113"/>
      <c r="E80" s="15"/>
      <c r="F80" s="15"/>
      <c r="G80" s="15"/>
    </row>
    <row r="81" spans="1:7" ht="12.75">
      <c r="A81" s="109" t="s">
        <v>69</v>
      </c>
      <c r="B81" s="109"/>
      <c r="C81" s="110"/>
      <c r="D81" s="114">
        <v>9.09</v>
      </c>
      <c r="E81" s="15"/>
      <c r="F81" s="15"/>
      <c r="G81" s="15"/>
    </row>
    <row r="82" spans="3:7" ht="12.75">
      <c r="C82" s="15"/>
      <c r="D82" s="15"/>
      <c r="E82" s="15"/>
      <c r="F82" s="15"/>
      <c r="G82" s="15"/>
    </row>
    <row r="83" spans="3:7" ht="12.75">
      <c r="C83" s="15"/>
      <c r="D83" s="15"/>
      <c r="E83" s="15"/>
      <c r="F83" s="15"/>
      <c r="G83" s="15"/>
    </row>
    <row r="84" spans="1:7" ht="18">
      <c r="A84" s="55" t="s">
        <v>2</v>
      </c>
      <c r="C84" s="53"/>
      <c r="D84" s="52"/>
      <c r="E84" s="15"/>
      <c r="F84" s="15"/>
      <c r="G84" s="15"/>
    </row>
    <row r="85" spans="3:7" ht="12.75">
      <c r="C85" s="15"/>
      <c r="D85" s="15"/>
      <c r="E85" s="15"/>
      <c r="F85" s="15"/>
      <c r="G85" s="15"/>
    </row>
    <row r="86" spans="1:7" ht="12.75">
      <c r="A86" s="109" t="s">
        <v>68</v>
      </c>
      <c r="B86" s="109"/>
      <c r="C86" s="110"/>
      <c r="D86" s="111"/>
      <c r="E86" s="15"/>
      <c r="F86" s="15"/>
      <c r="G86" s="15"/>
    </row>
    <row r="87" spans="1:7" ht="12.75">
      <c r="A87" s="112"/>
      <c r="B87" s="112"/>
      <c r="C87" s="113"/>
      <c r="D87" s="113"/>
      <c r="E87" s="15"/>
      <c r="F87" s="15"/>
      <c r="G87" s="15"/>
    </row>
    <row r="88" spans="1:7" ht="12.75">
      <c r="A88" s="109" t="s">
        <v>69</v>
      </c>
      <c r="B88" s="109"/>
      <c r="C88" s="110"/>
      <c r="D88" s="114"/>
      <c r="E88" s="15"/>
      <c r="F88" s="15"/>
      <c r="G88" s="15"/>
    </row>
    <row r="89" spans="3:7" ht="12.75">
      <c r="C89" s="15"/>
      <c r="D89" s="49"/>
      <c r="E89" s="15"/>
      <c r="F89" s="15"/>
      <c r="G89" s="15"/>
    </row>
    <row r="90" spans="3:7" ht="12.75">
      <c r="C90" s="15"/>
      <c r="D90" s="15"/>
      <c r="E90" s="15"/>
      <c r="F90" s="15"/>
      <c r="G90" s="15"/>
    </row>
    <row r="91" spans="1:7" ht="18">
      <c r="A91" s="55" t="s">
        <v>3</v>
      </c>
      <c r="C91" s="53"/>
      <c r="D91" s="52"/>
      <c r="E91" s="15"/>
      <c r="F91" s="15"/>
      <c r="G91" s="15"/>
    </row>
    <row r="92" spans="3:7" ht="12.75">
      <c r="C92" s="15"/>
      <c r="D92" s="15"/>
      <c r="E92" s="15"/>
      <c r="F92" s="15"/>
      <c r="G92" s="15"/>
    </row>
    <row r="93" spans="1:7" ht="12.75">
      <c r="A93" s="109" t="s">
        <v>68</v>
      </c>
      <c r="B93" s="34"/>
      <c r="C93" s="23"/>
      <c r="D93" s="107">
        <v>0.0056</v>
      </c>
      <c r="E93" s="15"/>
      <c r="F93" s="15"/>
      <c r="G93" s="15"/>
    </row>
    <row r="94" spans="1:7" ht="12.75">
      <c r="A94" s="112"/>
      <c r="C94" s="15"/>
      <c r="D94" s="15"/>
      <c r="E94" s="15"/>
      <c r="F94" s="15"/>
      <c r="G94" s="15"/>
    </row>
    <row r="95" spans="1:7" ht="12.75">
      <c r="A95" s="109" t="s">
        <v>69</v>
      </c>
      <c r="B95" s="34"/>
      <c r="C95" s="23"/>
      <c r="D95" s="108">
        <v>28.68</v>
      </c>
      <c r="E95" s="15"/>
      <c r="F95" s="15"/>
      <c r="G95" s="15"/>
    </row>
    <row r="96" spans="3:7" ht="12.75">
      <c r="C96" s="15"/>
      <c r="D96" s="15"/>
      <c r="E96" s="15"/>
      <c r="F96" s="15"/>
      <c r="G96" s="15"/>
    </row>
    <row r="97" spans="2:7" ht="12.75">
      <c r="B97" s="15"/>
      <c r="C97" s="15"/>
      <c r="D97" s="49"/>
      <c r="E97" s="15"/>
      <c r="F97" s="15"/>
      <c r="G97" s="15"/>
    </row>
    <row r="98" spans="1:7" ht="18">
      <c r="A98" s="55" t="s">
        <v>4</v>
      </c>
      <c r="B98" s="52"/>
      <c r="C98" s="53"/>
      <c r="D98" s="49"/>
      <c r="E98" s="15"/>
      <c r="F98" s="15"/>
      <c r="G98" s="15"/>
    </row>
    <row r="99" spans="2:7" ht="12.75">
      <c r="B99" s="15"/>
      <c r="C99" s="15"/>
      <c r="D99" s="49"/>
      <c r="E99" s="15"/>
      <c r="F99" s="15"/>
      <c r="G99" s="15"/>
    </row>
    <row r="100" spans="1:7" ht="12.75">
      <c r="A100" s="109" t="s">
        <v>70</v>
      </c>
      <c r="B100" s="34"/>
      <c r="C100" s="23"/>
      <c r="D100" s="107">
        <v>0.86</v>
      </c>
      <c r="E100" s="15"/>
      <c r="F100" s="15"/>
      <c r="G100" s="15"/>
    </row>
    <row r="101" spans="1:7" ht="12.75">
      <c r="A101" s="112"/>
      <c r="C101" s="15"/>
      <c r="D101" s="15"/>
      <c r="E101" s="15"/>
      <c r="F101" s="15"/>
      <c r="G101" s="15"/>
    </row>
    <row r="102" spans="1:7" ht="12.75">
      <c r="A102" s="109" t="s">
        <v>69</v>
      </c>
      <c r="B102" s="34"/>
      <c r="C102" s="23"/>
      <c r="D102" s="108">
        <v>119.47</v>
      </c>
      <c r="E102" s="15"/>
      <c r="F102" s="15"/>
      <c r="G102" s="15"/>
    </row>
    <row r="103" spans="2:7" ht="12.75">
      <c r="B103" s="15"/>
      <c r="C103" s="15"/>
      <c r="D103" s="49"/>
      <c r="E103" s="15"/>
      <c r="F103" s="15"/>
      <c r="G103" s="15"/>
    </row>
    <row r="104" spans="2:7" ht="12.75">
      <c r="B104" s="15"/>
      <c r="C104" s="15"/>
      <c r="D104" s="49"/>
      <c r="E104" s="15"/>
      <c r="F104" s="15"/>
      <c r="G104" s="15"/>
    </row>
    <row r="105" spans="1:7" ht="18">
      <c r="A105" s="55" t="s">
        <v>5</v>
      </c>
      <c r="B105" s="52"/>
      <c r="C105" s="53"/>
      <c r="D105" s="49"/>
      <c r="E105" s="15"/>
      <c r="F105" s="15"/>
      <c r="G105" s="15"/>
    </row>
    <row r="106" spans="1:7" ht="12.75">
      <c r="A106" s="484" t="s">
        <v>211</v>
      </c>
      <c r="B106" s="15"/>
      <c r="C106" s="15"/>
      <c r="D106" s="49"/>
      <c r="E106" s="15"/>
      <c r="F106" s="15"/>
      <c r="G106" s="15"/>
    </row>
    <row r="107" spans="1:7" ht="12.75">
      <c r="A107" s="109" t="s">
        <v>70</v>
      </c>
      <c r="B107" s="23"/>
      <c r="C107" s="23"/>
      <c r="D107" s="107">
        <v>0.9</v>
      </c>
      <c r="E107" s="15"/>
      <c r="F107" s="15"/>
      <c r="G107" s="15"/>
    </row>
    <row r="108" spans="1:7" ht="12.75">
      <c r="A108" s="112"/>
      <c r="B108" s="15"/>
      <c r="C108" s="15"/>
      <c r="D108" s="49"/>
      <c r="E108" s="15"/>
      <c r="F108" s="15"/>
      <c r="G108" s="15"/>
    </row>
    <row r="109" spans="1:7" ht="12.75">
      <c r="A109" s="109" t="s">
        <v>69</v>
      </c>
      <c r="B109" s="51"/>
      <c r="C109" s="23"/>
      <c r="D109" s="108">
        <v>1802.28</v>
      </c>
      <c r="E109" s="15"/>
      <c r="F109" s="15"/>
      <c r="G109" s="15"/>
    </row>
    <row r="110" spans="2:7" ht="12.75">
      <c r="B110" s="15"/>
      <c r="C110" s="15"/>
      <c r="D110" s="49"/>
      <c r="E110" s="15"/>
      <c r="F110" s="15"/>
      <c r="G110" s="15"/>
    </row>
    <row r="111" spans="1:7" ht="11.25" customHeight="1">
      <c r="A111" s="8"/>
      <c r="B111" s="15"/>
      <c r="C111" s="15"/>
      <c r="D111" s="49"/>
      <c r="E111" s="15"/>
      <c r="F111" s="15"/>
      <c r="G111" s="15"/>
    </row>
    <row r="112" spans="1:7" ht="12.75">
      <c r="A112" s="484" t="s">
        <v>213</v>
      </c>
      <c r="B112" s="15"/>
      <c r="C112" s="15"/>
      <c r="D112" s="49"/>
      <c r="E112" s="15"/>
      <c r="F112" s="15"/>
      <c r="G112" s="15"/>
    </row>
    <row r="113" spans="1:7" ht="12.75">
      <c r="A113" s="109" t="s">
        <v>70</v>
      </c>
      <c r="B113" s="23"/>
      <c r="C113" s="23"/>
      <c r="D113" s="107">
        <v>1.22</v>
      </c>
      <c r="E113" s="15"/>
      <c r="F113" s="15"/>
      <c r="G113" s="15"/>
    </row>
    <row r="114" spans="1:7" ht="12.75">
      <c r="A114" s="112"/>
      <c r="B114" s="15"/>
      <c r="C114" s="15"/>
      <c r="D114" s="49"/>
      <c r="E114" s="15"/>
      <c r="F114" s="15"/>
      <c r="G114" s="15"/>
    </row>
    <row r="115" spans="1:7" ht="12.75">
      <c r="A115" s="109" t="s">
        <v>69</v>
      </c>
      <c r="B115" s="51"/>
      <c r="C115" s="23"/>
      <c r="D115" s="108">
        <v>3591.91</v>
      </c>
      <c r="E115" s="15"/>
      <c r="F115" s="15"/>
      <c r="G115" s="15"/>
    </row>
    <row r="116" spans="1:7" ht="12.75">
      <c r="A116" s="296"/>
      <c r="B116" s="50"/>
      <c r="C116" s="20"/>
      <c r="D116" s="15"/>
      <c r="E116" s="15"/>
      <c r="F116" s="15"/>
      <c r="G116" s="15"/>
    </row>
    <row r="117" spans="1:7" ht="12.75">
      <c r="A117" s="296"/>
      <c r="B117" s="50"/>
      <c r="C117" s="20"/>
      <c r="D117" s="15"/>
      <c r="E117" s="15"/>
      <c r="F117" s="15"/>
      <c r="G117" s="15"/>
    </row>
    <row r="118" spans="1:7" ht="18">
      <c r="A118" s="55" t="s">
        <v>199</v>
      </c>
      <c r="B118" s="15"/>
      <c r="C118" s="15"/>
      <c r="D118" s="49"/>
      <c r="E118" s="15"/>
      <c r="F118" s="15"/>
      <c r="G118" s="15"/>
    </row>
    <row r="119" spans="1:7" ht="12.75">
      <c r="A119" s="296"/>
      <c r="B119" s="15"/>
      <c r="C119" s="15"/>
      <c r="D119" s="49"/>
      <c r="E119" s="15"/>
      <c r="F119" s="15"/>
      <c r="G119" s="15"/>
    </row>
    <row r="120" spans="1:7" ht="12.75">
      <c r="A120" s="109" t="s">
        <v>70</v>
      </c>
      <c r="B120" s="34"/>
      <c r="C120" s="23"/>
      <c r="D120" s="107"/>
      <c r="E120" s="15"/>
      <c r="F120" s="15"/>
      <c r="G120" s="15"/>
    </row>
    <row r="121" spans="1:7" ht="12.75">
      <c r="A121" s="112"/>
      <c r="C121" s="15"/>
      <c r="D121" s="15"/>
      <c r="E121" s="15"/>
      <c r="F121" s="15"/>
      <c r="G121" s="15"/>
    </row>
    <row r="122" spans="1:7" ht="12.75">
      <c r="A122" s="109" t="s">
        <v>69</v>
      </c>
      <c r="B122" s="34"/>
      <c r="C122" s="23"/>
      <c r="D122" s="108"/>
      <c r="E122" s="15"/>
      <c r="F122" s="15"/>
      <c r="G122" s="15"/>
    </row>
    <row r="123" spans="2:7" ht="12.75">
      <c r="B123" s="15"/>
      <c r="C123" s="15"/>
      <c r="D123" s="49"/>
      <c r="E123" s="15"/>
      <c r="F123" s="15"/>
      <c r="G123" s="15"/>
    </row>
    <row r="124" spans="2:7" ht="12.75">
      <c r="B124" s="15"/>
      <c r="C124" s="15"/>
      <c r="D124" s="49"/>
      <c r="E124" s="15"/>
      <c r="F124" s="15"/>
      <c r="G124" s="15"/>
    </row>
    <row r="125" spans="1:7" ht="18">
      <c r="A125" s="55" t="s">
        <v>1</v>
      </c>
      <c r="B125" s="15"/>
      <c r="C125" s="15"/>
      <c r="D125" s="49"/>
      <c r="E125" s="15"/>
      <c r="F125" s="15"/>
      <c r="G125" s="15"/>
    </row>
    <row r="126" spans="1:7" ht="12.75">
      <c r="A126" s="484" t="s">
        <v>213</v>
      </c>
      <c r="B126" s="15"/>
      <c r="C126" s="15"/>
      <c r="D126" s="49"/>
      <c r="E126" s="15"/>
      <c r="F126" s="15"/>
      <c r="G126" s="15"/>
    </row>
    <row r="127" spans="1:7" ht="12.75">
      <c r="A127" s="109" t="s">
        <v>70</v>
      </c>
      <c r="B127" s="23"/>
      <c r="C127" s="23"/>
      <c r="D127" s="107">
        <v>1.65</v>
      </c>
      <c r="E127" s="15"/>
      <c r="F127" s="15"/>
      <c r="G127" s="15"/>
    </row>
    <row r="128" spans="1:7" ht="12.75">
      <c r="A128" s="112"/>
      <c r="B128" s="15"/>
      <c r="C128" s="15"/>
      <c r="D128" s="49"/>
      <c r="E128" s="15"/>
      <c r="F128" s="15"/>
      <c r="G128" s="15"/>
    </row>
    <row r="129" spans="1:7" ht="12.75">
      <c r="A129" s="109" t="s">
        <v>69</v>
      </c>
      <c r="B129" s="51"/>
      <c r="C129" s="23"/>
      <c r="D129" s="108">
        <v>9164.35</v>
      </c>
      <c r="E129" s="15"/>
      <c r="F129" s="15"/>
      <c r="G129" s="15"/>
    </row>
    <row r="130" spans="2:7" ht="12.75">
      <c r="B130" s="15"/>
      <c r="C130" s="15"/>
      <c r="D130" s="49"/>
      <c r="E130" s="15"/>
      <c r="F130" s="15"/>
      <c r="G130" s="15"/>
    </row>
    <row r="131" spans="3:7" ht="12.75">
      <c r="C131" s="15"/>
      <c r="E131" s="15"/>
      <c r="F131" s="15"/>
      <c r="G131" s="15"/>
    </row>
    <row r="132" spans="1:7" ht="12.75">
      <c r="A132" s="485" t="s">
        <v>220</v>
      </c>
      <c r="B132" s="23"/>
      <c r="C132" s="23"/>
      <c r="D132" s="107">
        <v>1.8</v>
      </c>
      <c r="E132" s="15"/>
      <c r="F132" s="15"/>
      <c r="G132" s="15"/>
    </row>
    <row r="133" spans="1:7" ht="12.75">
      <c r="A133" s="112"/>
      <c r="B133" s="15"/>
      <c r="C133" s="15"/>
      <c r="D133" s="49"/>
      <c r="E133" s="15"/>
      <c r="F133" s="15"/>
      <c r="G133" s="15"/>
    </row>
    <row r="134" spans="1:7" ht="12.75">
      <c r="A134" s="109" t="s">
        <v>69</v>
      </c>
      <c r="B134" s="51"/>
      <c r="C134" s="23"/>
      <c r="D134" s="108">
        <v>11442.82</v>
      </c>
      <c r="E134" s="15"/>
      <c r="F134" s="15"/>
      <c r="G134" s="15"/>
    </row>
    <row r="135" spans="1:7" ht="12.75">
      <c r="A135" s="296"/>
      <c r="B135" s="50"/>
      <c r="C135" s="20"/>
      <c r="D135" s="15"/>
      <c r="E135" s="15"/>
      <c r="F135" s="15"/>
      <c r="G135" s="15"/>
    </row>
    <row r="136" spans="1:7" ht="12.75">
      <c r="A136" s="296"/>
      <c r="B136" s="50"/>
      <c r="C136" s="20"/>
      <c r="D136" s="15"/>
      <c r="E136" s="15"/>
      <c r="F136" s="15"/>
      <c r="G136" s="15"/>
    </row>
    <row r="137" spans="1:7" ht="18">
      <c r="A137" s="55" t="s">
        <v>6</v>
      </c>
      <c r="B137" s="15"/>
      <c r="C137" s="15"/>
      <c r="D137" s="49"/>
      <c r="E137" s="15"/>
      <c r="F137" s="15"/>
      <c r="G137" s="15"/>
    </row>
    <row r="138" spans="1:7" ht="12.75">
      <c r="A138" s="484" t="s">
        <v>211</v>
      </c>
      <c r="B138" s="15"/>
      <c r="C138" s="15"/>
      <c r="D138" s="49"/>
      <c r="E138" s="15"/>
      <c r="F138" s="15"/>
      <c r="G138" s="15"/>
    </row>
    <row r="139" spans="1:7" ht="12.75">
      <c r="A139" s="109" t="s">
        <v>70</v>
      </c>
      <c r="B139" s="34"/>
      <c r="C139" s="23"/>
      <c r="D139" s="107">
        <v>0.48</v>
      </c>
      <c r="E139" s="15"/>
      <c r="F139" s="15"/>
      <c r="G139" s="15"/>
    </row>
    <row r="140" spans="1:7" ht="12.75">
      <c r="A140" s="112"/>
      <c r="C140" s="15"/>
      <c r="D140" s="15"/>
      <c r="E140" s="15"/>
      <c r="F140" s="15"/>
      <c r="G140" s="15"/>
    </row>
    <row r="141" spans="1:7" ht="12.75">
      <c r="A141" s="109" t="s">
        <v>195</v>
      </c>
      <c r="B141" s="34"/>
      <c r="C141" s="23"/>
      <c r="D141" s="108">
        <v>1.58</v>
      </c>
      <c r="E141" s="15"/>
      <c r="F141" s="15"/>
      <c r="G141" s="15"/>
    </row>
    <row r="142" spans="2:7" ht="12.75">
      <c r="B142" s="15"/>
      <c r="C142" s="15"/>
      <c r="D142" s="49"/>
      <c r="E142" s="15"/>
      <c r="F142" s="15"/>
      <c r="G142" s="15"/>
    </row>
    <row r="143" spans="2:7" ht="12.75">
      <c r="B143" s="15"/>
      <c r="C143" s="15"/>
      <c r="D143" s="49"/>
      <c r="E143" s="15"/>
      <c r="F143" s="15"/>
      <c r="G143" s="15"/>
    </row>
    <row r="144" spans="1:7" ht="12.75">
      <c r="A144" s="484" t="s">
        <v>212</v>
      </c>
      <c r="B144" s="15"/>
      <c r="C144" s="15"/>
      <c r="D144" s="49"/>
      <c r="E144" s="15"/>
      <c r="F144" s="15"/>
      <c r="G144" s="15"/>
    </row>
    <row r="145" spans="1:7" ht="12.75">
      <c r="A145" s="109" t="s">
        <v>70</v>
      </c>
      <c r="B145" s="34"/>
      <c r="C145" s="23"/>
      <c r="D145" s="107">
        <v>0.46</v>
      </c>
      <c r="E145" s="15"/>
      <c r="F145" s="15"/>
      <c r="G145" s="15"/>
    </row>
    <row r="146" spans="1:7" ht="12.75">
      <c r="A146" s="112"/>
      <c r="C146" s="15"/>
      <c r="D146" s="15"/>
      <c r="E146" s="15"/>
      <c r="F146" s="15"/>
      <c r="G146" s="15"/>
    </row>
    <row r="147" spans="1:7" ht="12.75">
      <c r="A147" s="109" t="s">
        <v>195</v>
      </c>
      <c r="B147" s="34"/>
      <c r="C147" s="23"/>
      <c r="D147" s="108">
        <v>2.86</v>
      </c>
      <c r="E147" s="15"/>
      <c r="F147" s="15"/>
      <c r="G147" s="15"/>
    </row>
    <row r="148" spans="2:7" ht="12.75">
      <c r="B148" s="15"/>
      <c r="C148" s="15"/>
      <c r="D148" s="49"/>
      <c r="E148" s="15"/>
      <c r="F148" s="15"/>
      <c r="G148" s="15"/>
    </row>
    <row r="149" spans="2:7" ht="12.75">
      <c r="B149" s="15"/>
      <c r="C149" s="15"/>
      <c r="D149" s="49"/>
      <c r="E149" s="15"/>
      <c r="F149" s="15"/>
      <c r="G149" s="15"/>
    </row>
    <row r="150" spans="1:7" ht="12.75">
      <c r="A150" s="484" t="s">
        <v>213</v>
      </c>
      <c r="B150" s="15"/>
      <c r="C150" s="15"/>
      <c r="D150" s="49"/>
      <c r="E150" s="15"/>
      <c r="F150" s="15"/>
      <c r="G150" s="15"/>
    </row>
    <row r="151" spans="1:7" ht="12.75">
      <c r="A151" s="109" t="s">
        <v>70</v>
      </c>
      <c r="B151" s="34"/>
      <c r="C151" s="23"/>
      <c r="D151" s="107">
        <v>0.47</v>
      </c>
      <c r="E151" s="15"/>
      <c r="F151" s="15"/>
      <c r="G151" s="15"/>
    </row>
    <row r="152" spans="1:7" ht="12.75">
      <c r="A152" s="112"/>
      <c r="C152" s="15"/>
      <c r="D152" s="15"/>
      <c r="E152" s="15"/>
      <c r="F152" s="15"/>
      <c r="G152" s="15"/>
    </row>
    <row r="153" spans="1:7" ht="12.75">
      <c r="A153" s="109" t="s">
        <v>195</v>
      </c>
      <c r="B153" s="34"/>
      <c r="C153" s="23"/>
      <c r="D153" s="108">
        <v>4.34</v>
      </c>
      <c r="E153" s="15"/>
      <c r="F153" s="15"/>
      <c r="G153" s="15"/>
    </row>
    <row r="154" spans="2:7" ht="12.75">
      <c r="B154" s="15"/>
      <c r="C154" s="15"/>
      <c r="D154" s="49"/>
      <c r="E154" s="15"/>
      <c r="F154" s="15"/>
      <c r="G154" s="15"/>
    </row>
    <row r="155" spans="2:7" ht="12.75">
      <c r="B155" s="15"/>
      <c r="C155" s="15"/>
      <c r="D155" s="49"/>
      <c r="E155" s="15"/>
      <c r="F155" s="15"/>
      <c r="G155" s="15"/>
    </row>
    <row r="156" spans="1:7" ht="12.75">
      <c r="A156" s="484" t="s">
        <v>214</v>
      </c>
      <c r="B156" s="15"/>
      <c r="C156" s="15"/>
      <c r="D156" s="49"/>
      <c r="E156" s="15"/>
      <c r="F156" s="15"/>
      <c r="G156" s="15"/>
    </row>
    <row r="157" spans="1:7" ht="12.75">
      <c r="A157" s="109" t="s">
        <v>70</v>
      </c>
      <c r="B157" s="34"/>
      <c r="C157" s="23"/>
      <c r="D157" s="107">
        <v>0.49</v>
      </c>
      <c r="E157" s="15"/>
      <c r="F157" s="15"/>
      <c r="G157" s="15"/>
    </row>
    <row r="158" spans="1:7" ht="12.75">
      <c r="A158" s="112"/>
      <c r="C158" s="15"/>
      <c r="D158" s="15"/>
      <c r="E158" s="15"/>
      <c r="F158" s="15"/>
      <c r="G158" s="15"/>
    </row>
    <row r="159" spans="1:7" ht="12.75">
      <c r="A159" s="109" t="s">
        <v>195</v>
      </c>
      <c r="B159" s="34"/>
      <c r="C159" s="23"/>
      <c r="D159" s="108">
        <v>4.06</v>
      </c>
      <c r="E159" s="15"/>
      <c r="F159" s="15"/>
      <c r="G159" s="15"/>
    </row>
    <row r="160" spans="2:7" ht="12.75">
      <c r="B160" s="15"/>
      <c r="C160" s="15"/>
      <c r="D160" s="49"/>
      <c r="E160" s="15"/>
      <c r="F160" s="15"/>
      <c r="G160" s="15"/>
    </row>
    <row r="161" spans="2:7" ht="12.75">
      <c r="B161" s="15"/>
      <c r="C161" s="15"/>
      <c r="D161" s="49"/>
      <c r="E161" s="15"/>
      <c r="F161" s="15"/>
      <c r="G161" s="15"/>
    </row>
    <row r="162" spans="1:7" ht="12.75">
      <c r="A162" s="484" t="s">
        <v>215</v>
      </c>
      <c r="B162" s="15"/>
      <c r="C162" s="15"/>
      <c r="D162" s="49"/>
      <c r="E162" s="15"/>
      <c r="F162" s="15"/>
      <c r="G162" s="15"/>
    </row>
    <row r="163" spans="1:7" ht="12.75">
      <c r="A163" s="109" t="s">
        <v>70</v>
      </c>
      <c r="B163" s="34"/>
      <c r="C163" s="23"/>
      <c r="D163" s="107">
        <v>0.17</v>
      </c>
      <c r="E163" s="15"/>
      <c r="F163" s="15"/>
      <c r="G163" s="15"/>
    </row>
    <row r="164" spans="1:7" ht="12.75">
      <c r="A164" s="112"/>
      <c r="C164" s="15"/>
      <c r="D164" s="15"/>
      <c r="E164" s="15"/>
      <c r="F164" s="15"/>
      <c r="G164" s="15"/>
    </row>
    <row r="165" spans="1:7" ht="12.75">
      <c r="A165" s="109" t="s">
        <v>195</v>
      </c>
      <c r="B165" s="34"/>
      <c r="C165" s="23"/>
      <c r="D165" s="108">
        <v>2.87</v>
      </c>
      <c r="E165" s="15"/>
      <c r="F165" s="15"/>
      <c r="G165" s="15"/>
    </row>
    <row r="166" spans="2:7" ht="12.75">
      <c r="B166" s="15"/>
      <c r="C166" s="15"/>
      <c r="D166" s="49"/>
      <c r="E166" s="15"/>
      <c r="F166" s="15"/>
      <c r="G166" s="15"/>
    </row>
    <row r="167" spans="2:7" ht="12.75">
      <c r="B167" s="15"/>
      <c r="C167" s="15"/>
      <c r="D167" s="49"/>
      <c r="E167" s="15"/>
      <c r="F167" s="15"/>
      <c r="G167" s="15"/>
    </row>
    <row r="168" spans="1:7" ht="12.75">
      <c r="A168" s="484" t="s">
        <v>216</v>
      </c>
      <c r="B168" s="15"/>
      <c r="C168" s="15"/>
      <c r="D168" s="49"/>
      <c r="E168" s="15"/>
      <c r="F168" s="15"/>
      <c r="G168" s="15"/>
    </row>
    <row r="169" spans="1:7" ht="12.75">
      <c r="A169" s="109" t="s">
        <v>70</v>
      </c>
      <c r="B169" s="34"/>
      <c r="C169" s="23"/>
      <c r="D169" s="107">
        <v>0.03</v>
      </c>
      <c r="E169" s="15"/>
      <c r="F169" s="15"/>
      <c r="G169" s="15"/>
    </row>
    <row r="170" spans="1:7" ht="12.75">
      <c r="A170" s="112"/>
      <c r="C170" s="15"/>
      <c r="D170" s="15"/>
      <c r="E170" s="15"/>
      <c r="F170" s="15"/>
      <c r="G170" s="15"/>
    </row>
    <row r="171" spans="1:7" ht="12.75">
      <c r="A171" s="109" t="s">
        <v>195</v>
      </c>
      <c r="B171" s="34"/>
      <c r="C171" s="23"/>
      <c r="D171" s="108">
        <v>0.38</v>
      </c>
      <c r="E171" s="15"/>
      <c r="F171" s="15"/>
      <c r="G171" s="15"/>
    </row>
    <row r="172" spans="2:7" ht="12.75">
      <c r="B172" s="15"/>
      <c r="C172" s="15"/>
      <c r="D172" s="49"/>
      <c r="E172" s="15"/>
      <c r="F172" s="15"/>
      <c r="G172" s="15"/>
    </row>
    <row r="173" spans="2:7" ht="12.75">
      <c r="B173" s="15"/>
      <c r="C173" s="15"/>
      <c r="D173" s="49"/>
      <c r="E173" s="15"/>
      <c r="F173" s="15"/>
      <c r="G173" s="15"/>
    </row>
    <row r="174" spans="1:7" ht="12.75">
      <c r="A174" s="484" t="s">
        <v>217</v>
      </c>
      <c r="B174" s="15"/>
      <c r="C174" s="15"/>
      <c r="D174" s="49"/>
      <c r="E174" s="15"/>
      <c r="F174" s="15"/>
      <c r="G174" s="15"/>
    </row>
    <row r="175" spans="1:7" ht="12.75">
      <c r="A175" s="109" t="s">
        <v>70</v>
      </c>
      <c r="B175" s="34"/>
      <c r="C175" s="23"/>
      <c r="D175" s="107">
        <v>0.41</v>
      </c>
      <c r="E175" s="15"/>
      <c r="F175" s="15"/>
      <c r="G175" s="15"/>
    </row>
    <row r="176" spans="1:7" ht="12.75">
      <c r="A176" s="112"/>
      <c r="C176" s="15"/>
      <c r="D176" s="15"/>
      <c r="E176" s="15"/>
      <c r="F176" s="15"/>
      <c r="G176" s="15"/>
    </row>
    <row r="177" spans="1:7" ht="12.75">
      <c r="A177" s="109" t="s">
        <v>195</v>
      </c>
      <c r="B177" s="34"/>
      <c r="C177" s="23"/>
      <c r="D177" s="108">
        <v>2.37</v>
      </c>
      <c r="E177" s="15"/>
      <c r="F177" s="15"/>
      <c r="G177" s="15"/>
    </row>
    <row r="178" spans="2:7" ht="12.75">
      <c r="B178" s="15"/>
      <c r="C178" s="15"/>
      <c r="D178" s="49"/>
      <c r="E178" s="15"/>
      <c r="F178" s="15"/>
      <c r="G178" s="15"/>
    </row>
    <row r="179" spans="2:7" ht="12.75">
      <c r="B179" s="15"/>
      <c r="C179" s="15"/>
      <c r="D179" s="49"/>
      <c r="E179" s="15"/>
      <c r="F179" s="15"/>
      <c r="G179" s="15"/>
    </row>
    <row r="180" spans="1:7" ht="12.75">
      <c r="A180" s="484" t="s">
        <v>218</v>
      </c>
      <c r="B180" s="15"/>
      <c r="C180" s="15"/>
      <c r="D180" s="49"/>
      <c r="E180" s="15"/>
      <c r="F180" s="15"/>
      <c r="G180" s="15"/>
    </row>
    <row r="181" spans="1:7" ht="12.75">
      <c r="A181" s="109" t="s">
        <v>70</v>
      </c>
      <c r="B181" s="34"/>
      <c r="C181" s="23"/>
      <c r="D181" s="107">
        <v>0.5</v>
      </c>
      <c r="E181" s="15"/>
      <c r="F181" s="15"/>
      <c r="G181" s="15"/>
    </row>
    <row r="182" spans="1:7" ht="12.75">
      <c r="A182" s="112"/>
      <c r="C182" s="15"/>
      <c r="D182" s="15"/>
      <c r="E182" s="15"/>
      <c r="F182" s="15"/>
      <c r="G182" s="15"/>
    </row>
    <row r="183" spans="1:7" ht="12.75">
      <c r="A183" s="109" t="s">
        <v>195</v>
      </c>
      <c r="B183" s="34"/>
      <c r="C183" s="23"/>
      <c r="D183" s="108">
        <v>2.51</v>
      </c>
      <c r="E183" s="15"/>
      <c r="F183" s="15"/>
      <c r="G183" s="15"/>
    </row>
    <row r="184" spans="2:7" ht="12.75">
      <c r="B184" s="15"/>
      <c r="C184" s="15"/>
      <c r="D184" s="49"/>
      <c r="E184" s="15"/>
      <c r="F184" s="15"/>
      <c r="G184" s="15"/>
    </row>
    <row r="185" spans="2:7" ht="12.75">
      <c r="B185" s="15"/>
      <c r="C185" s="15"/>
      <c r="D185" s="49"/>
      <c r="E185" s="15"/>
      <c r="F185" s="15"/>
      <c r="G185" s="15"/>
    </row>
    <row r="186" spans="1:7" ht="12.75">
      <c r="A186" s="484" t="s">
        <v>219</v>
      </c>
      <c r="B186" s="15"/>
      <c r="C186" s="15"/>
      <c r="D186" s="49"/>
      <c r="E186" s="15"/>
      <c r="F186" s="15"/>
      <c r="G186" s="15"/>
    </row>
    <row r="187" spans="1:7" ht="12.75">
      <c r="A187" s="109" t="s">
        <v>70</v>
      </c>
      <c r="B187" s="34"/>
      <c r="C187" s="23"/>
      <c r="D187" s="107">
        <v>0.48</v>
      </c>
      <c r="E187" s="15"/>
      <c r="F187" s="15"/>
      <c r="G187" s="15"/>
    </row>
    <row r="188" spans="1:7" ht="12.75">
      <c r="A188" s="112"/>
      <c r="C188" s="15"/>
      <c r="D188" s="15"/>
      <c r="E188" s="15"/>
      <c r="F188" s="15"/>
      <c r="G188" s="15"/>
    </row>
    <row r="189" spans="1:7" ht="12.75">
      <c r="A189" s="109" t="s">
        <v>195</v>
      </c>
      <c r="B189" s="34"/>
      <c r="C189" s="23"/>
      <c r="D189" s="108">
        <v>3.51</v>
      </c>
      <c r="E189" s="15"/>
      <c r="F189" s="15"/>
      <c r="G189" s="15"/>
    </row>
    <row r="190" spans="2:7" ht="12.75">
      <c r="B190" s="15"/>
      <c r="C190" s="15"/>
      <c r="D190" s="49"/>
      <c r="E190" s="15"/>
      <c r="F190" s="15"/>
      <c r="G190" s="15"/>
    </row>
    <row r="191" spans="2:7" ht="12.75">
      <c r="B191" s="15"/>
      <c r="C191" s="15"/>
      <c r="D191" s="49"/>
      <c r="E191" s="15"/>
      <c r="F191" s="15"/>
      <c r="G191" s="15"/>
    </row>
    <row r="192" spans="1:7" ht="12.75">
      <c r="A192" s="484" t="s">
        <v>220</v>
      </c>
      <c r="B192" s="15"/>
      <c r="C192" s="15"/>
      <c r="D192" s="49"/>
      <c r="E192" s="15"/>
      <c r="F192" s="15"/>
      <c r="G192" s="15"/>
    </row>
    <row r="193" spans="1:7" ht="12.75">
      <c r="A193" s="109" t="s">
        <v>70</v>
      </c>
      <c r="B193" s="34"/>
      <c r="C193" s="23"/>
      <c r="D193" s="107">
        <v>0.27</v>
      </c>
      <c r="E193" s="15"/>
      <c r="F193" s="15"/>
      <c r="G193" s="15"/>
    </row>
    <row r="194" spans="1:7" ht="12.75">
      <c r="A194" s="112"/>
      <c r="C194" s="15"/>
      <c r="D194" s="15"/>
      <c r="E194" s="15"/>
      <c r="F194" s="15"/>
      <c r="G194" s="15"/>
    </row>
    <row r="195" spans="1:7" ht="12.75">
      <c r="A195" s="109" t="s">
        <v>195</v>
      </c>
      <c r="B195" s="34"/>
      <c r="C195" s="23"/>
      <c r="D195" s="108">
        <v>4.14</v>
      </c>
      <c r="E195" s="15"/>
      <c r="F195" s="15"/>
      <c r="G195" s="15"/>
    </row>
    <row r="196" spans="2:7" ht="12.75">
      <c r="B196" s="15"/>
      <c r="C196" s="15"/>
      <c r="D196" s="49"/>
      <c r="E196" s="15"/>
      <c r="F196" s="15"/>
      <c r="G196" s="15"/>
    </row>
    <row r="197" spans="2:7" ht="12.75">
      <c r="B197" s="15"/>
      <c r="C197" s="15"/>
      <c r="D197" s="49"/>
      <c r="E197" s="15"/>
      <c r="F197" s="15"/>
      <c r="G197" s="15"/>
    </row>
    <row r="198" spans="1:7" ht="12.75">
      <c r="A198" s="484" t="s">
        <v>221</v>
      </c>
      <c r="B198" s="15"/>
      <c r="C198" s="15"/>
      <c r="D198" s="49"/>
      <c r="E198" s="15"/>
      <c r="F198" s="15"/>
      <c r="G198" s="15"/>
    </row>
    <row r="199" spans="1:7" ht="12.75">
      <c r="A199" s="109" t="s">
        <v>70</v>
      </c>
      <c r="B199" s="34"/>
      <c r="C199" s="23"/>
      <c r="D199" s="107">
        <v>0.14</v>
      </c>
      <c r="E199" s="15"/>
      <c r="F199" s="15"/>
      <c r="G199" s="15"/>
    </row>
    <row r="200" spans="1:7" ht="12.75">
      <c r="A200" s="112"/>
      <c r="C200" s="15"/>
      <c r="D200" s="15"/>
      <c r="E200" s="15"/>
      <c r="F200" s="15"/>
      <c r="G200" s="15"/>
    </row>
    <row r="201" spans="1:7" ht="12.75">
      <c r="A201" s="109" t="s">
        <v>195</v>
      </c>
      <c r="B201" s="34"/>
      <c r="C201" s="23"/>
      <c r="D201" s="108">
        <v>1.85</v>
      </c>
      <c r="E201" s="15"/>
      <c r="F201" s="15"/>
      <c r="G201" s="15"/>
    </row>
    <row r="202" spans="2:7" ht="12.75">
      <c r="B202" s="15"/>
      <c r="C202" s="15"/>
      <c r="D202" s="49"/>
      <c r="E202" s="15"/>
      <c r="F202" s="15"/>
      <c r="G202" s="15"/>
    </row>
    <row r="203" spans="2:7" ht="12.75">
      <c r="B203" s="15"/>
      <c r="C203" s="15"/>
      <c r="D203" s="49"/>
      <c r="E203" s="15"/>
      <c r="F203" s="15"/>
      <c r="G203" s="15"/>
    </row>
    <row r="204" spans="1:7" ht="12.75">
      <c r="A204" s="12" t="s">
        <v>7</v>
      </c>
      <c r="B204" s="15"/>
      <c r="C204" s="15"/>
      <c r="D204" s="49"/>
      <c r="E204" s="15"/>
      <c r="F204" s="15"/>
      <c r="G204" s="15"/>
    </row>
    <row r="205" spans="2:7" ht="12.75">
      <c r="B205" s="15"/>
      <c r="C205" s="15"/>
      <c r="D205" s="49"/>
      <c r="E205" s="15"/>
      <c r="F205" s="15"/>
      <c r="G205" s="15"/>
    </row>
    <row r="206" spans="1:7" ht="18">
      <c r="A206" s="55" t="s">
        <v>8</v>
      </c>
      <c r="B206" s="15"/>
      <c r="C206" s="15"/>
      <c r="D206" s="49"/>
      <c r="E206" s="15"/>
      <c r="F206" s="15"/>
      <c r="G206" s="15"/>
    </row>
    <row r="207" spans="2:7" ht="12.75">
      <c r="B207" s="15"/>
      <c r="C207" s="15"/>
      <c r="D207" s="49"/>
      <c r="E207" s="15"/>
      <c r="F207" s="15"/>
      <c r="G207" s="15"/>
    </row>
    <row r="208" spans="1:7" ht="12.75">
      <c r="A208" s="109" t="s">
        <v>70</v>
      </c>
      <c r="B208" s="23"/>
      <c r="C208" s="23"/>
      <c r="D208" s="107"/>
      <c r="E208" s="15"/>
      <c r="F208" s="15"/>
      <c r="G208" s="15"/>
    </row>
    <row r="209" spans="1:7" ht="12.75">
      <c r="A209" s="112"/>
      <c r="B209" s="15"/>
      <c r="C209" s="15"/>
      <c r="D209" s="49"/>
      <c r="E209" s="15"/>
      <c r="F209" s="15"/>
      <c r="G209" s="15"/>
    </row>
    <row r="210" spans="1:7" ht="12.75">
      <c r="A210" s="109" t="s">
        <v>195</v>
      </c>
      <c r="B210" s="51"/>
      <c r="C210" s="23"/>
      <c r="D210" s="108"/>
      <c r="E210" s="15"/>
      <c r="F210" s="15"/>
      <c r="G210" s="15"/>
    </row>
    <row r="211" spans="2:7" ht="12.75">
      <c r="B211" s="15"/>
      <c r="C211" s="15"/>
      <c r="D211" s="49"/>
      <c r="E211" s="15"/>
      <c r="F211" s="15"/>
      <c r="G211" s="15"/>
    </row>
    <row r="212" spans="2:7" ht="12.75">
      <c r="B212" s="15"/>
      <c r="C212" s="15"/>
      <c r="D212" s="49"/>
      <c r="E212" s="15"/>
      <c r="F212" s="15"/>
      <c r="G212" s="15"/>
    </row>
    <row r="213" spans="1:7" ht="18">
      <c r="A213" s="55" t="s">
        <v>9</v>
      </c>
      <c r="B213" s="15"/>
      <c r="C213" s="15"/>
      <c r="D213" s="49"/>
      <c r="E213" s="15"/>
      <c r="F213" s="15"/>
      <c r="G213" s="15"/>
    </row>
    <row r="214" spans="2:7" ht="12.75">
      <c r="B214" s="15"/>
      <c r="C214" s="15"/>
      <c r="D214" s="49"/>
      <c r="E214" s="15"/>
      <c r="F214" s="15"/>
      <c r="G214" s="15"/>
    </row>
    <row r="215" spans="1:7" ht="12.75">
      <c r="A215" s="109" t="s">
        <v>70</v>
      </c>
      <c r="B215" s="34"/>
      <c r="C215" s="23"/>
      <c r="D215" s="107">
        <v>2.1</v>
      </c>
      <c r="E215" s="15"/>
      <c r="F215" s="15"/>
      <c r="G215" s="15"/>
    </row>
    <row r="216" spans="1:7" ht="12.75">
      <c r="A216" s="112"/>
      <c r="C216" s="15"/>
      <c r="D216" s="15"/>
      <c r="E216" s="15"/>
      <c r="F216" s="15"/>
      <c r="G216" s="15"/>
    </row>
    <row r="217" spans="1:7" ht="12.75">
      <c r="A217" s="109" t="s">
        <v>195</v>
      </c>
      <c r="B217" s="34"/>
      <c r="C217" s="23"/>
      <c r="D217" s="108">
        <v>4498.24</v>
      </c>
      <c r="E217" s="15"/>
      <c r="F217" s="15"/>
      <c r="G217" s="15"/>
    </row>
    <row r="218" spans="2:7" ht="12.75">
      <c r="B218" s="15"/>
      <c r="C218" s="15"/>
      <c r="D218" s="49"/>
      <c r="E218" s="15"/>
      <c r="F218" s="15"/>
      <c r="G218" s="15"/>
    </row>
    <row r="219" spans="1:7" ht="12.75">
      <c r="A219" s="12" t="s">
        <v>7</v>
      </c>
      <c r="B219" s="15"/>
      <c r="C219" s="15"/>
      <c r="D219" s="49"/>
      <c r="E219" s="15"/>
      <c r="F219" s="15"/>
      <c r="G219" s="15"/>
    </row>
    <row r="220" spans="2:7" ht="12.75">
      <c r="B220" s="15"/>
      <c r="C220" s="15"/>
      <c r="D220" s="49"/>
      <c r="E220" s="15"/>
      <c r="F220" s="15"/>
      <c r="G220" s="15"/>
    </row>
    <row r="221" spans="1:7" ht="18">
      <c r="A221" s="55" t="s">
        <v>10</v>
      </c>
      <c r="B221" s="15"/>
      <c r="C221" s="15"/>
      <c r="D221" s="49"/>
      <c r="E221" s="15"/>
      <c r="F221" s="15"/>
      <c r="G221" s="15"/>
    </row>
    <row r="222" spans="2:7" ht="12.75">
      <c r="B222" s="15"/>
      <c r="C222" s="15"/>
      <c r="D222" s="6"/>
      <c r="E222" s="15"/>
      <c r="F222" s="15"/>
      <c r="G222" s="15"/>
    </row>
    <row r="223" spans="1:4" ht="12.75">
      <c r="A223" s="109" t="s">
        <v>70</v>
      </c>
      <c r="B223" s="23"/>
      <c r="C223" s="23"/>
      <c r="D223" s="107"/>
    </row>
    <row r="224" spans="1:4" ht="12.75">
      <c r="A224" s="112"/>
      <c r="B224" s="15"/>
      <c r="C224" s="15"/>
      <c r="D224" s="49"/>
    </row>
    <row r="225" spans="1:4" ht="12.75">
      <c r="A225" s="109" t="s">
        <v>195</v>
      </c>
      <c r="B225" s="51"/>
      <c r="C225" s="23"/>
      <c r="D225" s="108"/>
    </row>
    <row r="226" spans="2:4" ht="12.75">
      <c r="B226" s="15"/>
      <c r="C226" s="15"/>
      <c r="D226" s="49"/>
    </row>
  </sheetData>
  <sheetProtection/>
  <mergeCells count="5">
    <mergeCell ref="A11:E12"/>
    <mergeCell ref="A5:C5"/>
    <mergeCell ref="B7:C7"/>
    <mergeCell ref="A3:C3"/>
    <mergeCell ref="A6:C6"/>
  </mergeCells>
  <printOptions/>
  <pageMargins left="0.44" right="0.17" top="0.78" bottom="0.9" header="0.32" footer="0.33"/>
  <pageSetup horizontalDpi="600" verticalDpi="600" orientation="portrait" scale="85" r:id="rId1"/>
  <headerFooter alignWithMargins="0">
    <oddHeader>&amp;R&amp;Pof &amp;N</oddHeader>
  </headerFooter>
  <rowBreaks count="5" manualBreakCount="5">
    <brk id="51" max="4" man="1"/>
    <brk id="89" max="4" man="1"/>
    <brk id="135" max="4" man="1"/>
    <brk id="172" max="4" man="1"/>
    <brk id="202" max="4" man="1"/>
  </rowBreaks>
</worksheet>
</file>

<file path=xl/worksheets/sheet3.xml><?xml version="1.0" encoding="utf-8"?>
<worksheet xmlns="http://schemas.openxmlformats.org/spreadsheetml/2006/main" xmlns:r="http://schemas.openxmlformats.org/officeDocument/2006/relationships">
  <dimension ref="A1:J620"/>
  <sheetViews>
    <sheetView zoomScalePageLayoutView="0" workbookViewId="0" topLeftCell="A463">
      <selection activeCell="E70" sqref="E70"/>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109</v>
      </c>
    </row>
    <row r="2" ht="18.75" thickBot="1">
      <c r="A2" s="116"/>
    </row>
    <row r="3" spans="1:7" ht="18">
      <c r="A3" s="518" t="str">
        <f>"Name of Utility:      "&amp;'Info Sheet'!B4</f>
        <v>Name of Utility:      Chatham-Kent Hydro</v>
      </c>
      <c r="B3" s="519"/>
      <c r="C3" s="519"/>
      <c r="D3" s="455" t="str">
        <f>'Info Sheet'!B21</f>
        <v>2005.V1.1</v>
      </c>
      <c r="E3" s="36"/>
      <c r="F3" s="116"/>
      <c r="G3" s="117"/>
    </row>
    <row r="4" spans="1:7" ht="18">
      <c r="A4" s="301" t="str">
        <f>"License Number:   "&amp;'Info Sheet'!B6</f>
        <v>License Number:   ED-2002-0563</v>
      </c>
      <c r="B4" s="456"/>
      <c r="C4" s="391"/>
      <c r="D4" s="395" t="str">
        <f>'Info Sheet'!B8</f>
        <v>RP-2005-0013</v>
      </c>
      <c r="E4" s="36"/>
      <c r="F4" s="116"/>
      <c r="G4" s="117"/>
    </row>
    <row r="5" spans="1:4" ht="15.75">
      <c r="A5" s="515" t="str">
        <f>"Name of Contact:  "&amp;'Info Sheet'!B12</f>
        <v>Name of Contact:  Jim Hogan</v>
      </c>
      <c r="B5" s="516"/>
      <c r="C5" s="516"/>
      <c r="D5" s="395" t="str">
        <f>'Info Sheet'!B10</f>
        <v>EB-2005-0017</v>
      </c>
    </row>
    <row r="6" spans="1:4" ht="15.75">
      <c r="A6" s="520" t="str">
        <f>"E- Mail Address:    "&amp;'Info Sheet'!B14</f>
        <v>E- Mail Address:    jimhogan@ckenergy.com</v>
      </c>
      <c r="B6" s="517"/>
      <c r="C6" s="517"/>
      <c r="D6" s="460"/>
    </row>
    <row r="7" spans="1:4" ht="15.75">
      <c r="A7" s="301" t="str">
        <f>"Phone Number:     "&amp;'Info Sheet'!B16</f>
        <v>Phone Number:     </v>
      </c>
      <c r="B7" s="517" t="str">
        <f>'Info Sheet'!$C$16&amp;" "&amp;'Info Sheet'!$D$16</f>
        <v>519-352-6300 (277) </v>
      </c>
      <c r="C7" s="517"/>
      <c r="D7" s="460"/>
    </row>
    <row r="8" spans="1:10" ht="16.5" thickBot="1">
      <c r="A8" s="302" t="str">
        <f>"Date:                      "&amp;('Info Sheet'!B18)</f>
        <v>Date:                      March 10, 2005</v>
      </c>
      <c r="B8" s="458"/>
      <c r="C8" s="459"/>
      <c r="D8" s="461"/>
      <c r="J8" s="347" t="s">
        <v>131</v>
      </c>
    </row>
    <row r="9" spans="1:10" ht="15.75">
      <c r="A9" s="28"/>
      <c r="B9" s="29"/>
      <c r="C9" s="27"/>
      <c r="J9" s="347" t="s">
        <v>132</v>
      </c>
    </row>
    <row r="10" spans="1:7" ht="15">
      <c r="A10" s="524" t="s">
        <v>154</v>
      </c>
      <c r="B10" s="524"/>
      <c r="C10" s="524"/>
      <c r="D10" s="524"/>
      <c r="E10" s="524"/>
      <c r="F10" s="262"/>
      <c r="G10" s="314">
        <v>970265</v>
      </c>
    </row>
    <row r="11" spans="1:7" ht="15">
      <c r="A11" s="349"/>
      <c r="B11" s="349"/>
      <c r="C11" s="349"/>
      <c r="D11" s="349"/>
      <c r="E11" s="349"/>
      <c r="F11" s="350"/>
      <c r="G11" s="350"/>
    </row>
    <row r="12" spans="1:7" ht="15">
      <c r="A12" s="72" t="s">
        <v>133</v>
      </c>
      <c r="B12" s="72"/>
      <c r="C12" s="72"/>
      <c r="D12" s="72"/>
      <c r="E12" s="72"/>
      <c r="F12" s="262"/>
      <c r="G12" s="348" t="s">
        <v>131</v>
      </c>
    </row>
    <row r="13" spans="1:7" ht="15">
      <c r="A13" s="349"/>
      <c r="B13" s="349"/>
      <c r="C13" s="349"/>
      <c r="D13" s="349"/>
      <c r="E13" s="349"/>
      <c r="F13" s="350"/>
      <c r="G13" s="351"/>
    </row>
    <row r="14" spans="1:7" ht="15">
      <c r="A14" s="72" t="s">
        <v>155</v>
      </c>
      <c r="B14" s="72"/>
      <c r="C14" s="72"/>
      <c r="D14" s="72"/>
      <c r="E14" s="72"/>
      <c r="F14" s="262"/>
      <c r="G14" s="360">
        <v>1000000</v>
      </c>
    </row>
    <row r="15" spans="1:7" ht="15">
      <c r="A15" s="71"/>
      <c r="B15" s="71"/>
      <c r="C15" s="71"/>
      <c r="D15" s="71"/>
      <c r="E15" s="71"/>
      <c r="F15" s="264"/>
      <c r="G15" s="264"/>
    </row>
    <row r="16" spans="1:7" ht="15">
      <c r="A16" s="72" t="s">
        <v>130</v>
      </c>
      <c r="B16" s="72"/>
      <c r="C16" s="72"/>
      <c r="D16" s="72"/>
      <c r="E16" s="72"/>
      <c r="F16" s="262"/>
      <c r="G16" s="348" t="s">
        <v>132</v>
      </c>
    </row>
    <row r="17" spans="1:7" ht="14.25">
      <c r="A17" s="136"/>
      <c r="B17" s="137"/>
      <c r="C17" s="137"/>
      <c r="D17" s="137"/>
      <c r="E17" s="137"/>
      <c r="F17" s="137"/>
      <c r="G17" s="137"/>
    </row>
    <row r="18" spans="1:7" ht="15">
      <c r="A18" s="524" t="s">
        <v>156</v>
      </c>
      <c r="B18" s="524"/>
      <c r="C18" s="524"/>
      <c r="D18" s="524"/>
      <c r="E18" s="524"/>
      <c r="F18" s="262"/>
      <c r="G18" s="314">
        <f>+G10</f>
        <v>970265</v>
      </c>
    </row>
    <row r="19" spans="1:7" ht="15">
      <c r="A19" s="71"/>
      <c r="B19" s="71"/>
      <c r="C19" s="71"/>
      <c r="D19" s="71"/>
      <c r="E19" s="31"/>
      <c r="F19" s="264"/>
      <c r="G19" s="7"/>
    </row>
    <row r="20" spans="1:7" s="31" customFormat="1" ht="15">
      <c r="A20" s="71"/>
      <c r="B20" s="71"/>
      <c r="C20" s="71"/>
      <c r="D20" s="71"/>
      <c r="F20" s="264"/>
      <c r="G20" s="264"/>
    </row>
    <row r="21" spans="1:7" ht="14.25">
      <c r="A21" s="140"/>
      <c r="B21" s="141"/>
      <c r="C21" s="142"/>
      <c r="D21" s="143"/>
      <c r="E21" s="143"/>
      <c r="F21" s="56"/>
      <c r="G21" s="56"/>
    </row>
    <row r="22" spans="1:7" ht="15">
      <c r="A22" s="310" t="s">
        <v>114</v>
      </c>
      <c r="B22" s="311"/>
      <c r="C22" s="312"/>
      <c r="D22" s="313"/>
      <c r="E22" s="313"/>
      <c r="F22" s="262"/>
      <c r="G22" s="314">
        <f>G18*14/13</f>
        <v>1044900.7692307692</v>
      </c>
    </row>
    <row r="23" spans="1:7" ht="14.25">
      <c r="A23" s="140"/>
      <c r="B23" s="141"/>
      <c r="C23" s="142"/>
      <c r="D23" s="143"/>
      <c r="E23" s="143"/>
      <c r="F23" s="56"/>
      <c r="G23" s="56"/>
    </row>
    <row r="24" spans="1:7" ht="15">
      <c r="A24" s="309" t="s">
        <v>157</v>
      </c>
      <c r="B24" s="308"/>
      <c r="C24" s="308"/>
      <c r="D24" s="137"/>
      <c r="E24" s="137"/>
      <c r="F24" s="137"/>
      <c r="G24" s="137"/>
    </row>
    <row r="25" spans="1:7" ht="15">
      <c r="A25" s="309" t="s">
        <v>193</v>
      </c>
      <c r="B25" s="308"/>
      <c r="C25" s="308"/>
      <c r="D25" s="137"/>
      <c r="E25" s="137"/>
      <c r="F25" s="137"/>
      <c r="G25" s="137"/>
    </row>
    <row r="26" ht="15.75" thickBot="1">
      <c r="A26" s="309" t="s">
        <v>58</v>
      </c>
    </row>
    <row r="27" spans="1:8" ht="39" thickBot="1">
      <c r="A27" s="150" t="s">
        <v>158</v>
      </c>
      <c r="B27" s="151" t="s">
        <v>11</v>
      </c>
      <c r="C27" s="151" t="s">
        <v>12</v>
      </c>
      <c r="D27" s="151" t="s">
        <v>20</v>
      </c>
      <c r="E27" s="151" t="s">
        <v>13</v>
      </c>
      <c r="F27" s="151" t="s">
        <v>149</v>
      </c>
      <c r="G27" s="152" t="s">
        <v>98</v>
      </c>
      <c r="H27" s="121"/>
    </row>
    <row r="28" spans="1:7" ht="12.75">
      <c r="A28" s="86"/>
      <c r="B28" s="31"/>
      <c r="C28" s="122"/>
      <c r="D28" s="122"/>
      <c r="E28" s="31"/>
      <c r="F28" s="31"/>
      <c r="G28" s="100"/>
    </row>
    <row r="29" spans="1:8" ht="12.75">
      <c r="A29" s="147" t="s">
        <v>16</v>
      </c>
      <c r="B29" s="480"/>
      <c r="C29" s="134">
        <v>240322061</v>
      </c>
      <c r="D29" s="265">
        <v>27770</v>
      </c>
      <c r="E29" s="396">
        <v>4302156</v>
      </c>
      <c r="F29" s="281">
        <f>IF(ISERROR(E29/$E$38),"",E29/$E$38)</f>
        <v>0.589744493073221</v>
      </c>
      <c r="G29" s="400">
        <f>IF(ISERROR($G$22*F29),0,$G$22*F29)</f>
        <v>616224.4744618187</v>
      </c>
      <c r="H29" s="268"/>
    </row>
    <row r="30" spans="1:8" ht="12.75">
      <c r="A30" s="147" t="s">
        <v>72</v>
      </c>
      <c r="B30" s="480"/>
      <c r="C30" s="134">
        <v>114548638</v>
      </c>
      <c r="D30" s="265">
        <v>3556</v>
      </c>
      <c r="E30" s="396">
        <v>1619180</v>
      </c>
      <c r="F30" s="281">
        <f aca="true" t="shared" si="0" ref="F30:F36">IF(ISERROR(E30/$E$38),"",E30/$E$38)</f>
        <v>0.22195905687620296</v>
      </c>
      <c r="G30" s="400">
        <f aca="true" t="shared" si="1" ref="G30:G36">IF(ISERROR($G$22*F30),0,$G$22*F30)</f>
        <v>231925.18926768054</v>
      </c>
      <c r="H30" s="268"/>
    </row>
    <row r="31" spans="1:8" ht="12.75">
      <c r="A31" s="147" t="s">
        <v>73</v>
      </c>
      <c r="B31" s="269">
        <v>1094813</v>
      </c>
      <c r="C31" s="134">
        <v>385151907</v>
      </c>
      <c r="D31" s="265">
        <v>448</v>
      </c>
      <c r="E31" s="396">
        <v>825683</v>
      </c>
      <c r="F31" s="281">
        <f t="shared" si="0"/>
        <v>0.11318557538921793</v>
      </c>
      <c r="G31" s="400">
        <f t="shared" si="1"/>
        <v>118267.69479002104</v>
      </c>
      <c r="H31" s="268"/>
    </row>
    <row r="32" spans="1:8" ht="12.75">
      <c r="A32" s="147" t="s">
        <v>74</v>
      </c>
      <c r="B32" s="265">
        <v>150890</v>
      </c>
      <c r="C32" s="134">
        <v>77472275</v>
      </c>
      <c r="D32" s="265">
        <v>4</v>
      </c>
      <c r="E32" s="397">
        <v>166132</v>
      </c>
      <c r="F32" s="281">
        <f t="shared" si="0"/>
        <v>0.022773565654811295</v>
      </c>
      <c r="G32" s="400">
        <f t="shared" si="1"/>
        <v>23796.11627083975</v>
      </c>
      <c r="H32" s="270"/>
    </row>
    <row r="33" spans="1:8" ht="12.75">
      <c r="A33" s="147" t="s">
        <v>141</v>
      </c>
      <c r="B33" s="265">
        <v>0</v>
      </c>
      <c r="C33" s="134">
        <v>0</v>
      </c>
      <c r="D33" s="265">
        <v>0</v>
      </c>
      <c r="E33" s="397">
        <v>0</v>
      </c>
      <c r="F33" s="281">
        <f t="shared" si="0"/>
        <v>0</v>
      </c>
      <c r="G33" s="400">
        <f t="shared" si="1"/>
        <v>0</v>
      </c>
      <c r="H33" s="270"/>
    </row>
    <row r="34" spans="1:8" ht="12.75">
      <c r="A34" s="147" t="s">
        <v>75</v>
      </c>
      <c r="B34" s="265">
        <v>91794</v>
      </c>
      <c r="C34" s="134">
        <v>38113071</v>
      </c>
      <c r="D34" s="265">
        <v>2</v>
      </c>
      <c r="E34" s="397">
        <v>286141</v>
      </c>
      <c r="F34" s="281">
        <f t="shared" si="0"/>
        <v>0.03922453741623142</v>
      </c>
      <c r="G34" s="400">
        <f t="shared" si="1"/>
        <v>40985.7493189413</v>
      </c>
      <c r="H34" s="270"/>
    </row>
    <row r="35" spans="1:8" ht="12.75">
      <c r="A35" s="147" t="s">
        <v>76</v>
      </c>
      <c r="B35" s="269">
        <v>1979</v>
      </c>
      <c r="C35" s="134">
        <v>529223</v>
      </c>
      <c r="D35" s="265">
        <v>220</v>
      </c>
      <c r="E35" s="398">
        <v>10252</v>
      </c>
      <c r="F35" s="281">
        <f t="shared" si="0"/>
        <v>0.0014053559524542256</v>
      </c>
      <c r="G35" s="400">
        <f t="shared" si="1"/>
        <v>1468.4575157624606</v>
      </c>
      <c r="H35" s="268"/>
    </row>
    <row r="36" spans="1:8" ht="12.75">
      <c r="A36" s="147" t="s">
        <v>77</v>
      </c>
      <c r="B36" s="272">
        <v>22715</v>
      </c>
      <c r="C36" s="135">
        <v>7685190</v>
      </c>
      <c r="D36" s="273">
        <v>1</v>
      </c>
      <c r="E36" s="399">
        <v>85405</v>
      </c>
      <c r="F36" s="282">
        <f t="shared" si="0"/>
        <v>0.01170741563786121</v>
      </c>
      <c r="G36" s="401">
        <f t="shared" si="1"/>
        <v>12233.087605705516</v>
      </c>
      <c r="H36" s="271"/>
    </row>
    <row r="37" spans="1:8" ht="13.5" thickBot="1">
      <c r="A37" s="147"/>
      <c r="B37" s="264"/>
      <c r="C37" s="275"/>
      <c r="D37" s="276"/>
      <c r="E37" s="264"/>
      <c r="F37" s="277"/>
      <c r="G37" s="267"/>
      <c r="H37" s="56"/>
    </row>
    <row r="38" spans="1:8" ht="13.5" thickBot="1">
      <c r="A38" s="315" t="s">
        <v>14</v>
      </c>
      <c r="B38" s="316">
        <f aca="true" t="shared" si="2" ref="B38:G38">SUM(B29:B36)</f>
        <v>1362191</v>
      </c>
      <c r="C38" s="316">
        <f t="shared" si="2"/>
        <v>863822365</v>
      </c>
      <c r="D38" s="316">
        <f t="shared" si="2"/>
        <v>32001</v>
      </c>
      <c r="E38" s="412">
        <f t="shared" si="2"/>
        <v>7294949</v>
      </c>
      <c r="F38" s="317">
        <f t="shared" si="2"/>
        <v>1</v>
      </c>
      <c r="G38" s="413">
        <f t="shared" si="2"/>
        <v>1044900.7692307691</v>
      </c>
      <c r="H38" s="56"/>
    </row>
    <row r="39" spans="1:8" ht="12.75">
      <c r="A39" s="86"/>
      <c r="B39" s="31"/>
      <c r="C39" s="522" t="s">
        <v>115</v>
      </c>
      <c r="D39" s="522"/>
      <c r="E39" s="522"/>
      <c r="F39" s="523"/>
      <c r="G39" s="414">
        <f>G22</f>
        <v>1044900.7692307692</v>
      </c>
      <c r="H39" s="278"/>
    </row>
    <row r="40" spans="1:7" ht="13.5" thickBot="1">
      <c r="A40" s="94"/>
      <c r="B40" s="148"/>
      <c r="C40" s="148"/>
      <c r="D40" s="148"/>
      <c r="E40" s="148"/>
      <c r="F40" s="148"/>
      <c r="G40" s="149"/>
    </row>
    <row r="41" spans="1:7" ht="42" customHeight="1">
      <c r="A41" s="521" t="s">
        <v>187</v>
      </c>
      <c r="B41" s="521"/>
      <c r="C41" s="521"/>
      <c r="D41" s="521"/>
      <c r="E41" s="521"/>
      <c r="F41" s="521"/>
      <c r="G41" s="521"/>
    </row>
    <row r="42" ht="13.5" thickBot="1"/>
    <row r="43" spans="1:7" ht="37.5" thickBot="1">
      <c r="A43" s="54" t="s">
        <v>235</v>
      </c>
      <c r="C43" s="492" t="s">
        <v>12</v>
      </c>
      <c r="D43" s="151" t="s">
        <v>20</v>
      </c>
      <c r="E43" s="151" t="s">
        <v>13</v>
      </c>
      <c r="F43" s="151" t="s">
        <v>234</v>
      </c>
      <c r="G43" s="151" t="s">
        <v>238</v>
      </c>
    </row>
    <row r="44" ht="15">
      <c r="A44" s="132"/>
    </row>
    <row r="45" spans="1:7" ht="15">
      <c r="A45" s="132" t="s">
        <v>223</v>
      </c>
      <c r="C45" s="488">
        <v>15237677</v>
      </c>
      <c r="D45" s="488">
        <v>1659</v>
      </c>
      <c r="E45" s="486">
        <v>40912</v>
      </c>
      <c r="F45" s="490">
        <f>+E45/$E$56</f>
        <v>0.009509646089241725</v>
      </c>
      <c r="G45" s="494">
        <f>+F45*$G$29</f>
        <v>5860.076663660871</v>
      </c>
    </row>
    <row r="46" spans="1:7" ht="15">
      <c r="A46" s="132" t="s">
        <v>224</v>
      </c>
      <c r="C46" s="488">
        <v>3577559</v>
      </c>
      <c r="D46" s="488">
        <v>379</v>
      </c>
      <c r="E46" s="486">
        <v>73758</v>
      </c>
      <c r="F46" s="490">
        <f aca="true" t="shared" si="3" ref="F46:F55">+E46/$E$56</f>
        <v>0.017144419149645363</v>
      </c>
      <c r="G46" s="494">
        <f aca="true" t="shared" si="4" ref="G46:G55">+F46*$G$29</f>
        <v>10564.810680443354</v>
      </c>
    </row>
    <row r="47" spans="1:7" ht="15">
      <c r="A47" s="132" t="s">
        <v>225</v>
      </c>
      <c r="C47" s="488">
        <v>133527329</v>
      </c>
      <c r="D47" s="488">
        <v>15689</v>
      </c>
      <c r="E47" s="486">
        <v>2510751</v>
      </c>
      <c r="F47" s="490">
        <f t="shared" si="3"/>
        <v>0.5836026942757565</v>
      </c>
      <c r="G47" s="494">
        <f t="shared" si="4"/>
        <v>359630.2635745795</v>
      </c>
    </row>
    <row r="48" spans="1:7" ht="15">
      <c r="A48" s="132" t="s">
        <v>226</v>
      </c>
      <c r="C48" s="488">
        <v>9396371</v>
      </c>
      <c r="D48" s="488">
        <v>1011</v>
      </c>
      <c r="E48" s="486">
        <v>164449</v>
      </c>
      <c r="F48" s="490">
        <f t="shared" si="3"/>
        <v>0.03822476998752719</v>
      </c>
      <c r="G48" s="494">
        <f t="shared" si="4"/>
        <v>23555.038796987843</v>
      </c>
    </row>
    <row r="49" spans="1:7" ht="15">
      <c r="A49" s="132" t="s">
        <v>227</v>
      </c>
      <c r="C49" s="488">
        <v>2562356</v>
      </c>
      <c r="D49" s="488">
        <v>346</v>
      </c>
      <c r="E49" s="486">
        <v>41790</v>
      </c>
      <c r="F49" s="490">
        <f t="shared" si="3"/>
        <v>0.009713729714250384</v>
      </c>
      <c r="G49" s="494">
        <f t="shared" si="4"/>
        <v>5985.837988228095</v>
      </c>
    </row>
    <row r="50" spans="1:7" ht="15">
      <c r="A50" s="132" t="s">
        <v>228</v>
      </c>
      <c r="C50" s="488">
        <v>2762675</v>
      </c>
      <c r="D50" s="488">
        <v>268</v>
      </c>
      <c r="E50" s="486">
        <v>60089</v>
      </c>
      <c r="F50" s="490">
        <f t="shared" si="3"/>
        <v>0.013967176472830613</v>
      </c>
      <c r="G50" s="494">
        <f t="shared" si="4"/>
        <v>8606.915981685523</v>
      </c>
    </row>
    <row r="51" spans="1:7" ht="15">
      <c r="A51" s="132" t="s">
        <v>229</v>
      </c>
      <c r="C51" s="488">
        <v>10601323</v>
      </c>
      <c r="D51" s="488">
        <v>1338</v>
      </c>
      <c r="E51" s="486">
        <v>233359</v>
      </c>
      <c r="F51" s="490">
        <f t="shared" si="3"/>
        <v>0.054242312811384426</v>
      </c>
      <c r="G51" s="494">
        <f t="shared" si="4"/>
        <v>33425.44070578894</v>
      </c>
    </row>
    <row r="52" spans="1:7" ht="15">
      <c r="A52" s="132" t="s">
        <v>230</v>
      </c>
      <c r="C52" s="488">
        <v>3112918</v>
      </c>
      <c r="D52" s="488">
        <v>364</v>
      </c>
      <c r="E52" s="486">
        <v>30637</v>
      </c>
      <c r="F52" s="490">
        <f t="shared" si="3"/>
        <v>0.007121309817073199</v>
      </c>
      <c r="G52" s="494">
        <f t="shared" si="4"/>
        <v>4388.325399505722</v>
      </c>
    </row>
    <row r="53" spans="1:7" ht="15">
      <c r="A53" s="132" t="s">
        <v>231</v>
      </c>
      <c r="C53" s="488">
        <v>16240546</v>
      </c>
      <c r="D53" s="488">
        <v>1751</v>
      </c>
      <c r="E53" s="486">
        <v>245218</v>
      </c>
      <c r="F53" s="490">
        <f t="shared" si="3"/>
        <v>0.05699883639791937</v>
      </c>
      <c r="G53" s="494">
        <f t="shared" si="4"/>
        <v>35124.07800424305</v>
      </c>
    </row>
    <row r="54" spans="1:7" ht="15">
      <c r="A54" s="132" t="s">
        <v>232</v>
      </c>
      <c r="C54" s="488">
        <v>37655069</v>
      </c>
      <c r="D54" s="488">
        <v>4365</v>
      </c>
      <c r="E54" s="486">
        <v>823356</v>
      </c>
      <c r="F54" s="490">
        <f t="shared" si="3"/>
        <v>0.1913820924289624</v>
      </c>
      <c r="G54" s="494">
        <f t="shared" si="4"/>
        <v>117934.32932844057</v>
      </c>
    </row>
    <row r="55" spans="1:7" ht="15">
      <c r="A55" s="132" t="s">
        <v>233</v>
      </c>
      <c r="C55" s="488">
        <v>5648238</v>
      </c>
      <c r="D55" s="488">
        <v>600</v>
      </c>
      <c r="E55" s="486">
        <v>77839</v>
      </c>
      <c r="F55" s="490">
        <f t="shared" si="3"/>
        <v>0.018093012855408843</v>
      </c>
      <c r="G55" s="494">
        <f t="shared" si="4"/>
        <v>11149.357338255244</v>
      </c>
    </row>
    <row r="56" spans="1:7" ht="15.75" thickBot="1">
      <c r="A56" s="132"/>
      <c r="C56" s="489">
        <f>SUM(C45:C55)</f>
        <v>240322061</v>
      </c>
      <c r="D56" s="489">
        <f>SUM(D45:D55)</f>
        <v>27770</v>
      </c>
      <c r="E56" s="487">
        <f>SUM(E45:E55)</f>
        <v>4302158</v>
      </c>
      <c r="F56" s="491">
        <f>SUM(F45:F55)</f>
        <v>1</v>
      </c>
      <c r="G56" s="495">
        <f>SUM(G45:G55)</f>
        <v>616224.4744618187</v>
      </c>
    </row>
    <row r="57" ht="15.75" thickTop="1">
      <c r="A57" s="132"/>
    </row>
    <row r="58" ht="16.5" thickBot="1">
      <c r="A58" s="54"/>
    </row>
    <row r="59" spans="1:7" ht="37.5" thickBot="1">
      <c r="A59" s="54" t="s">
        <v>239</v>
      </c>
      <c r="B59" s="492" t="s">
        <v>11</v>
      </c>
      <c r="C59" s="492" t="s">
        <v>12</v>
      </c>
      <c r="D59" s="151" t="s">
        <v>20</v>
      </c>
      <c r="E59" s="151" t="s">
        <v>13</v>
      </c>
      <c r="F59" s="151" t="s">
        <v>234</v>
      </c>
      <c r="G59" s="151" t="s">
        <v>238</v>
      </c>
    </row>
    <row r="60" ht="15.75">
      <c r="A60" s="54"/>
    </row>
    <row r="61" spans="1:7" ht="15">
      <c r="A61" s="132" t="s">
        <v>223</v>
      </c>
      <c r="B61" s="488">
        <v>41753</v>
      </c>
      <c r="C61" s="488">
        <v>21425089</v>
      </c>
      <c r="D61" s="488">
        <v>1</v>
      </c>
      <c r="E61" s="486">
        <v>64062</v>
      </c>
      <c r="F61" s="490">
        <f>+E61/$E$63</f>
        <v>0.3856090337803674</v>
      </c>
      <c r="G61" s="494">
        <f>+F61*$G$32</f>
        <v>9175.997402923796</v>
      </c>
    </row>
    <row r="62" spans="1:7" ht="15">
      <c r="A62" s="132" t="s">
        <v>225</v>
      </c>
      <c r="B62" s="488">
        <v>109141</v>
      </c>
      <c r="C62" s="488">
        <v>56047186</v>
      </c>
      <c r="D62" s="488">
        <v>3</v>
      </c>
      <c r="E62" s="486">
        <v>102070</v>
      </c>
      <c r="F62" s="490">
        <f>+E62/$E$63</f>
        <v>0.6143909662196326</v>
      </c>
      <c r="G62" s="494">
        <f>+F62*$G$32</f>
        <v>14620.118867915955</v>
      </c>
    </row>
    <row r="63" spans="1:7" ht="16.5" thickBot="1">
      <c r="A63" s="54"/>
      <c r="B63" s="489">
        <f>SUM(B61:B62)</f>
        <v>150894</v>
      </c>
      <c r="C63" s="489">
        <f>SUM(C61:C62)</f>
        <v>77472275</v>
      </c>
      <c r="D63" s="489">
        <f>SUM(D61:D62)</f>
        <v>4</v>
      </c>
      <c r="E63" s="487">
        <f>SUM(E61:E62)</f>
        <v>166132</v>
      </c>
      <c r="F63" s="493">
        <f>+E63/$E$63</f>
        <v>1</v>
      </c>
      <c r="G63" s="495">
        <f>SUM(G61:G62)</f>
        <v>23796.116270839753</v>
      </c>
    </row>
    <row r="64" ht="16.5" thickTop="1">
      <c r="A64" s="54"/>
    </row>
    <row r="65" ht="16.5" thickBot="1">
      <c r="A65" s="54"/>
    </row>
    <row r="66" spans="1:7" ht="37.5" thickBot="1">
      <c r="A66" s="54" t="s">
        <v>236</v>
      </c>
      <c r="B66" s="492" t="s">
        <v>11</v>
      </c>
      <c r="C66" s="492" t="s">
        <v>12</v>
      </c>
      <c r="D66" s="151" t="s">
        <v>20</v>
      </c>
      <c r="E66" s="151" t="s">
        <v>13</v>
      </c>
      <c r="F66" s="151" t="s">
        <v>234</v>
      </c>
      <c r="G66" s="151" t="s">
        <v>238</v>
      </c>
    </row>
    <row r="67" ht="15.75">
      <c r="A67" s="54"/>
    </row>
    <row r="68" spans="1:7" ht="15">
      <c r="A68" s="132" t="s">
        <v>225</v>
      </c>
      <c r="B68" s="488">
        <v>45490</v>
      </c>
      <c r="C68" s="488">
        <v>25051899</v>
      </c>
      <c r="D68" s="488">
        <v>1</v>
      </c>
      <c r="E68" s="486">
        <v>115895</v>
      </c>
      <c r="F68" s="490">
        <f>+E68/$E$70</f>
        <v>0.4050275912924048</v>
      </c>
      <c r="G68" s="494">
        <f>+F68*$G$34</f>
        <v>16600.359323965116</v>
      </c>
    </row>
    <row r="69" spans="1:7" ht="15">
      <c r="A69" s="132" t="s">
        <v>232</v>
      </c>
      <c r="B69" s="488">
        <v>46304</v>
      </c>
      <c r="C69" s="488">
        <v>13061172</v>
      </c>
      <c r="D69" s="488">
        <v>1</v>
      </c>
      <c r="E69" s="486">
        <v>170246</v>
      </c>
      <c r="F69" s="490">
        <f>+E69/$E$70</f>
        <v>0.5949724087075952</v>
      </c>
      <c r="G69" s="494">
        <f>+F69*$G$34</f>
        <v>24385.389994976184</v>
      </c>
    </row>
    <row r="70" spans="1:7" ht="16.5" thickBot="1">
      <c r="A70" s="54"/>
      <c r="B70" s="489">
        <f>SUM(B68:B69)</f>
        <v>91794</v>
      </c>
      <c r="C70" s="489">
        <f>SUM(C68:C69)</f>
        <v>38113071</v>
      </c>
      <c r="D70" s="489">
        <f>SUM(D68:D69)</f>
        <v>2</v>
      </c>
      <c r="E70" s="487">
        <f>SUM(E68:E69)</f>
        <v>286141</v>
      </c>
      <c r="F70" s="493">
        <f>+E70/$E$70</f>
        <v>1</v>
      </c>
      <c r="G70" s="495">
        <f>SUM(G68:G69)</f>
        <v>40985.7493189413</v>
      </c>
    </row>
    <row r="71" ht="16.5" thickTop="1">
      <c r="A71" s="54"/>
    </row>
    <row r="72" ht="16.5" thickBot="1">
      <c r="A72" s="54"/>
    </row>
    <row r="73" spans="1:7" ht="37.5" thickBot="1">
      <c r="A73" s="54" t="s">
        <v>237</v>
      </c>
      <c r="B73" s="492" t="s">
        <v>11</v>
      </c>
      <c r="C73" s="492" t="s">
        <v>12</v>
      </c>
      <c r="D73" s="151" t="s">
        <v>20</v>
      </c>
      <c r="E73" s="151" t="s">
        <v>13</v>
      </c>
      <c r="F73" s="151" t="s">
        <v>234</v>
      </c>
      <c r="G73" s="151" t="s">
        <v>238</v>
      </c>
    </row>
    <row r="74" ht="15">
      <c r="A74" s="132"/>
    </row>
    <row r="75" spans="1:7" ht="15">
      <c r="A75" s="132" t="s">
        <v>223</v>
      </c>
      <c r="B75" s="9">
        <v>73</v>
      </c>
      <c r="C75" s="488">
        <v>26316</v>
      </c>
      <c r="D75" s="488">
        <v>22</v>
      </c>
      <c r="E75" s="486">
        <v>363</v>
      </c>
      <c r="F75" s="490">
        <f>+E75/$E$86</f>
        <v>0.03540427192041354</v>
      </c>
      <c r="G75" s="494">
        <f>+F75*$G$35</f>
        <v>51.989669191629105</v>
      </c>
    </row>
    <row r="76" spans="1:7" ht="15">
      <c r="A76" s="132" t="s">
        <v>224</v>
      </c>
      <c r="B76" s="9">
        <v>63</v>
      </c>
      <c r="C76" s="488">
        <v>24179</v>
      </c>
      <c r="D76" s="488">
        <v>12</v>
      </c>
      <c r="E76" s="486">
        <v>429</v>
      </c>
      <c r="F76" s="490">
        <f aca="true" t="shared" si="5" ref="F76:F85">+E76/$E$86</f>
        <v>0.04184141226957964</v>
      </c>
      <c r="G76" s="494">
        <f aca="true" t="shared" si="6" ref="G76:G85">+F76*$G$35</f>
        <v>61.442336317379855</v>
      </c>
    </row>
    <row r="77" spans="1:7" ht="15">
      <c r="A77" s="132" t="s">
        <v>225</v>
      </c>
      <c r="B77" s="9">
        <v>549</v>
      </c>
      <c r="C77" s="488">
        <v>197875</v>
      </c>
      <c r="D77" s="488">
        <v>58</v>
      </c>
      <c r="E77" s="486">
        <v>3798</v>
      </c>
      <c r="F77" s="490">
        <f t="shared" si="5"/>
        <v>0.3704281673656491</v>
      </c>
      <c r="G77" s="494">
        <f t="shared" si="6"/>
        <v>543.958026418202</v>
      </c>
    </row>
    <row r="78" spans="1:7" ht="15">
      <c r="A78" s="132" t="s">
        <v>226</v>
      </c>
      <c r="B78" s="9">
        <v>158</v>
      </c>
      <c r="C78" s="488">
        <v>57290</v>
      </c>
      <c r="D78" s="488">
        <v>18</v>
      </c>
      <c r="E78" s="486">
        <v>1059</v>
      </c>
      <c r="F78" s="490">
        <f t="shared" si="5"/>
        <v>0.10328684287525602</v>
      </c>
      <c r="G78" s="494">
        <f t="shared" si="6"/>
        <v>151.67234069954606</v>
      </c>
    </row>
    <row r="79" spans="1:7" ht="15">
      <c r="A79" s="132" t="s">
        <v>227</v>
      </c>
      <c r="B79" s="9">
        <v>0</v>
      </c>
      <c r="C79" s="488">
        <v>0</v>
      </c>
      <c r="D79" s="488">
        <v>0</v>
      </c>
      <c r="E79" s="486">
        <v>0</v>
      </c>
      <c r="F79" s="490">
        <f t="shared" si="5"/>
        <v>0</v>
      </c>
      <c r="G79" s="494">
        <f t="shared" si="6"/>
        <v>0</v>
      </c>
    </row>
    <row r="80" spans="1:7" ht="15">
      <c r="A80" s="132" t="s">
        <v>228</v>
      </c>
      <c r="B80" s="9">
        <v>532</v>
      </c>
      <c r="C80" s="488">
        <v>6888</v>
      </c>
      <c r="D80" s="488">
        <v>8</v>
      </c>
      <c r="E80" s="486">
        <v>146</v>
      </c>
      <c r="F80" s="490">
        <f t="shared" si="5"/>
        <v>0.014239734711791671</v>
      </c>
      <c r="G80" s="494">
        <f t="shared" si="6"/>
        <v>20.910445459994076</v>
      </c>
    </row>
    <row r="81" spans="1:7" ht="15">
      <c r="A81" s="132" t="s">
        <v>229</v>
      </c>
      <c r="B81" s="9">
        <v>69</v>
      </c>
      <c r="C81" s="488">
        <v>24823</v>
      </c>
      <c r="D81" s="488">
        <v>18</v>
      </c>
      <c r="E81" s="486">
        <v>409</v>
      </c>
      <c r="F81" s="490">
        <f t="shared" si="5"/>
        <v>0.03989076367892324</v>
      </c>
      <c r="G81" s="494">
        <f t="shared" si="6"/>
        <v>58.577891733819015</v>
      </c>
    </row>
    <row r="82" spans="1:7" ht="15">
      <c r="A82" s="132" t="s">
        <v>230</v>
      </c>
      <c r="B82" s="9">
        <v>62</v>
      </c>
      <c r="C82" s="488">
        <v>21960</v>
      </c>
      <c r="D82" s="488">
        <v>13</v>
      </c>
      <c r="E82" s="486">
        <v>1017</v>
      </c>
      <c r="F82" s="490">
        <f t="shared" si="5"/>
        <v>0.0991904808348776</v>
      </c>
      <c r="G82" s="494">
        <f t="shared" si="6"/>
        <v>145.6570070740683</v>
      </c>
    </row>
    <row r="83" spans="1:7" ht="15">
      <c r="A83" s="132" t="s">
        <v>231</v>
      </c>
      <c r="B83" s="9">
        <v>132</v>
      </c>
      <c r="C83" s="488">
        <v>46014</v>
      </c>
      <c r="D83" s="488">
        <v>22</v>
      </c>
      <c r="E83" s="486">
        <v>504</v>
      </c>
      <c r="F83" s="490">
        <f t="shared" si="5"/>
        <v>0.04915634448454111</v>
      </c>
      <c r="G83" s="494">
        <f t="shared" si="6"/>
        <v>72.18400350573297</v>
      </c>
    </row>
    <row r="84" spans="1:7" ht="15">
      <c r="A84" s="132" t="s">
        <v>232</v>
      </c>
      <c r="B84" s="9">
        <v>300</v>
      </c>
      <c r="C84" s="488">
        <v>107744</v>
      </c>
      <c r="D84" s="488">
        <v>39</v>
      </c>
      <c r="E84" s="486">
        <v>2316</v>
      </c>
      <c r="F84" s="490">
        <f t="shared" si="5"/>
        <v>0.22588510679801033</v>
      </c>
      <c r="G84" s="494">
        <f t="shared" si="6"/>
        <v>331.7026827763444</v>
      </c>
    </row>
    <row r="85" spans="1:7" ht="15">
      <c r="A85" s="132" t="s">
        <v>233</v>
      </c>
      <c r="B85" s="9">
        <v>41</v>
      </c>
      <c r="C85" s="488">
        <v>16134</v>
      </c>
      <c r="D85" s="488">
        <v>10</v>
      </c>
      <c r="E85" s="486">
        <v>212</v>
      </c>
      <c r="F85" s="490">
        <f t="shared" si="5"/>
        <v>0.020676875060957767</v>
      </c>
      <c r="G85" s="494">
        <f t="shared" si="6"/>
        <v>30.36311258574482</v>
      </c>
    </row>
    <row r="86" spans="1:7" ht="15.75" thickBot="1">
      <c r="A86" s="132"/>
      <c r="B86" s="489">
        <f aca="true" t="shared" si="7" ref="B86:G86">SUM(B75:B85)</f>
        <v>1979</v>
      </c>
      <c r="C86" s="489">
        <f t="shared" si="7"/>
        <v>529223</v>
      </c>
      <c r="D86" s="489">
        <f t="shared" si="7"/>
        <v>220</v>
      </c>
      <c r="E86" s="487">
        <f t="shared" si="7"/>
        <v>10253</v>
      </c>
      <c r="F86" s="491">
        <f t="shared" si="7"/>
        <v>0.9999999999999998</v>
      </c>
      <c r="G86" s="495">
        <f t="shared" si="7"/>
        <v>1468.4575157624606</v>
      </c>
    </row>
    <row r="87" ht="16.5" thickTop="1">
      <c r="A87" s="54"/>
    </row>
    <row r="88" ht="15.75">
      <c r="A88" s="54" t="s">
        <v>16</v>
      </c>
    </row>
    <row r="89" ht="15.75">
      <c r="A89" s="131"/>
    </row>
    <row r="90" ht="15">
      <c r="A90" s="132"/>
    </row>
    <row r="91" spans="1:7" ht="39" thickBot="1">
      <c r="A91" s="132"/>
      <c r="B91" s="283" t="s">
        <v>104</v>
      </c>
      <c r="C91" s="283" t="s">
        <v>188</v>
      </c>
      <c r="D91" s="283" t="s">
        <v>103</v>
      </c>
      <c r="E91" s="280"/>
      <c r="F91" s="280"/>
      <c r="G91" s="280"/>
    </row>
    <row r="92" spans="1:3" ht="15">
      <c r="A92" s="481" t="s">
        <v>211</v>
      </c>
      <c r="B92" s="30"/>
      <c r="C92" s="30"/>
    </row>
    <row r="93" spans="1:5" ht="12.75">
      <c r="A93" s="109" t="s">
        <v>99</v>
      </c>
      <c r="B93" s="290"/>
      <c r="C93" s="290"/>
      <c r="D93" s="407">
        <f>+G45</f>
        <v>5860.076663660871</v>
      </c>
      <c r="E93" s="112"/>
    </row>
    <row r="94" spans="1:5" ht="12.75">
      <c r="A94" s="112"/>
      <c r="B94" s="284"/>
      <c r="C94" s="284"/>
      <c r="D94" s="285"/>
      <c r="E94" s="112"/>
    </row>
    <row r="95" spans="1:5" ht="12.75">
      <c r="A95" s="109" t="s">
        <v>102</v>
      </c>
      <c r="B95" s="479">
        <v>0.346</v>
      </c>
      <c r="C95" s="479">
        <f>1-B95</f>
        <v>0.654</v>
      </c>
      <c r="D95" s="291">
        <f>B95+C95</f>
        <v>1</v>
      </c>
      <c r="E95" s="112"/>
    </row>
    <row r="96" spans="1:5" ht="12.75">
      <c r="A96" s="112"/>
      <c r="B96" s="286"/>
      <c r="C96" s="286"/>
      <c r="D96" s="286"/>
      <c r="E96" s="112"/>
    </row>
    <row r="97" spans="1:5" ht="12.75">
      <c r="A97" s="109" t="s">
        <v>105</v>
      </c>
      <c r="B97" s="402">
        <f>$B95*$D93</f>
        <v>2027.5865256266613</v>
      </c>
      <c r="C97" s="402">
        <f>C95*D93</f>
        <v>3832.49013803421</v>
      </c>
      <c r="D97" s="402">
        <f>SUM(B97:C97)</f>
        <v>5860.076663660871</v>
      </c>
      <c r="E97" s="112"/>
    </row>
    <row r="98" spans="1:5" ht="12.75">
      <c r="A98" s="112"/>
      <c r="B98" s="287"/>
      <c r="C98" s="287"/>
      <c r="D98" s="287"/>
      <c r="E98" s="112"/>
    </row>
    <row r="99" spans="1:5" ht="12.75">
      <c r="A99" s="109" t="s">
        <v>100</v>
      </c>
      <c r="B99" s="293">
        <f>+C45</f>
        <v>15237677</v>
      </c>
      <c r="C99" s="292"/>
      <c r="D99" s="292"/>
      <c r="E99" s="112"/>
    </row>
    <row r="100" spans="1:5" ht="12.75">
      <c r="A100" s="112"/>
      <c r="B100" s="288"/>
      <c r="C100" s="287"/>
      <c r="D100" s="287"/>
      <c r="E100" s="112"/>
    </row>
    <row r="101" spans="1:5" ht="12.75">
      <c r="A101" s="109" t="s">
        <v>101</v>
      </c>
      <c r="B101" s="292"/>
      <c r="C101" s="293">
        <f>+D45</f>
        <v>1659</v>
      </c>
      <c r="D101" s="292"/>
      <c r="E101" s="112"/>
    </row>
    <row r="102" spans="1:5" ht="12.75">
      <c r="A102" s="112"/>
      <c r="B102" s="287"/>
      <c r="C102" s="288"/>
      <c r="D102" s="287"/>
      <c r="E102" s="112"/>
    </row>
    <row r="103" spans="1:5" ht="12.75">
      <c r="A103" s="109" t="s">
        <v>159</v>
      </c>
      <c r="B103" s="403">
        <f>IF(ISERROR($B97/$B99),0,$B97/$B99)</f>
        <v>0.00013306401793571694</v>
      </c>
      <c r="C103" s="403"/>
      <c r="D103" s="294"/>
      <c r="E103" s="112"/>
    </row>
    <row r="104" spans="1:5" ht="12.75">
      <c r="A104" s="112"/>
      <c r="B104" s="404"/>
      <c r="C104" s="404"/>
      <c r="D104" s="289"/>
      <c r="E104" s="112"/>
    </row>
    <row r="105" spans="1:5" ht="12.75">
      <c r="A105" s="109" t="s">
        <v>160</v>
      </c>
      <c r="B105" s="405"/>
      <c r="C105" s="406">
        <f>IF(ISERROR($C97/$C101/12),0,$C97/$C101/12)</f>
        <v>0.19251005314618294</v>
      </c>
      <c r="D105" s="295"/>
      <c r="E105" s="112"/>
    </row>
    <row r="106" spans="1:4" ht="15">
      <c r="A106" s="132"/>
      <c r="B106" s="56"/>
      <c r="C106" s="56"/>
      <c r="D106" s="56"/>
    </row>
    <row r="107" spans="2:4" ht="12.75">
      <c r="B107" s="56"/>
      <c r="C107" s="56"/>
      <c r="D107" s="56"/>
    </row>
    <row r="108" spans="1:4" ht="39" thickBot="1">
      <c r="A108" s="132"/>
      <c r="B108" s="283" t="s">
        <v>104</v>
      </c>
      <c r="C108" s="283" t="s">
        <v>188</v>
      </c>
      <c r="D108" s="283" t="s">
        <v>103</v>
      </c>
    </row>
    <row r="109" spans="1:3" ht="15">
      <c r="A109" s="481" t="s">
        <v>212</v>
      </c>
      <c r="B109" s="30"/>
      <c r="C109" s="30"/>
    </row>
    <row r="110" spans="1:4" ht="12.75">
      <c r="A110" s="109" t="s">
        <v>99</v>
      </c>
      <c r="B110" s="290"/>
      <c r="C110" s="290"/>
      <c r="D110" s="407">
        <f>+G46</f>
        <v>10564.810680443354</v>
      </c>
    </row>
    <row r="111" spans="1:4" ht="12.75">
      <c r="A111" s="112"/>
      <c r="B111" s="284"/>
      <c r="C111" s="284"/>
      <c r="D111" s="285"/>
    </row>
    <row r="112" spans="1:4" ht="12.75">
      <c r="A112" s="109" t="s">
        <v>102</v>
      </c>
      <c r="B112" s="479">
        <f>+B95</f>
        <v>0.346</v>
      </c>
      <c r="C112" s="479">
        <f>+C95</f>
        <v>0.654</v>
      </c>
      <c r="D112" s="291">
        <f>B112+C112</f>
        <v>1</v>
      </c>
    </row>
    <row r="113" spans="1:4" ht="12.75">
      <c r="A113" s="112"/>
      <c r="B113" s="286"/>
      <c r="C113" s="286"/>
      <c r="D113" s="286"/>
    </row>
    <row r="114" spans="1:4" ht="12.75">
      <c r="A114" s="109" t="s">
        <v>105</v>
      </c>
      <c r="B114" s="402">
        <f>$B112*$D110</f>
        <v>3655.4244954334</v>
      </c>
      <c r="C114" s="402">
        <f>C112*D110</f>
        <v>6909.386185009954</v>
      </c>
      <c r="D114" s="402">
        <f>SUM(B114:C114)</f>
        <v>10564.810680443354</v>
      </c>
    </row>
    <row r="115" spans="1:4" ht="12.75">
      <c r="A115" s="112"/>
      <c r="B115" s="287"/>
      <c r="C115" s="287"/>
      <c r="D115" s="287"/>
    </row>
    <row r="116" spans="1:4" ht="12.75">
      <c r="A116" s="109" t="s">
        <v>100</v>
      </c>
      <c r="B116" s="293">
        <f>+C46</f>
        <v>3577559</v>
      </c>
      <c r="C116" s="292"/>
      <c r="D116" s="292"/>
    </row>
    <row r="117" spans="1:4" ht="12.75">
      <c r="A117" s="112"/>
      <c r="B117" s="288"/>
      <c r="C117" s="287"/>
      <c r="D117" s="287"/>
    </row>
    <row r="118" spans="1:4" ht="12.75">
      <c r="A118" s="109" t="s">
        <v>101</v>
      </c>
      <c r="B118" s="292"/>
      <c r="C118" s="293">
        <f>+D46</f>
        <v>379</v>
      </c>
      <c r="D118" s="292"/>
    </row>
    <row r="119" spans="1:4" ht="12.75">
      <c r="A119" s="112"/>
      <c r="B119" s="287"/>
      <c r="C119" s="288"/>
      <c r="D119" s="287"/>
    </row>
    <row r="120" spans="1:4" ht="12.75">
      <c r="A120" s="109" t="s">
        <v>159</v>
      </c>
      <c r="B120" s="403">
        <f>IF(ISERROR($B114/$B116),0,$B114/$B116)</f>
        <v>0.0010217649787001137</v>
      </c>
      <c r="C120" s="403"/>
      <c r="D120" s="294"/>
    </row>
    <row r="121" spans="1:4" ht="12.75">
      <c r="A121" s="112"/>
      <c r="B121" s="404"/>
      <c r="C121" s="404"/>
      <c r="D121" s="289"/>
    </row>
    <row r="122" spans="1:4" ht="12.75">
      <c r="A122" s="109" t="s">
        <v>160</v>
      </c>
      <c r="B122" s="405"/>
      <c r="C122" s="406">
        <f>IF(ISERROR($C114/$C118/12),0,$C114/$C118/12)</f>
        <v>1.5192142007497698</v>
      </c>
      <c r="D122" s="295"/>
    </row>
    <row r="123" spans="2:4" ht="12.75">
      <c r="B123" s="56"/>
      <c r="C123" s="56"/>
      <c r="D123" s="56"/>
    </row>
    <row r="124" spans="2:4" ht="12.75">
      <c r="B124" s="56"/>
      <c r="C124" s="56"/>
      <c r="D124" s="56"/>
    </row>
    <row r="125" spans="1:4" ht="39" thickBot="1">
      <c r="A125" s="132"/>
      <c r="B125" s="283" t="s">
        <v>104</v>
      </c>
      <c r="C125" s="283" t="s">
        <v>188</v>
      </c>
      <c r="D125" s="283" t="s">
        <v>103</v>
      </c>
    </row>
    <row r="126" spans="1:3" ht="15">
      <c r="A126" s="481" t="s">
        <v>213</v>
      </c>
      <c r="B126" s="30"/>
      <c r="C126" s="30"/>
    </row>
    <row r="127" spans="1:4" ht="12.75">
      <c r="A127" s="109" t="s">
        <v>99</v>
      </c>
      <c r="B127" s="290"/>
      <c r="C127" s="290"/>
      <c r="D127" s="407">
        <f>+G47</f>
        <v>359630.2635745795</v>
      </c>
    </row>
    <row r="128" spans="1:4" ht="12.75">
      <c r="A128" s="112"/>
      <c r="B128" s="284"/>
      <c r="C128" s="284"/>
      <c r="D128" s="285"/>
    </row>
    <row r="129" spans="1:4" ht="12.75">
      <c r="A129" s="109" t="s">
        <v>102</v>
      </c>
      <c r="B129" s="479">
        <f>+B112</f>
        <v>0.346</v>
      </c>
      <c r="C129" s="479">
        <f>+C112</f>
        <v>0.654</v>
      </c>
      <c r="D129" s="291">
        <f>B129+C129</f>
        <v>1</v>
      </c>
    </row>
    <row r="130" spans="1:4" ht="12.75">
      <c r="A130" s="112"/>
      <c r="B130" s="286"/>
      <c r="C130" s="286"/>
      <c r="D130" s="286"/>
    </row>
    <row r="131" spans="1:4" ht="12.75">
      <c r="A131" s="109" t="s">
        <v>105</v>
      </c>
      <c r="B131" s="402">
        <f>$B129*$D127</f>
        <v>124432.07119680449</v>
      </c>
      <c r="C131" s="402">
        <f>C129*D127</f>
        <v>235198.192377775</v>
      </c>
      <c r="D131" s="402">
        <f>SUM(B131:C131)</f>
        <v>359630.2635745795</v>
      </c>
    </row>
    <row r="132" spans="1:4" ht="12.75">
      <c r="A132" s="112"/>
      <c r="B132" s="287"/>
      <c r="C132" s="287"/>
      <c r="D132" s="287"/>
    </row>
    <row r="133" spans="1:4" ht="12.75">
      <c r="A133" s="109" t="s">
        <v>100</v>
      </c>
      <c r="B133" s="293">
        <f>+C47</f>
        <v>133527329</v>
      </c>
      <c r="C133" s="292"/>
      <c r="D133" s="292"/>
    </row>
    <row r="134" spans="1:4" ht="12.75">
      <c r="A134" s="112"/>
      <c r="B134" s="288"/>
      <c r="C134" s="287"/>
      <c r="D134" s="287"/>
    </row>
    <row r="135" spans="1:4" ht="12.75">
      <c r="A135" s="109" t="s">
        <v>101</v>
      </c>
      <c r="B135" s="292"/>
      <c r="C135" s="293">
        <f>+D47</f>
        <v>15689</v>
      </c>
      <c r="D135" s="292"/>
    </row>
    <row r="136" spans="1:4" ht="12.75">
      <c r="A136" s="112"/>
      <c r="B136" s="287"/>
      <c r="C136" s="288"/>
      <c r="D136" s="287"/>
    </row>
    <row r="137" spans="1:4" ht="12.75">
      <c r="A137" s="109" t="s">
        <v>159</v>
      </c>
      <c r="B137" s="403">
        <f>IF(ISERROR($B131/$B133),0,$B131/$B133)</f>
        <v>0.0009318846720644318</v>
      </c>
      <c r="C137" s="403"/>
      <c r="D137" s="294"/>
    </row>
    <row r="138" spans="1:4" ht="12.75">
      <c r="A138" s="112"/>
      <c r="B138" s="404"/>
      <c r="C138" s="404"/>
      <c r="D138" s="289"/>
    </row>
    <row r="139" spans="1:4" ht="12.75">
      <c r="A139" s="109" t="s">
        <v>160</v>
      </c>
      <c r="B139" s="405"/>
      <c r="C139" s="406">
        <f>IF(ISERROR($C131/$C135/12),0,$C131/$C135/12)</f>
        <v>1.2492733357648407</v>
      </c>
      <c r="D139" s="295"/>
    </row>
    <row r="140" spans="2:4" ht="12.75">
      <c r="B140" s="56"/>
      <c r="C140" s="56"/>
      <c r="D140" s="56"/>
    </row>
    <row r="141" spans="2:4" ht="12.75">
      <c r="B141" s="56"/>
      <c r="C141" s="56"/>
      <c r="D141" s="56"/>
    </row>
    <row r="142" spans="1:4" ht="39" thickBot="1">
      <c r="A142" s="132"/>
      <c r="B142" s="283" t="s">
        <v>104</v>
      </c>
      <c r="C142" s="283" t="s">
        <v>188</v>
      </c>
      <c r="D142" s="283" t="s">
        <v>103</v>
      </c>
    </row>
    <row r="143" spans="1:3" ht="15">
      <c r="A143" s="481" t="s">
        <v>214</v>
      </c>
      <c r="B143" s="30"/>
      <c r="C143" s="30"/>
    </row>
    <row r="144" spans="1:4" ht="12.75">
      <c r="A144" s="109" t="s">
        <v>99</v>
      </c>
      <c r="B144" s="290"/>
      <c r="C144" s="290"/>
      <c r="D144" s="407">
        <f>+G48</f>
        <v>23555.038796987843</v>
      </c>
    </row>
    <row r="145" spans="1:4" ht="12.75">
      <c r="A145" s="112"/>
      <c r="B145" s="284"/>
      <c r="C145" s="284"/>
      <c r="D145" s="285"/>
    </row>
    <row r="146" spans="1:4" ht="12.75">
      <c r="A146" s="109" t="s">
        <v>102</v>
      </c>
      <c r="B146" s="479">
        <f>+B129</f>
        <v>0.346</v>
      </c>
      <c r="C146" s="479">
        <f>+C129</f>
        <v>0.654</v>
      </c>
      <c r="D146" s="291">
        <f>B146+C146</f>
        <v>1</v>
      </c>
    </row>
    <row r="147" spans="1:4" ht="12.75">
      <c r="A147" s="112"/>
      <c r="B147" s="286"/>
      <c r="C147" s="286"/>
      <c r="D147" s="286"/>
    </row>
    <row r="148" spans="1:4" ht="12.75">
      <c r="A148" s="109" t="s">
        <v>105</v>
      </c>
      <c r="B148" s="402">
        <f>$B146*$D144</f>
        <v>8150.043423757793</v>
      </c>
      <c r="C148" s="402">
        <f>C146*D144</f>
        <v>15404.99537323005</v>
      </c>
      <c r="D148" s="402">
        <f>SUM(B148:C148)</f>
        <v>23555.038796987843</v>
      </c>
    </row>
    <row r="149" spans="1:4" ht="12.75">
      <c r="A149" s="112"/>
      <c r="B149" s="287"/>
      <c r="C149" s="287"/>
      <c r="D149" s="287"/>
    </row>
    <row r="150" spans="1:4" ht="12.75">
      <c r="A150" s="109" t="s">
        <v>100</v>
      </c>
      <c r="B150" s="293">
        <f>+C48</f>
        <v>9396371</v>
      </c>
      <c r="C150" s="292"/>
      <c r="D150" s="292"/>
    </row>
    <row r="151" spans="1:4" ht="12.75">
      <c r="A151" s="112"/>
      <c r="B151" s="288"/>
      <c r="C151" s="287"/>
      <c r="D151" s="287"/>
    </row>
    <row r="152" spans="1:4" ht="12.75">
      <c r="A152" s="109" t="s">
        <v>101</v>
      </c>
      <c r="B152" s="292"/>
      <c r="C152" s="293">
        <f>+D48</f>
        <v>1011</v>
      </c>
      <c r="D152" s="292"/>
    </row>
    <row r="153" spans="1:4" ht="12.75">
      <c r="A153" s="112"/>
      <c r="B153" s="287"/>
      <c r="C153" s="288"/>
      <c r="D153" s="287"/>
    </row>
    <row r="154" spans="1:4" ht="12.75">
      <c r="A154" s="109" t="s">
        <v>159</v>
      </c>
      <c r="B154" s="403">
        <f>IF(ISERROR($B148/$B150),0,$B148/$B150)</f>
        <v>0.0008673607527584632</v>
      </c>
      <c r="C154" s="403"/>
      <c r="D154" s="294"/>
    </row>
    <row r="155" spans="1:4" ht="12.75">
      <c r="A155" s="112"/>
      <c r="B155" s="404"/>
      <c r="C155" s="404"/>
      <c r="D155" s="289"/>
    </row>
    <row r="156" spans="1:4" ht="12.75">
      <c r="A156" s="109" t="s">
        <v>160</v>
      </c>
      <c r="B156" s="405"/>
      <c r="C156" s="406">
        <f>IF(ISERROR($C148/$C152/12),0,$C148/$C152/12)</f>
        <v>1.2697820123005317</v>
      </c>
      <c r="D156" s="295"/>
    </row>
    <row r="157" spans="2:4" ht="12.75">
      <c r="B157" s="56"/>
      <c r="C157" s="56"/>
      <c r="D157" s="56"/>
    </row>
    <row r="158" spans="2:4" ht="12.75">
      <c r="B158" s="56"/>
      <c r="C158" s="56"/>
      <c r="D158" s="56"/>
    </row>
    <row r="159" spans="1:4" ht="39" thickBot="1">
      <c r="A159" s="132"/>
      <c r="B159" s="283" t="s">
        <v>104</v>
      </c>
      <c r="C159" s="283" t="s">
        <v>188</v>
      </c>
      <c r="D159" s="283" t="s">
        <v>103</v>
      </c>
    </row>
    <row r="160" spans="1:3" ht="15">
      <c r="A160" s="481" t="s">
        <v>215</v>
      </c>
      <c r="B160" s="30"/>
      <c r="C160" s="30"/>
    </row>
    <row r="161" spans="1:4" ht="12.75">
      <c r="A161" s="109" t="s">
        <v>99</v>
      </c>
      <c r="B161" s="290"/>
      <c r="C161" s="290"/>
      <c r="D161" s="407">
        <f>+G49</f>
        <v>5985.837988228095</v>
      </c>
    </row>
    <row r="162" spans="1:4" ht="12.75">
      <c r="A162" s="112"/>
      <c r="B162" s="284"/>
      <c r="C162" s="284"/>
      <c r="D162" s="285"/>
    </row>
    <row r="163" spans="1:4" ht="12.75">
      <c r="A163" s="109" t="s">
        <v>102</v>
      </c>
      <c r="B163" s="479">
        <f>+B146</f>
        <v>0.346</v>
      </c>
      <c r="C163" s="479">
        <f>+C146</f>
        <v>0.654</v>
      </c>
      <c r="D163" s="291">
        <f>B163+C163</f>
        <v>1</v>
      </c>
    </row>
    <row r="164" spans="1:4" ht="12.75">
      <c r="A164" s="112"/>
      <c r="B164" s="286"/>
      <c r="C164" s="286"/>
      <c r="D164" s="286"/>
    </row>
    <row r="165" spans="1:4" ht="12.75">
      <c r="A165" s="109" t="s">
        <v>105</v>
      </c>
      <c r="B165" s="402">
        <f>$B163*$D161</f>
        <v>2071.099943926921</v>
      </c>
      <c r="C165" s="402">
        <f>C163*D161</f>
        <v>3914.7380443011743</v>
      </c>
      <c r="D165" s="402">
        <f>SUM(B165:C165)</f>
        <v>5985.837988228095</v>
      </c>
    </row>
    <row r="166" spans="1:4" ht="12.75">
      <c r="A166" s="112"/>
      <c r="B166" s="287"/>
      <c r="C166" s="287"/>
      <c r="D166" s="287"/>
    </row>
    <row r="167" spans="1:4" ht="12.75">
      <c r="A167" s="109" t="s">
        <v>100</v>
      </c>
      <c r="B167" s="293">
        <f>+C49</f>
        <v>2562356</v>
      </c>
      <c r="C167" s="292"/>
      <c r="D167" s="292"/>
    </row>
    <row r="168" spans="1:4" ht="12.75">
      <c r="A168" s="112"/>
      <c r="B168" s="288"/>
      <c r="C168" s="287"/>
      <c r="D168" s="287"/>
    </row>
    <row r="169" spans="1:4" ht="12.75">
      <c r="A169" s="109" t="s">
        <v>101</v>
      </c>
      <c r="B169" s="292"/>
      <c r="C169" s="293">
        <f>+D49</f>
        <v>346</v>
      </c>
      <c r="D169" s="292"/>
    </row>
    <row r="170" spans="1:4" ht="12.75">
      <c r="A170" s="112"/>
      <c r="B170" s="287"/>
      <c r="C170" s="288"/>
      <c r="D170" s="287"/>
    </row>
    <row r="171" spans="1:4" ht="12.75">
      <c r="A171" s="109" t="s">
        <v>159</v>
      </c>
      <c r="B171" s="403">
        <f>IF(ISERROR($B165/$B167),0,$B165/$B167)</f>
        <v>0.0008082795458269346</v>
      </c>
      <c r="C171" s="403"/>
      <c r="D171" s="294"/>
    </row>
    <row r="172" spans="1:4" ht="12.75">
      <c r="A172" s="112"/>
      <c r="B172" s="404"/>
      <c r="C172" s="404"/>
      <c r="D172" s="289"/>
    </row>
    <row r="173" spans="1:4" ht="12.75">
      <c r="A173" s="109" t="s">
        <v>160</v>
      </c>
      <c r="B173" s="405"/>
      <c r="C173" s="406">
        <f>IF(ISERROR($C165/$C169/12),0,$C165/$C169/12)</f>
        <v>0.9428559836948879</v>
      </c>
      <c r="D173" s="295"/>
    </row>
    <row r="174" spans="2:4" ht="12.75">
      <c r="B174" s="56"/>
      <c r="C174" s="56"/>
      <c r="D174" s="56"/>
    </row>
    <row r="175" spans="2:4" ht="12.75">
      <c r="B175" s="56"/>
      <c r="C175" s="56"/>
      <c r="D175" s="56"/>
    </row>
    <row r="176" spans="1:4" ht="39" thickBot="1">
      <c r="A176" s="132"/>
      <c r="B176" s="283" t="s">
        <v>104</v>
      </c>
      <c r="C176" s="283" t="s">
        <v>188</v>
      </c>
      <c r="D176" s="283" t="s">
        <v>103</v>
      </c>
    </row>
    <row r="177" spans="1:3" ht="15">
      <c r="A177" s="481" t="s">
        <v>216</v>
      </c>
      <c r="B177" s="30"/>
      <c r="C177" s="30"/>
    </row>
    <row r="178" spans="1:4" ht="12.75">
      <c r="A178" s="109" t="s">
        <v>99</v>
      </c>
      <c r="B178" s="290"/>
      <c r="C178" s="290"/>
      <c r="D178" s="407">
        <f>+G50</f>
        <v>8606.915981685523</v>
      </c>
    </row>
    <row r="179" spans="1:4" ht="12.75">
      <c r="A179" s="112"/>
      <c r="B179" s="284"/>
      <c r="C179" s="284"/>
      <c r="D179" s="285"/>
    </row>
    <row r="180" spans="1:4" ht="12.75">
      <c r="A180" s="109" t="s">
        <v>102</v>
      </c>
      <c r="B180" s="479">
        <f>+B163</f>
        <v>0.346</v>
      </c>
      <c r="C180" s="479">
        <f>+C163</f>
        <v>0.654</v>
      </c>
      <c r="D180" s="291">
        <f>B180+C180</f>
        <v>1</v>
      </c>
    </row>
    <row r="181" spans="1:4" ht="12.75">
      <c r="A181" s="112"/>
      <c r="B181" s="286"/>
      <c r="C181" s="286"/>
      <c r="D181" s="286"/>
    </row>
    <row r="182" spans="1:4" ht="12.75">
      <c r="A182" s="109" t="s">
        <v>105</v>
      </c>
      <c r="B182" s="402">
        <f>$B180*$D178</f>
        <v>2977.992929663191</v>
      </c>
      <c r="C182" s="402">
        <f>C180*D178</f>
        <v>5628.923052022332</v>
      </c>
      <c r="D182" s="402">
        <f>SUM(B182:C182)</f>
        <v>8606.915981685523</v>
      </c>
    </row>
    <row r="183" spans="1:4" ht="12.75">
      <c r="A183" s="112"/>
      <c r="B183" s="287"/>
      <c r="C183" s="287"/>
      <c r="D183" s="287"/>
    </row>
    <row r="184" spans="1:4" ht="12.75">
      <c r="A184" s="109" t="s">
        <v>100</v>
      </c>
      <c r="B184" s="293">
        <f>+C50</f>
        <v>2762675</v>
      </c>
      <c r="C184" s="292"/>
      <c r="D184" s="292"/>
    </row>
    <row r="185" spans="1:4" ht="12.75">
      <c r="A185" s="112"/>
      <c r="B185" s="288"/>
      <c r="C185" s="287"/>
      <c r="D185" s="287"/>
    </row>
    <row r="186" spans="1:4" ht="12.75">
      <c r="A186" s="109" t="s">
        <v>101</v>
      </c>
      <c r="B186" s="292"/>
      <c r="C186" s="293">
        <f>+D50</f>
        <v>268</v>
      </c>
      <c r="D186" s="292"/>
    </row>
    <row r="187" spans="1:4" ht="12.75">
      <c r="A187" s="112"/>
      <c r="B187" s="287"/>
      <c r="C187" s="288"/>
      <c r="D187" s="287"/>
    </row>
    <row r="188" spans="1:4" ht="12.75">
      <c r="A188" s="109" t="s">
        <v>159</v>
      </c>
      <c r="B188" s="403">
        <f>IF(ISERROR($B182/$B184),0,$B182/$B184)</f>
        <v>0.00107793820469769</v>
      </c>
      <c r="C188" s="403"/>
      <c r="D188" s="294"/>
    </row>
    <row r="189" spans="1:4" ht="12.75">
      <c r="A189" s="112"/>
      <c r="B189" s="404"/>
      <c r="C189" s="404"/>
      <c r="D189" s="289"/>
    </row>
    <row r="190" spans="1:4" ht="12.75">
      <c r="A190" s="109" t="s">
        <v>160</v>
      </c>
      <c r="B190" s="405"/>
      <c r="C190" s="406">
        <f>IF(ISERROR($C182/$C186/12),0,$C182/$C186/12)</f>
        <v>1.7502870186636603</v>
      </c>
      <c r="D190" s="295"/>
    </row>
    <row r="191" spans="2:4" ht="12.75">
      <c r="B191" s="56"/>
      <c r="C191" s="56"/>
      <c r="D191" s="56"/>
    </row>
    <row r="192" spans="2:4" ht="12.75">
      <c r="B192" s="56"/>
      <c r="C192" s="56"/>
      <c r="D192" s="56"/>
    </row>
    <row r="193" spans="1:4" ht="39" thickBot="1">
      <c r="A193" s="132"/>
      <c r="B193" s="283" t="s">
        <v>104</v>
      </c>
      <c r="C193" s="283" t="s">
        <v>188</v>
      </c>
      <c r="D193" s="283" t="s">
        <v>103</v>
      </c>
    </row>
    <row r="194" spans="1:3" ht="15">
      <c r="A194" s="481" t="s">
        <v>217</v>
      </c>
      <c r="B194" s="30"/>
      <c r="C194" s="30"/>
    </row>
    <row r="195" spans="1:4" ht="12.75">
      <c r="A195" s="109" t="s">
        <v>99</v>
      </c>
      <c r="B195" s="290"/>
      <c r="C195" s="290"/>
      <c r="D195" s="407">
        <f>+G51</f>
        <v>33425.44070578894</v>
      </c>
    </row>
    <row r="196" spans="1:4" ht="12.75">
      <c r="A196" s="112"/>
      <c r="B196" s="284"/>
      <c r="C196" s="284"/>
      <c r="D196" s="285"/>
    </row>
    <row r="197" spans="1:4" ht="12.75">
      <c r="A197" s="109" t="s">
        <v>102</v>
      </c>
      <c r="B197" s="479">
        <f>+B180</f>
        <v>0.346</v>
      </c>
      <c r="C197" s="479">
        <f>+C180</f>
        <v>0.654</v>
      </c>
      <c r="D197" s="291">
        <f>B197+C197</f>
        <v>1</v>
      </c>
    </row>
    <row r="198" spans="1:4" ht="12.75">
      <c r="A198" s="112"/>
      <c r="B198" s="286"/>
      <c r="C198" s="286"/>
      <c r="D198" s="286"/>
    </row>
    <row r="199" spans="1:4" ht="12.75">
      <c r="A199" s="109" t="s">
        <v>105</v>
      </c>
      <c r="B199" s="402">
        <f>$B197*$D195</f>
        <v>11565.202484202973</v>
      </c>
      <c r="C199" s="402">
        <f>C197*D195</f>
        <v>21860.23822158597</v>
      </c>
      <c r="D199" s="402">
        <f>SUM(B199:C199)</f>
        <v>33425.44070578894</v>
      </c>
    </row>
    <row r="200" spans="1:4" ht="12.75">
      <c r="A200" s="112"/>
      <c r="B200" s="287"/>
      <c r="C200" s="287"/>
      <c r="D200" s="287"/>
    </row>
    <row r="201" spans="1:4" ht="12.75">
      <c r="A201" s="109" t="s">
        <v>100</v>
      </c>
      <c r="B201" s="293">
        <f>+C51</f>
        <v>10601323</v>
      </c>
      <c r="C201" s="292"/>
      <c r="D201" s="292"/>
    </row>
    <row r="202" spans="1:4" ht="12.75">
      <c r="A202" s="112"/>
      <c r="B202" s="288"/>
      <c r="C202" s="287"/>
      <c r="D202" s="287"/>
    </row>
    <row r="203" spans="1:4" ht="12.75">
      <c r="A203" s="109" t="s">
        <v>101</v>
      </c>
      <c r="B203" s="292"/>
      <c r="C203" s="293">
        <f>+D51</f>
        <v>1338</v>
      </c>
      <c r="D203" s="292"/>
    </row>
    <row r="204" spans="1:4" ht="12.75">
      <c r="A204" s="112"/>
      <c r="B204" s="287"/>
      <c r="C204" s="288"/>
      <c r="D204" s="287"/>
    </row>
    <row r="205" spans="1:4" ht="12.75">
      <c r="A205" s="109" t="s">
        <v>159</v>
      </c>
      <c r="B205" s="403">
        <f>IF(ISERROR($B199/$B201),0,$B199/$B201)</f>
        <v>0.0010909206788815861</v>
      </c>
      <c r="C205" s="403"/>
      <c r="D205" s="294"/>
    </row>
    <row r="206" spans="1:4" ht="12.75">
      <c r="A206" s="112"/>
      <c r="B206" s="404"/>
      <c r="C206" s="404"/>
      <c r="D206" s="289"/>
    </row>
    <row r="207" spans="1:4" ht="12.75">
      <c r="A207" s="109" t="s">
        <v>160</v>
      </c>
      <c r="B207" s="405"/>
      <c r="C207" s="406">
        <f>IF(ISERROR($C199/$C203/12),0,$C199/$C203/12)</f>
        <v>1.3614996401087425</v>
      </c>
      <c r="D207" s="295"/>
    </row>
    <row r="208" spans="2:4" ht="12.75">
      <c r="B208" s="56"/>
      <c r="C208" s="56"/>
      <c r="D208" s="56"/>
    </row>
    <row r="209" spans="2:4" ht="12.75">
      <c r="B209" s="56"/>
      <c r="C209" s="56"/>
      <c r="D209" s="56"/>
    </row>
    <row r="210" spans="1:4" ht="39" thickBot="1">
      <c r="A210" s="132"/>
      <c r="B210" s="283" t="s">
        <v>104</v>
      </c>
      <c r="C210" s="283" t="s">
        <v>188</v>
      </c>
      <c r="D210" s="283" t="s">
        <v>103</v>
      </c>
    </row>
    <row r="211" spans="1:4" ht="15">
      <c r="A211" s="481" t="s">
        <v>218</v>
      </c>
      <c r="B211" s="30"/>
      <c r="C211" s="30"/>
      <c r="D211" s="494"/>
    </row>
    <row r="212" spans="1:4" ht="12.75">
      <c r="A212" s="109" t="s">
        <v>99</v>
      </c>
      <c r="B212" s="290"/>
      <c r="C212" s="290"/>
      <c r="D212" s="407">
        <f>+G52</f>
        <v>4388.325399505722</v>
      </c>
    </row>
    <row r="213" spans="1:4" ht="12.75">
      <c r="A213" s="112"/>
      <c r="B213" s="284"/>
      <c r="C213" s="284"/>
      <c r="D213" s="285"/>
    </row>
    <row r="214" spans="1:4" ht="12.75">
      <c r="A214" s="109" t="s">
        <v>102</v>
      </c>
      <c r="B214" s="479">
        <f>+B197</f>
        <v>0.346</v>
      </c>
      <c r="C214" s="479">
        <f>+C197</f>
        <v>0.654</v>
      </c>
      <c r="D214" s="291">
        <f>B214+C214</f>
        <v>1</v>
      </c>
    </row>
    <row r="215" spans="1:4" ht="12.75">
      <c r="A215" s="112"/>
      <c r="B215" s="286"/>
      <c r="C215" s="286"/>
      <c r="D215" s="286"/>
    </row>
    <row r="216" spans="1:4" ht="12.75">
      <c r="A216" s="109" t="s">
        <v>105</v>
      </c>
      <c r="B216" s="402">
        <f>$B214*$D212</f>
        <v>1518.3605882289796</v>
      </c>
      <c r="C216" s="402">
        <f>C214*D212</f>
        <v>2869.9648112767422</v>
      </c>
      <c r="D216" s="402">
        <f>SUM(B216:C216)</f>
        <v>4388.325399505722</v>
      </c>
    </row>
    <row r="217" spans="1:4" ht="12.75">
      <c r="A217" s="112"/>
      <c r="B217" s="496"/>
      <c r="C217" s="287"/>
      <c r="D217" s="287"/>
    </row>
    <row r="218" spans="1:4" ht="12.75">
      <c r="A218" s="109" t="s">
        <v>100</v>
      </c>
      <c r="B218" s="293">
        <f>+C52</f>
        <v>3112918</v>
      </c>
      <c r="C218" s="292"/>
      <c r="D218" s="292"/>
    </row>
    <row r="219" spans="1:4" ht="12.75">
      <c r="A219" s="112"/>
      <c r="B219" s="288"/>
      <c r="C219" s="287"/>
      <c r="D219" s="287"/>
    </row>
    <row r="220" spans="1:4" ht="12.75">
      <c r="A220" s="109" t="s">
        <v>101</v>
      </c>
      <c r="B220" s="292"/>
      <c r="C220" s="293">
        <f>+D52</f>
        <v>364</v>
      </c>
      <c r="D220" s="292"/>
    </row>
    <row r="221" spans="1:4" ht="12.75">
      <c r="A221" s="112"/>
      <c r="B221" s="287"/>
      <c r="C221" s="288"/>
      <c r="D221" s="287"/>
    </row>
    <row r="222" spans="1:4" ht="12.75">
      <c r="A222" s="109" t="s">
        <v>159</v>
      </c>
      <c r="B222" s="403">
        <f>IF(ISERROR($B216/$B218),0,$B216/$B218)</f>
        <v>0.0004877611900567184</v>
      </c>
      <c r="C222" s="403"/>
      <c r="D222" s="294"/>
    </row>
    <row r="223" spans="1:4" ht="12.75">
      <c r="A223" s="112"/>
      <c r="B223" s="404"/>
      <c r="C223" s="404"/>
      <c r="D223" s="289"/>
    </row>
    <row r="224" spans="1:4" ht="12.75">
      <c r="A224" s="109" t="s">
        <v>160</v>
      </c>
      <c r="B224" s="405"/>
      <c r="C224" s="406">
        <f>IF(ISERROR($C216/$C220/12),0,$C216/$C220/12)</f>
        <v>0.6570432260248952</v>
      </c>
      <c r="D224" s="295"/>
    </row>
    <row r="225" spans="2:4" ht="12.75">
      <c r="B225" s="56"/>
      <c r="C225" s="56"/>
      <c r="D225" s="56"/>
    </row>
    <row r="226" spans="2:4" ht="12.75">
      <c r="B226" s="56"/>
      <c r="C226" s="56"/>
      <c r="D226" s="56"/>
    </row>
    <row r="227" spans="1:4" ht="39" thickBot="1">
      <c r="A227" s="132"/>
      <c r="B227" s="283" t="s">
        <v>104</v>
      </c>
      <c r="C227" s="283" t="s">
        <v>188</v>
      </c>
      <c r="D227" s="283" t="s">
        <v>103</v>
      </c>
    </row>
    <row r="228" spans="1:3" ht="15">
      <c r="A228" s="481" t="s">
        <v>219</v>
      </c>
      <c r="B228" s="30"/>
      <c r="C228" s="30"/>
    </row>
    <row r="229" spans="1:4" ht="12.75">
      <c r="A229" s="109" t="s">
        <v>99</v>
      </c>
      <c r="B229" s="290"/>
      <c r="C229" s="290"/>
      <c r="D229" s="407">
        <f>+G53</f>
        <v>35124.07800424305</v>
      </c>
    </row>
    <row r="230" spans="1:4" ht="12.75">
      <c r="A230" s="112"/>
      <c r="B230" s="284"/>
      <c r="C230" s="284"/>
      <c r="D230" s="285"/>
    </row>
    <row r="231" spans="1:4" ht="12.75">
      <c r="A231" s="109" t="s">
        <v>102</v>
      </c>
      <c r="B231" s="479">
        <f>+B214</f>
        <v>0.346</v>
      </c>
      <c r="C231" s="479">
        <f>+C214</f>
        <v>0.654</v>
      </c>
      <c r="D231" s="291">
        <f>B231+C231</f>
        <v>1</v>
      </c>
    </row>
    <row r="232" spans="1:4" ht="12.75">
      <c r="A232" s="112"/>
      <c r="B232" s="286"/>
      <c r="C232" s="286"/>
      <c r="D232" s="286"/>
    </row>
    <row r="233" spans="1:4" ht="12.75">
      <c r="A233" s="109" t="s">
        <v>105</v>
      </c>
      <c r="B233" s="402">
        <f>$B231*$D229</f>
        <v>12152.930989468094</v>
      </c>
      <c r="C233" s="402">
        <f>C231*D229</f>
        <v>22971.147014774953</v>
      </c>
      <c r="D233" s="402">
        <f>SUM(B233:C233)</f>
        <v>35124.07800424305</v>
      </c>
    </row>
    <row r="234" spans="1:4" ht="12.75">
      <c r="A234" s="112"/>
      <c r="B234" s="287"/>
      <c r="C234" s="287"/>
      <c r="D234" s="287"/>
    </row>
    <row r="235" spans="1:4" ht="12.75">
      <c r="A235" s="109" t="s">
        <v>100</v>
      </c>
      <c r="B235" s="293">
        <f>+C53</f>
        <v>16240546</v>
      </c>
      <c r="C235" s="292"/>
      <c r="D235" s="292"/>
    </row>
    <row r="236" spans="1:4" ht="12.75">
      <c r="A236" s="112"/>
      <c r="B236" s="288"/>
      <c r="C236" s="287"/>
      <c r="D236" s="287"/>
    </row>
    <row r="237" spans="1:4" ht="12.75">
      <c r="A237" s="109" t="s">
        <v>101</v>
      </c>
      <c r="B237" s="292"/>
      <c r="C237" s="293">
        <f>+D53</f>
        <v>1751</v>
      </c>
      <c r="D237" s="292"/>
    </row>
    <row r="238" spans="1:4" ht="12.75">
      <c r="A238" s="112"/>
      <c r="B238" s="287"/>
      <c r="C238" s="288"/>
      <c r="D238" s="287"/>
    </row>
    <row r="239" spans="1:4" ht="12.75">
      <c r="A239" s="109" t="s">
        <v>159</v>
      </c>
      <c r="B239" s="403">
        <f>IF(ISERROR($B233/$B235),0,$B233/$B235)</f>
        <v>0.0007483080303746003</v>
      </c>
      <c r="C239" s="403"/>
      <c r="D239" s="294"/>
    </row>
    <row r="240" spans="1:4" ht="12.75">
      <c r="A240" s="112"/>
      <c r="B240" s="404"/>
      <c r="C240" s="404"/>
      <c r="D240" s="289"/>
    </row>
    <row r="241" spans="1:4" ht="12.75">
      <c r="A241" s="109" t="s">
        <v>160</v>
      </c>
      <c r="B241" s="405"/>
      <c r="C241" s="406">
        <f>IF(ISERROR($C233/$C237/12),0,$C233/$C237/12)</f>
        <v>1.0932394353119623</v>
      </c>
      <c r="D241" s="295"/>
    </row>
    <row r="242" spans="2:4" ht="12.75">
      <c r="B242" s="56"/>
      <c r="C242" s="56"/>
      <c r="D242" s="56"/>
    </row>
    <row r="243" spans="2:4" ht="12.75">
      <c r="B243" s="56"/>
      <c r="C243" s="56"/>
      <c r="D243" s="56"/>
    </row>
    <row r="244" spans="1:4" ht="39" thickBot="1">
      <c r="A244" s="132"/>
      <c r="B244" s="283" t="s">
        <v>104</v>
      </c>
      <c r="C244" s="283" t="s">
        <v>188</v>
      </c>
      <c r="D244" s="283" t="s">
        <v>103</v>
      </c>
    </row>
    <row r="245" spans="1:3" ht="15">
      <c r="A245" s="481" t="s">
        <v>220</v>
      </c>
      <c r="B245" s="30"/>
      <c r="C245" s="30"/>
    </row>
    <row r="246" spans="1:4" ht="12.75">
      <c r="A246" s="109" t="s">
        <v>99</v>
      </c>
      <c r="B246" s="290"/>
      <c r="C246" s="290"/>
      <c r="D246" s="407">
        <f>+G54</f>
        <v>117934.32932844057</v>
      </c>
    </row>
    <row r="247" spans="1:4" ht="12.75">
      <c r="A247" s="112"/>
      <c r="B247" s="284"/>
      <c r="C247" s="284"/>
      <c r="D247" s="285"/>
    </row>
    <row r="248" spans="1:4" ht="12.75">
      <c r="A248" s="109" t="s">
        <v>102</v>
      </c>
      <c r="B248" s="479">
        <f>+B231</f>
        <v>0.346</v>
      </c>
      <c r="C248" s="479">
        <f>+C231</f>
        <v>0.654</v>
      </c>
      <c r="D248" s="291">
        <f>B248+C248</f>
        <v>1</v>
      </c>
    </row>
    <row r="249" spans="1:4" ht="12.75">
      <c r="A249" s="112"/>
      <c r="B249" s="286"/>
      <c r="C249" s="286"/>
      <c r="D249" s="286"/>
    </row>
    <row r="250" spans="1:4" ht="12.75">
      <c r="A250" s="109" t="s">
        <v>105</v>
      </c>
      <c r="B250" s="402">
        <f>$B248*$D246</f>
        <v>40805.27794764043</v>
      </c>
      <c r="C250" s="402">
        <f>C248*D246</f>
        <v>77129.05138080013</v>
      </c>
      <c r="D250" s="402">
        <f>SUM(B250:C250)</f>
        <v>117934.32932844057</v>
      </c>
    </row>
    <row r="251" spans="1:4" ht="12.75">
      <c r="A251" s="112"/>
      <c r="B251" s="287"/>
      <c r="C251" s="287"/>
      <c r="D251" s="287"/>
    </row>
    <row r="252" spans="1:4" ht="12.75">
      <c r="A252" s="109" t="s">
        <v>100</v>
      </c>
      <c r="B252" s="293">
        <f>+C54</f>
        <v>37655069</v>
      </c>
      <c r="C252" s="292"/>
      <c r="D252" s="292"/>
    </row>
    <row r="253" spans="1:4" ht="12.75">
      <c r="A253" s="112"/>
      <c r="B253" s="288"/>
      <c r="C253" s="287"/>
      <c r="D253" s="287"/>
    </row>
    <row r="254" spans="1:4" ht="12.75">
      <c r="A254" s="109" t="s">
        <v>101</v>
      </c>
      <c r="B254" s="292"/>
      <c r="C254" s="293">
        <f>+D54</f>
        <v>4365</v>
      </c>
      <c r="D254" s="292"/>
    </row>
    <row r="255" spans="1:4" ht="12.75">
      <c r="A255" s="112"/>
      <c r="B255" s="287"/>
      <c r="C255" s="288"/>
      <c r="D255" s="287"/>
    </row>
    <row r="256" spans="1:4" ht="12.75">
      <c r="A256" s="109" t="s">
        <v>159</v>
      </c>
      <c r="B256" s="403">
        <f>IF(ISERROR($B250/$B252),0,$B250/$B252)</f>
        <v>0.001083659624887168</v>
      </c>
      <c r="C256" s="403"/>
      <c r="D256" s="294"/>
    </row>
    <row r="257" spans="1:4" ht="12.75">
      <c r="A257" s="112"/>
      <c r="B257" s="404"/>
      <c r="C257" s="404"/>
      <c r="D257" s="289"/>
    </row>
    <row r="258" spans="1:4" ht="12.75">
      <c r="A258" s="109" t="s">
        <v>160</v>
      </c>
      <c r="B258" s="405"/>
      <c r="C258" s="406">
        <f>IF(ISERROR($C250/$C254/12),0,$C250/$C254/12)</f>
        <v>1.4724904807331065</v>
      </c>
      <c r="D258" s="295"/>
    </row>
    <row r="259" spans="2:4" ht="12.75">
      <c r="B259" s="56"/>
      <c r="C259" s="56"/>
      <c r="D259" s="56"/>
    </row>
    <row r="260" spans="2:4" ht="12.75">
      <c r="B260" s="56"/>
      <c r="C260" s="56"/>
      <c r="D260" s="56"/>
    </row>
    <row r="261" spans="1:4" ht="39" thickBot="1">
      <c r="A261" s="132"/>
      <c r="B261" s="283" t="s">
        <v>104</v>
      </c>
      <c r="C261" s="283" t="s">
        <v>188</v>
      </c>
      <c r="D261" s="283" t="s">
        <v>103</v>
      </c>
    </row>
    <row r="262" spans="1:3" ht="15">
      <c r="A262" s="481" t="s">
        <v>221</v>
      </c>
      <c r="B262" s="30"/>
      <c r="C262" s="30"/>
    </row>
    <row r="263" spans="1:4" ht="12.75">
      <c r="A263" s="109" t="s">
        <v>99</v>
      </c>
      <c r="B263" s="290"/>
      <c r="C263" s="290"/>
      <c r="D263" s="407">
        <f>+G55</f>
        <v>11149.357338255244</v>
      </c>
    </row>
    <row r="264" spans="1:4" ht="12.75">
      <c r="A264" s="112"/>
      <c r="B264" s="284"/>
      <c r="C264" s="284"/>
      <c r="D264" s="285"/>
    </row>
    <row r="265" spans="1:4" ht="12.75">
      <c r="A265" s="109" t="s">
        <v>102</v>
      </c>
      <c r="B265" s="479">
        <f>+B248</f>
        <v>0.346</v>
      </c>
      <c r="C265" s="479">
        <f>+C248</f>
        <v>0.654</v>
      </c>
      <c r="D265" s="291">
        <f>B265+C265</f>
        <v>1</v>
      </c>
    </row>
    <row r="266" spans="1:4" ht="12.75">
      <c r="A266" s="112"/>
      <c r="B266" s="286"/>
      <c r="C266" s="286"/>
      <c r="D266" s="286"/>
    </row>
    <row r="267" spans="1:4" ht="12.75">
      <c r="A267" s="109" t="s">
        <v>105</v>
      </c>
      <c r="B267" s="402">
        <f>$B265*$D263</f>
        <v>3857.6776390363143</v>
      </c>
      <c r="C267" s="402">
        <f>C265*D263</f>
        <v>7291.67969921893</v>
      </c>
      <c r="D267" s="402">
        <f>SUM(B267:C267)</f>
        <v>11149.357338255244</v>
      </c>
    </row>
    <row r="268" spans="1:4" ht="12.75">
      <c r="A268" s="112"/>
      <c r="B268" s="287"/>
      <c r="C268" s="287"/>
      <c r="D268" s="287"/>
    </row>
    <row r="269" spans="1:4" ht="12.75">
      <c r="A269" s="109" t="s">
        <v>100</v>
      </c>
      <c r="B269" s="293">
        <f>+C55</f>
        <v>5648238</v>
      </c>
      <c r="C269" s="292"/>
      <c r="D269" s="292"/>
    </row>
    <row r="270" spans="1:4" ht="12.75">
      <c r="A270" s="112"/>
      <c r="B270" s="288"/>
      <c r="C270" s="287"/>
      <c r="D270" s="287"/>
    </row>
    <row r="271" spans="1:4" ht="12.75">
      <c r="A271" s="109" t="s">
        <v>101</v>
      </c>
      <c r="B271" s="292"/>
      <c r="C271" s="293">
        <f>+D55</f>
        <v>600</v>
      </c>
      <c r="D271" s="292"/>
    </row>
    <row r="272" spans="1:4" ht="12.75">
      <c r="A272" s="112"/>
      <c r="B272" s="287"/>
      <c r="C272" s="288"/>
      <c r="D272" s="287"/>
    </row>
    <row r="273" spans="1:4" ht="12.75">
      <c r="A273" s="109" t="s">
        <v>159</v>
      </c>
      <c r="B273" s="403">
        <f>IF(ISERROR($B267/$B269),0,$B267/$B269)</f>
        <v>0.0006829877988562653</v>
      </c>
      <c r="C273" s="403"/>
      <c r="D273" s="294"/>
    </row>
    <row r="274" spans="1:4" ht="12.75">
      <c r="A274" s="112"/>
      <c r="B274" s="404"/>
      <c r="C274" s="404"/>
      <c r="D274" s="289"/>
    </row>
    <row r="275" spans="1:4" ht="12.75">
      <c r="A275" s="109" t="s">
        <v>160</v>
      </c>
      <c r="B275" s="405"/>
      <c r="C275" s="406">
        <f>IF(ISERROR($C267/$C271/12),0,$C267/$C271/12)</f>
        <v>1.0127332915581848</v>
      </c>
      <c r="D275" s="295"/>
    </row>
    <row r="276" spans="2:4" ht="12.75">
      <c r="B276" s="56"/>
      <c r="C276" s="56"/>
      <c r="D276" s="56"/>
    </row>
    <row r="277" spans="2:4" ht="12.75">
      <c r="B277" s="56"/>
      <c r="C277" s="56"/>
      <c r="D277" s="56"/>
    </row>
    <row r="278" ht="15.75">
      <c r="A278" s="54" t="s">
        <v>106</v>
      </c>
    </row>
    <row r="279" ht="15.75">
      <c r="A279" s="131"/>
    </row>
    <row r="280" ht="15">
      <c r="A280" s="132"/>
    </row>
    <row r="281" spans="1:7" ht="39" thickBot="1">
      <c r="A281" s="132"/>
      <c r="B281" s="283" t="s">
        <v>104</v>
      </c>
      <c r="C281" s="283" t="s">
        <v>188</v>
      </c>
      <c r="D281" s="283" t="s">
        <v>103</v>
      </c>
      <c r="E281" s="280"/>
      <c r="F281" s="280"/>
      <c r="G281" s="280"/>
    </row>
    <row r="282" spans="1:3" ht="15">
      <c r="A282" s="132"/>
      <c r="B282" s="30"/>
      <c r="C282" s="30"/>
    </row>
    <row r="283" spans="1:5" ht="12.75">
      <c r="A283" s="109" t="s">
        <v>99</v>
      </c>
      <c r="B283" s="290"/>
      <c r="C283" s="290"/>
      <c r="D283" s="407">
        <f>+G30</f>
        <v>231925.18926768054</v>
      </c>
      <c r="E283" s="112"/>
    </row>
    <row r="284" spans="1:5" ht="12.75">
      <c r="A284" s="112"/>
      <c r="B284" s="284"/>
      <c r="C284" s="284"/>
      <c r="D284" s="285"/>
      <c r="E284" s="112"/>
    </row>
    <row r="285" spans="1:5" ht="12.75">
      <c r="A285" s="109" t="s">
        <v>102</v>
      </c>
      <c r="B285" s="479">
        <v>0.346</v>
      </c>
      <c r="C285" s="479">
        <f>1-B285</f>
        <v>0.654</v>
      </c>
      <c r="D285" s="291">
        <f>B285+C285</f>
        <v>1</v>
      </c>
      <c r="E285" s="112"/>
    </row>
    <row r="286" spans="1:5" ht="12.75">
      <c r="A286" s="112"/>
      <c r="B286" s="286"/>
      <c r="C286" s="286"/>
      <c r="D286" s="286"/>
      <c r="E286" s="112"/>
    </row>
    <row r="287" spans="1:5" ht="12.75">
      <c r="A287" s="109" t="s">
        <v>105</v>
      </c>
      <c r="B287" s="402">
        <f>$B285*$D283</f>
        <v>80246.11548661746</v>
      </c>
      <c r="C287" s="402">
        <f>C285*D283</f>
        <v>151679.07378106308</v>
      </c>
      <c r="D287" s="402">
        <f>SUM(B287:C287)</f>
        <v>231925.18926768054</v>
      </c>
      <c r="E287" s="112"/>
    </row>
    <row r="288" spans="1:5" ht="12.75">
      <c r="A288" s="112"/>
      <c r="B288" s="287"/>
      <c r="C288" s="287"/>
      <c r="D288" s="287"/>
      <c r="E288" s="112"/>
    </row>
    <row r="289" spans="1:5" ht="12.75">
      <c r="A289" s="109" t="s">
        <v>100</v>
      </c>
      <c r="B289" s="293">
        <f>+C30</f>
        <v>114548638</v>
      </c>
      <c r="C289" s="292"/>
      <c r="D289" s="292"/>
      <c r="E289" s="112"/>
    </row>
    <row r="290" spans="1:5" ht="12.75">
      <c r="A290" s="112"/>
      <c r="B290" s="288"/>
      <c r="C290" s="287"/>
      <c r="D290" s="287"/>
      <c r="E290" s="112"/>
    </row>
    <row r="291" spans="1:5" ht="12.75">
      <c r="A291" s="109" t="s">
        <v>101</v>
      </c>
      <c r="B291" s="292"/>
      <c r="C291" s="293">
        <f>+D30</f>
        <v>3556</v>
      </c>
      <c r="D291" s="292"/>
      <c r="E291" s="112"/>
    </row>
    <row r="292" spans="1:5" ht="12.75">
      <c r="A292" s="112"/>
      <c r="B292" s="287"/>
      <c r="C292" s="288"/>
      <c r="D292" s="287"/>
      <c r="E292" s="112"/>
    </row>
    <row r="293" spans="1:5" ht="12.75">
      <c r="A293" s="109" t="s">
        <v>159</v>
      </c>
      <c r="B293" s="403">
        <f>IF(ISERROR($B287/$B289),0,$B287/$B289)</f>
        <v>0.0007005418561730735</v>
      </c>
      <c r="C293" s="403"/>
      <c r="D293" s="294"/>
      <c r="E293" s="112"/>
    </row>
    <row r="294" spans="1:5" ht="12.75">
      <c r="A294" s="112"/>
      <c r="B294" s="404"/>
      <c r="C294" s="404"/>
      <c r="D294" s="289"/>
      <c r="E294" s="112"/>
    </row>
    <row r="295" spans="1:5" ht="12.75">
      <c r="A295" s="109" t="s">
        <v>160</v>
      </c>
      <c r="B295" s="405"/>
      <c r="C295" s="406">
        <f>IF(ISERROR($C287/$C291/12),0,$C287/$C291/12)</f>
        <v>3.5545339749967915</v>
      </c>
      <c r="D295" s="295"/>
      <c r="E295" s="112"/>
    </row>
    <row r="296" spans="1:5" ht="12.75">
      <c r="A296" s="296"/>
      <c r="B296" s="297"/>
      <c r="C296" s="298"/>
      <c r="D296" s="297"/>
      <c r="E296" s="112"/>
    </row>
    <row r="297" spans="1:5" ht="12.75">
      <c r="A297" s="296"/>
      <c r="B297" s="297"/>
      <c r="C297" s="298"/>
      <c r="D297" s="297"/>
      <c r="E297" s="112"/>
    </row>
    <row r="298" ht="15.75">
      <c r="A298" s="54" t="s">
        <v>190</v>
      </c>
    </row>
    <row r="299" ht="15.75">
      <c r="A299" s="54"/>
    </row>
    <row r="300" ht="15">
      <c r="A300" s="132"/>
    </row>
    <row r="301" spans="1:7" ht="39" thickBot="1">
      <c r="A301" s="132"/>
      <c r="B301" s="283" t="s">
        <v>104</v>
      </c>
      <c r="C301" s="283" t="s">
        <v>188</v>
      </c>
      <c r="D301" s="283" t="s">
        <v>103</v>
      </c>
      <c r="E301" s="280"/>
      <c r="F301" s="280"/>
      <c r="G301" s="280"/>
    </row>
    <row r="302" spans="1:3" ht="12.75">
      <c r="A302" s="296"/>
      <c r="B302" s="30"/>
      <c r="C302" s="30"/>
    </row>
    <row r="303" spans="1:5" ht="12.75">
      <c r="A303" s="109" t="s">
        <v>99</v>
      </c>
      <c r="B303" s="290"/>
      <c r="C303" s="290"/>
      <c r="D303" s="407">
        <f>+G31</f>
        <v>118267.69479002104</v>
      </c>
      <c r="E303" s="112"/>
    </row>
    <row r="304" spans="1:5" ht="12.75">
      <c r="A304" s="112"/>
      <c r="B304" s="284"/>
      <c r="C304" s="284"/>
      <c r="D304" s="285"/>
      <c r="E304" s="112"/>
    </row>
    <row r="305" spans="1:5" ht="12.75">
      <c r="A305" s="109" t="s">
        <v>102</v>
      </c>
      <c r="B305" s="479">
        <v>0.346</v>
      </c>
      <c r="C305" s="479">
        <f>1-B305</f>
        <v>0.654</v>
      </c>
      <c r="D305" s="291">
        <f>B305+C305</f>
        <v>1</v>
      </c>
      <c r="E305" s="112"/>
    </row>
    <row r="306" spans="1:5" ht="12.75">
      <c r="A306" s="112"/>
      <c r="B306" s="286"/>
      <c r="C306" s="286"/>
      <c r="D306" s="286"/>
      <c r="E306" s="112"/>
    </row>
    <row r="307" spans="1:5" ht="12.75">
      <c r="A307" s="109" t="s">
        <v>105</v>
      </c>
      <c r="B307" s="402">
        <f>$B305*$D303</f>
        <v>40920.62239734727</v>
      </c>
      <c r="C307" s="402">
        <f>C305*D303</f>
        <v>77347.07239267376</v>
      </c>
      <c r="D307" s="402">
        <f>SUM(B307:C307)</f>
        <v>118267.69479002102</v>
      </c>
      <c r="E307" s="112"/>
    </row>
    <row r="308" spans="1:5" ht="12.75">
      <c r="A308" s="112"/>
      <c r="B308" s="287"/>
      <c r="C308" s="287"/>
      <c r="D308" s="287"/>
      <c r="E308" s="112"/>
    </row>
    <row r="309" spans="1:5" ht="12.75">
      <c r="A309" s="109" t="s">
        <v>151</v>
      </c>
      <c r="B309" s="293">
        <f>+B31</f>
        <v>1094813</v>
      </c>
      <c r="C309" s="292"/>
      <c r="D309" s="292"/>
      <c r="E309" s="112"/>
    </row>
    <row r="310" spans="1:5" ht="12.75">
      <c r="A310" s="112"/>
      <c r="B310" s="288"/>
      <c r="C310" s="287"/>
      <c r="D310" s="287"/>
      <c r="E310" s="112"/>
    </row>
    <row r="311" spans="1:5" ht="12.75">
      <c r="A311" s="109" t="s">
        <v>101</v>
      </c>
      <c r="B311" s="292"/>
      <c r="C311" s="293">
        <f>+D31</f>
        <v>448</v>
      </c>
      <c r="D311" s="292"/>
      <c r="E311" s="112"/>
    </row>
    <row r="312" spans="1:5" ht="12.75">
      <c r="A312" s="112"/>
      <c r="B312" s="287"/>
      <c r="C312" s="288"/>
      <c r="D312" s="287"/>
      <c r="E312" s="112"/>
    </row>
    <row r="313" spans="1:6" ht="12.75">
      <c r="A313" s="109" t="s">
        <v>203</v>
      </c>
      <c r="B313" s="403">
        <f>IF(ISERROR($B307/$B309),0,$B307/$B309)</f>
        <v>0.03737681448553066</v>
      </c>
      <c r="C313" s="403"/>
      <c r="D313" s="294"/>
      <c r="E313" s="112"/>
      <c r="F313" s="381"/>
    </row>
    <row r="314" spans="1:5" ht="12.75">
      <c r="A314" s="112"/>
      <c r="B314" s="404"/>
      <c r="C314" s="404"/>
      <c r="D314" s="289"/>
      <c r="E314" s="112"/>
    </row>
    <row r="315" spans="1:5" ht="12.75">
      <c r="A315" s="109" t="s">
        <v>160</v>
      </c>
      <c r="B315" s="405"/>
      <c r="C315" s="406">
        <f>IF(ISERROR($C307/$C311/12),0,$C307/$C311/12)</f>
        <v>14.387476263518183</v>
      </c>
      <c r="D315" s="295"/>
      <c r="E315" s="112"/>
    </row>
    <row r="316" spans="1:5" ht="12.75">
      <c r="A316" s="296"/>
      <c r="B316" s="297"/>
      <c r="C316" s="298"/>
      <c r="D316" s="297"/>
      <c r="E316" s="112"/>
    </row>
    <row r="317" spans="1:5" ht="12.75">
      <c r="A317" s="296"/>
      <c r="B317" s="297"/>
      <c r="C317" s="298"/>
      <c r="D317" s="297"/>
      <c r="E317" s="112"/>
    </row>
    <row r="318" ht="15.75">
      <c r="A318" s="54" t="s">
        <v>189</v>
      </c>
    </row>
    <row r="319" ht="15.75">
      <c r="A319" s="54"/>
    </row>
    <row r="320" ht="15">
      <c r="A320" s="132"/>
    </row>
    <row r="321" spans="1:7" ht="39" thickBot="1">
      <c r="A321" s="132"/>
      <c r="B321" s="283" t="s">
        <v>104</v>
      </c>
      <c r="C321" s="283" t="s">
        <v>188</v>
      </c>
      <c r="D321" s="283" t="s">
        <v>103</v>
      </c>
      <c r="E321" s="280"/>
      <c r="F321" s="280"/>
      <c r="G321" s="280"/>
    </row>
    <row r="322" spans="1:3" ht="15">
      <c r="A322" s="481" t="s">
        <v>211</v>
      </c>
      <c r="B322" s="30"/>
      <c r="C322" s="30"/>
    </row>
    <row r="323" spans="1:5" ht="12.75">
      <c r="A323" s="109" t="s">
        <v>99</v>
      </c>
      <c r="B323" s="290"/>
      <c r="C323" s="290"/>
      <c r="D323" s="407">
        <f>+G61</f>
        <v>9175.997402923796</v>
      </c>
      <c r="E323" s="112"/>
    </row>
    <row r="324" spans="1:5" ht="12.75">
      <c r="A324" s="112"/>
      <c r="B324" s="284"/>
      <c r="C324" s="284"/>
      <c r="D324" s="285"/>
      <c r="E324" s="112"/>
    </row>
    <row r="325" spans="1:5" ht="12.75">
      <c r="A325" s="109" t="s">
        <v>102</v>
      </c>
      <c r="B325" s="479">
        <v>0.346</v>
      </c>
      <c r="C325" s="479">
        <f>1-B325</f>
        <v>0.654</v>
      </c>
      <c r="D325" s="291">
        <f>B325+C325</f>
        <v>1</v>
      </c>
      <c r="E325" s="112"/>
    </row>
    <row r="326" spans="1:5" ht="12.75">
      <c r="A326" s="112"/>
      <c r="B326" s="286"/>
      <c r="C326" s="286"/>
      <c r="D326" s="286"/>
      <c r="E326" s="112"/>
    </row>
    <row r="327" spans="1:5" ht="12.75">
      <c r="A327" s="109" t="s">
        <v>105</v>
      </c>
      <c r="B327" s="402">
        <f>$B325*$D323</f>
        <v>3174.8951014116333</v>
      </c>
      <c r="C327" s="402">
        <f>C325*D323</f>
        <v>6001.102301512163</v>
      </c>
      <c r="D327" s="402">
        <f>SUM(B327:C327)</f>
        <v>9175.997402923796</v>
      </c>
      <c r="E327" s="112"/>
    </row>
    <row r="328" spans="1:5" ht="12.75">
      <c r="A328" s="112"/>
      <c r="B328" s="287"/>
      <c r="C328" s="287"/>
      <c r="D328" s="287"/>
      <c r="E328" s="112"/>
    </row>
    <row r="329" spans="1:5" ht="12.75">
      <c r="A329" s="109" t="s">
        <v>151</v>
      </c>
      <c r="B329" s="293">
        <f>+B61</f>
        <v>41753</v>
      </c>
      <c r="C329" s="292"/>
      <c r="D329" s="292"/>
      <c r="E329" s="112"/>
    </row>
    <row r="330" spans="1:5" ht="12.75">
      <c r="A330" s="112"/>
      <c r="B330" s="288"/>
      <c r="C330" s="287"/>
      <c r="D330" s="287"/>
      <c r="E330" s="112"/>
    </row>
    <row r="331" spans="1:5" ht="12.75">
      <c r="A331" s="109" t="s">
        <v>101</v>
      </c>
      <c r="B331" s="292"/>
      <c r="C331" s="293">
        <f>+D61</f>
        <v>1</v>
      </c>
      <c r="D331" s="292"/>
      <c r="E331" s="112"/>
    </row>
    <row r="332" spans="1:5" ht="12.75">
      <c r="A332" s="112"/>
      <c r="B332" s="287"/>
      <c r="C332" s="288"/>
      <c r="D332" s="287"/>
      <c r="E332" s="112"/>
    </row>
    <row r="333" spans="1:5" ht="12.75">
      <c r="A333" s="109" t="s">
        <v>161</v>
      </c>
      <c r="B333" s="403">
        <f>IF(ISERROR($B327/$B329),0,$B327/$B329)</f>
        <v>0.07603992770367718</v>
      </c>
      <c r="C333" s="403"/>
      <c r="D333" s="294"/>
      <c r="E333" s="112"/>
    </row>
    <row r="334" spans="1:5" ht="12.75">
      <c r="A334" s="112"/>
      <c r="B334" s="404"/>
      <c r="C334" s="404"/>
      <c r="D334" s="289"/>
      <c r="E334" s="112"/>
    </row>
    <row r="335" spans="1:5" ht="12.75">
      <c r="A335" s="109" t="s">
        <v>160</v>
      </c>
      <c r="B335" s="405"/>
      <c r="C335" s="406">
        <f>IF(ISERROR($C327/$C331/12),0,$C327/$C331/12)</f>
        <v>500.0918584593469</v>
      </c>
      <c r="D335" s="295"/>
      <c r="E335" s="112"/>
    </row>
    <row r="336" spans="1:5" ht="12.75">
      <c r="A336" s="296"/>
      <c r="B336" s="297"/>
      <c r="C336" s="298"/>
      <c r="D336" s="297"/>
      <c r="E336" s="112"/>
    </row>
    <row r="337" spans="1:5" ht="12.75">
      <c r="A337" s="296"/>
      <c r="B337" s="297"/>
      <c r="C337" s="298"/>
      <c r="D337" s="297"/>
      <c r="E337" s="112"/>
    </row>
    <row r="338" spans="1:4" ht="39" thickBot="1">
      <c r="A338" s="132"/>
      <c r="B338" s="283" t="s">
        <v>104</v>
      </c>
      <c r="C338" s="283" t="s">
        <v>188</v>
      </c>
      <c r="D338" s="283" t="s">
        <v>103</v>
      </c>
    </row>
    <row r="339" spans="1:3" ht="15">
      <c r="A339" s="481" t="s">
        <v>213</v>
      </c>
      <c r="B339" s="30"/>
      <c r="C339" s="30"/>
    </row>
    <row r="340" spans="1:4" ht="12.75">
      <c r="A340" s="109" t="s">
        <v>99</v>
      </c>
      <c r="B340" s="290"/>
      <c r="C340" s="290"/>
      <c r="D340" s="407">
        <f>+G62</f>
        <v>14620.118867915955</v>
      </c>
    </row>
    <row r="341" spans="1:7" ht="12.75">
      <c r="A341" s="112"/>
      <c r="B341" s="284"/>
      <c r="C341" s="284"/>
      <c r="D341" s="285"/>
      <c r="E341" s="280"/>
      <c r="F341" s="280"/>
      <c r="G341" s="280"/>
    </row>
    <row r="342" spans="1:4" ht="12.75">
      <c r="A342" s="109" t="s">
        <v>102</v>
      </c>
      <c r="B342" s="479">
        <v>0.346</v>
      </c>
      <c r="C342" s="479">
        <f>1-B342</f>
        <v>0.654</v>
      </c>
      <c r="D342" s="291">
        <f>B342+C342</f>
        <v>1</v>
      </c>
    </row>
    <row r="343" spans="1:5" ht="12.75">
      <c r="A343" s="112"/>
      <c r="B343" s="286"/>
      <c r="C343" s="286"/>
      <c r="D343" s="286"/>
      <c r="E343" s="112"/>
    </row>
    <row r="344" spans="1:5" ht="12.75">
      <c r="A344" s="109" t="s">
        <v>105</v>
      </c>
      <c r="B344" s="402">
        <f>$B342*$D340</f>
        <v>5058.56112829892</v>
      </c>
      <c r="C344" s="402">
        <f>C342*D340</f>
        <v>9561.557739617036</v>
      </c>
      <c r="D344" s="402">
        <f>SUM(B344:C344)</f>
        <v>14620.118867915957</v>
      </c>
      <c r="E344" s="112"/>
    </row>
    <row r="345" spans="1:5" ht="12.75">
      <c r="A345" s="112"/>
      <c r="B345" s="287"/>
      <c r="C345" s="287"/>
      <c r="D345" s="287"/>
      <c r="E345" s="112"/>
    </row>
    <row r="346" spans="1:5" ht="12.75">
      <c r="A346" s="109" t="s">
        <v>151</v>
      </c>
      <c r="B346" s="293">
        <f>+B62</f>
        <v>109141</v>
      </c>
      <c r="C346" s="292"/>
      <c r="D346" s="292"/>
      <c r="E346" s="112"/>
    </row>
    <row r="347" spans="1:5" ht="12.75">
      <c r="A347" s="112"/>
      <c r="B347" s="288"/>
      <c r="C347" s="287"/>
      <c r="D347" s="287"/>
      <c r="E347" s="112"/>
    </row>
    <row r="348" spans="1:5" ht="12.75">
      <c r="A348" s="109" t="s">
        <v>101</v>
      </c>
      <c r="B348" s="292"/>
      <c r="C348" s="293">
        <f>+D62</f>
        <v>3</v>
      </c>
      <c r="D348" s="292"/>
      <c r="E348" s="112"/>
    </row>
    <row r="349" spans="1:5" ht="12.75">
      <c r="A349" s="112"/>
      <c r="B349" s="287"/>
      <c r="C349" s="288"/>
      <c r="D349" s="287"/>
      <c r="E349" s="112"/>
    </row>
    <row r="350" spans="1:5" ht="12.75">
      <c r="A350" s="109" t="s">
        <v>161</v>
      </c>
      <c r="B350" s="403">
        <f>IF(ISERROR($B344/$B346),0,$B344/$B346)</f>
        <v>0.04634886182368606</v>
      </c>
      <c r="C350" s="403"/>
      <c r="D350" s="294"/>
      <c r="E350" s="112"/>
    </row>
    <row r="351" spans="1:5" ht="12.75">
      <c r="A351" s="112"/>
      <c r="B351" s="404"/>
      <c r="C351" s="404"/>
      <c r="D351" s="289"/>
      <c r="E351" s="112"/>
    </row>
    <row r="352" spans="1:5" ht="12.75">
      <c r="A352" s="109" t="s">
        <v>160</v>
      </c>
      <c r="B352" s="405"/>
      <c r="C352" s="406">
        <f>IF(ISERROR($C344/$C348/12),0,$C344/$C348/12)</f>
        <v>265.5988261004732</v>
      </c>
      <c r="D352" s="295"/>
      <c r="E352" s="112"/>
    </row>
    <row r="353" spans="1:5" ht="12.75">
      <c r="A353" s="296"/>
      <c r="B353" s="482"/>
      <c r="C353" s="483"/>
      <c r="D353" s="297"/>
      <c r="E353" s="112"/>
    </row>
    <row r="354" spans="1:5" ht="12.75">
      <c r="A354" s="296"/>
      <c r="B354" s="297"/>
      <c r="C354" s="298"/>
      <c r="D354" s="297"/>
      <c r="E354" s="112"/>
    </row>
    <row r="355" spans="1:5" ht="15.75">
      <c r="A355" s="54" t="s">
        <v>222</v>
      </c>
      <c r="E355" s="112"/>
    </row>
    <row r="356" spans="1:5" ht="15.75">
      <c r="A356" s="54"/>
      <c r="E356" s="112"/>
    </row>
    <row r="357" spans="1:5" ht="15">
      <c r="A357" s="132"/>
      <c r="E357" s="112"/>
    </row>
    <row r="358" spans="1:5" ht="39" thickBot="1">
      <c r="A358" s="132"/>
      <c r="B358" s="283" t="s">
        <v>104</v>
      </c>
      <c r="C358" s="283" t="s">
        <v>188</v>
      </c>
      <c r="D358" s="283" t="s">
        <v>103</v>
      </c>
      <c r="E358" s="112"/>
    </row>
    <row r="359" spans="1:5" ht="12.75">
      <c r="A359" s="296"/>
      <c r="B359" s="30"/>
      <c r="C359" s="30"/>
      <c r="E359" s="112"/>
    </row>
    <row r="360" spans="1:5" ht="12.75">
      <c r="A360" s="109" t="s">
        <v>99</v>
      </c>
      <c r="B360" s="290"/>
      <c r="C360" s="290"/>
      <c r="D360" s="407">
        <v>0</v>
      </c>
      <c r="E360" s="112"/>
    </row>
    <row r="361" spans="1:5" ht="12.75">
      <c r="A361" s="112"/>
      <c r="B361" s="284"/>
      <c r="C361" s="284"/>
      <c r="D361" s="285"/>
      <c r="E361" s="112"/>
    </row>
    <row r="362" spans="1:5" ht="12.75">
      <c r="A362" s="109" t="s">
        <v>102</v>
      </c>
      <c r="B362" s="479">
        <v>0.346</v>
      </c>
      <c r="C362" s="479">
        <f>1-B362</f>
        <v>0.654</v>
      </c>
      <c r="D362" s="291">
        <f>B362+C362</f>
        <v>1</v>
      </c>
      <c r="E362" s="112"/>
    </row>
    <row r="363" spans="1:5" ht="12.75">
      <c r="A363" s="112"/>
      <c r="B363" s="286"/>
      <c r="C363" s="286"/>
      <c r="D363" s="286"/>
      <c r="E363" s="112"/>
    </row>
    <row r="364" spans="1:5" ht="12.75">
      <c r="A364" s="109" t="s">
        <v>105</v>
      </c>
      <c r="B364" s="402">
        <f>$B362*$D360</f>
        <v>0</v>
      </c>
      <c r="C364" s="402">
        <f>C362*D360</f>
        <v>0</v>
      </c>
      <c r="D364" s="402">
        <f>SUM(B364:C364)</f>
        <v>0</v>
      </c>
      <c r="E364" s="112"/>
    </row>
    <row r="365" spans="1:5" ht="12.75">
      <c r="A365" s="112"/>
      <c r="B365" s="287"/>
      <c r="C365" s="287"/>
      <c r="D365" s="287"/>
      <c r="E365" s="112"/>
    </row>
    <row r="366" spans="1:5" ht="12.75">
      <c r="A366" s="109" t="s">
        <v>151</v>
      </c>
      <c r="B366" s="293">
        <v>0</v>
      </c>
      <c r="C366" s="292"/>
      <c r="D366" s="292"/>
      <c r="E366" s="112"/>
    </row>
    <row r="367" spans="1:5" ht="12.75">
      <c r="A367" s="112"/>
      <c r="B367" s="288"/>
      <c r="C367" s="287"/>
      <c r="D367" s="287"/>
      <c r="E367" s="112"/>
    </row>
    <row r="368" spans="1:5" ht="12.75">
      <c r="A368" s="109" t="s">
        <v>101</v>
      </c>
      <c r="B368" s="292"/>
      <c r="C368" s="293">
        <v>0</v>
      </c>
      <c r="D368" s="292"/>
      <c r="E368" s="112"/>
    </row>
    <row r="369" spans="1:5" ht="12.75">
      <c r="A369" s="112"/>
      <c r="B369" s="287"/>
      <c r="C369" s="288"/>
      <c r="D369" s="287"/>
      <c r="E369" s="112"/>
    </row>
    <row r="370" spans="1:5" ht="12.75">
      <c r="A370" s="109" t="s">
        <v>161</v>
      </c>
      <c r="B370" s="403">
        <f>IF(ISERROR($B364/$B366),0,$B364/$B366)</f>
        <v>0</v>
      </c>
      <c r="C370" s="403"/>
      <c r="D370" s="294"/>
      <c r="E370" s="112"/>
    </row>
    <row r="371" spans="1:5" ht="12.75">
      <c r="A371" s="112"/>
      <c r="B371" s="404"/>
      <c r="C371" s="404"/>
      <c r="D371" s="289"/>
      <c r="E371" s="112"/>
    </row>
    <row r="372" spans="1:5" ht="12.75">
      <c r="A372" s="109" t="s">
        <v>160</v>
      </c>
      <c r="B372" s="405"/>
      <c r="C372" s="406">
        <f>IF(ISERROR($C364/$C368/12),0,$C364/$C368/12)</f>
        <v>0</v>
      </c>
      <c r="D372" s="295"/>
      <c r="E372" s="112"/>
    </row>
    <row r="373" spans="1:5" ht="12.75">
      <c r="A373" s="296"/>
      <c r="B373" s="297"/>
      <c r="C373" s="298"/>
      <c r="D373" s="297"/>
      <c r="E373" s="112"/>
    </row>
    <row r="374" spans="1:5" ht="12.75">
      <c r="A374" s="296"/>
      <c r="B374" s="297"/>
      <c r="C374" s="298"/>
      <c r="D374" s="297"/>
      <c r="E374" s="112"/>
    </row>
    <row r="375" spans="1:5" ht="15.75">
      <c r="A375" s="54" t="s">
        <v>17</v>
      </c>
      <c r="E375" s="112"/>
    </row>
    <row r="376" spans="1:5" ht="15.75">
      <c r="A376" s="54"/>
      <c r="E376" s="112"/>
    </row>
    <row r="377" spans="1:5" ht="15">
      <c r="A377" s="132"/>
      <c r="E377" s="112"/>
    </row>
    <row r="378" spans="1:5" ht="39" thickBot="1">
      <c r="A378" s="132"/>
      <c r="B378" s="283" t="s">
        <v>104</v>
      </c>
      <c r="C378" s="283" t="s">
        <v>188</v>
      </c>
      <c r="D378" s="283" t="s">
        <v>103</v>
      </c>
      <c r="E378" s="112"/>
    </row>
    <row r="379" spans="1:5" ht="15">
      <c r="A379" s="481" t="s">
        <v>213</v>
      </c>
      <c r="B379" s="30"/>
      <c r="C379" s="30"/>
      <c r="E379" s="112"/>
    </row>
    <row r="380" spans="1:5" ht="12.75">
      <c r="A380" s="109" t="s">
        <v>99</v>
      </c>
      <c r="B380" s="290"/>
      <c r="C380" s="290"/>
      <c r="D380" s="407">
        <f>+G68</f>
        <v>16600.359323965116</v>
      </c>
      <c r="E380" s="112"/>
    </row>
    <row r="381" spans="1:5" ht="12.75">
      <c r="A381" s="112"/>
      <c r="B381" s="284"/>
      <c r="C381" s="284"/>
      <c r="D381" s="285"/>
      <c r="E381" s="112"/>
    </row>
    <row r="382" spans="1:5" ht="12.75">
      <c r="A382" s="109" t="s">
        <v>102</v>
      </c>
      <c r="B382" s="479">
        <v>0.346</v>
      </c>
      <c r="C382" s="479">
        <f>1-B382</f>
        <v>0.654</v>
      </c>
      <c r="D382" s="291">
        <f>B382+C382</f>
        <v>1</v>
      </c>
      <c r="E382" s="112"/>
    </row>
    <row r="383" spans="1:5" ht="12.75">
      <c r="A383" s="112"/>
      <c r="B383" s="286"/>
      <c r="C383" s="286"/>
      <c r="D383" s="286"/>
      <c r="E383" s="112"/>
    </row>
    <row r="384" spans="1:5" ht="12.75">
      <c r="A384" s="109" t="s">
        <v>105</v>
      </c>
      <c r="B384" s="402">
        <f>$B382*$D380</f>
        <v>5743.7243260919295</v>
      </c>
      <c r="C384" s="402">
        <f>C382*D380</f>
        <v>10856.634997873187</v>
      </c>
      <c r="D384" s="402">
        <f>SUM(B384:C384)</f>
        <v>16600.359323965116</v>
      </c>
      <c r="E384" s="112"/>
    </row>
    <row r="385" spans="1:5" ht="12.75">
      <c r="A385" s="112"/>
      <c r="B385" s="287"/>
      <c r="C385" s="287"/>
      <c r="D385" s="287"/>
      <c r="E385" s="112"/>
    </row>
    <row r="386" spans="1:5" ht="12.75">
      <c r="A386" s="109" t="s">
        <v>151</v>
      </c>
      <c r="B386" s="293">
        <f>+B68</f>
        <v>45490</v>
      </c>
      <c r="C386" s="292"/>
      <c r="D386" s="292"/>
      <c r="E386" s="112"/>
    </row>
    <row r="387" spans="1:5" ht="12.75">
      <c r="A387" s="112"/>
      <c r="B387" s="288"/>
      <c r="C387" s="287"/>
      <c r="D387" s="287"/>
      <c r="E387" s="112"/>
    </row>
    <row r="388" spans="1:5" ht="12.75">
      <c r="A388" s="109" t="s">
        <v>101</v>
      </c>
      <c r="B388" s="292"/>
      <c r="C388" s="293">
        <f>+D68</f>
        <v>1</v>
      </c>
      <c r="D388" s="292"/>
      <c r="E388" s="112"/>
    </row>
    <row r="389" spans="1:5" ht="12.75">
      <c r="A389" s="112"/>
      <c r="B389" s="287"/>
      <c r="C389" s="288"/>
      <c r="D389" s="287"/>
      <c r="E389" s="112"/>
    </row>
    <row r="390" spans="1:5" ht="12.75">
      <c r="A390" s="109" t="s">
        <v>161</v>
      </c>
      <c r="B390" s="403">
        <f>IF(ISERROR($B384/$B386),0,$B384/$B386)</f>
        <v>0.1262634496832695</v>
      </c>
      <c r="C390" s="403"/>
      <c r="D390" s="294"/>
      <c r="E390" s="112"/>
    </row>
    <row r="391" spans="1:5" ht="12.75">
      <c r="A391" s="112"/>
      <c r="B391" s="404"/>
      <c r="C391" s="404"/>
      <c r="D391" s="289"/>
      <c r="E391" s="112"/>
    </row>
    <row r="392" spans="1:5" ht="12.75">
      <c r="A392" s="109" t="s">
        <v>160</v>
      </c>
      <c r="B392" s="405"/>
      <c r="C392" s="406">
        <f>IF(ISERROR($C384/$C388/12),0,$C384/$C388/12)</f>
        <v>904.7195831560989</v>
      </c>
      <c r="D392" s="295"/>
      <c r="E392" s="112"/>
    </row>
    <row r="393" spans="1:5" ht="12.75">
      <c r="A393" s="296"/>
      <c r="B393" s="297"/>
      <c r="C393" s="298"/>
      <c r="D393" s="297"/>
      <c r="E393" s="112"/>
    </row>
    <row r="394" spans="1:5" ht="12.75">
      <c r="A394" s="296"/>
      <c r="B394" s="297"/>
      <c r="C394" s="298"/>
      <c r="D394" s="297"/>
      <c r="E394" s="112"/>
    </row>
    <row r="395" spans="1:5" ht="39" thickBot="1">
      <c r="A395" s="132"/>
      <c r="B395" s="283" t="s">
        <v>104</v>
      </c>
      <c r="C395" s="283" t="s">
        <v>188</v>
      </c>
      <c r="D395" s="283" t="s">
        <v>103</v>
      </c>
      <c r="E395" s="112"/>
    </row>
    <row r="396" spans="1:5" ht="15">
      <c r="A396" s="481" t="s">
        <v>220</v>
      </c>
      <c r="B396" s="30"/>
      <c r="C396" s="30"/>
      <c r="E396" s="112"/>
    </row>
    <row r="397" spans="1:4" ht="12.75">
      <c r="A397" s="109" t="s">
        <v>99</v>
      </c>
      <c r="B397" s="290"/>
      <c r="C397" s="290"/>
      <c r="D397" s="407">
        <f>+G69</f>
        <v>24385.389994976184</v>
      </c>
    </row>
    <row r="398" spans="1:4" ht="12.75">
      <c r="A398" s="112"/>
      <c r="B398" s="284"/>
      <c r="C398" s="284"/>
      <c r="D398" s="285"/>
    </row>
    <row r="399" spans="1:4" ht="12.75">
      <c r="A399" s="109" t="s">
        <v>102</v>
      </c>
      <c r="B399" s="479">
        <v>0.346</v>
      </c>
      <c r="C399" s="479">
        <f>1-B399</f>
        <v>0.654</v>
      </c>
      <c r="D399" s="291">
        <f>B399+C399</f>
        <v>1</v>
      </c>
    </row>
    <row r="400" spans="1:7" ht="12.75">
      <c r="A400" s="112"/>
      <c r="B400" s="286"/>
      <c r="C400" s="286"/>
      <c r="D400" s="286"/>
      <c r="E400" s="280"/>
      <c r="F400" s="280"/>
      <c r="G400" s="280"/>
    </row>
    <row r="401" spans="1:4" ht="12.75">
      <c r="A401" s="109" t="s">
        <v>105</v>
      </c>
      <c r="B401" s="402">
        <f>$B399*$D397</f>
        <v>8437.344938261758</v>
      </c>
      <c r="C401" s="402">
        <f>C399*D397</f>
        <v>15948.045056714425</v>
      </c>
      <c r="D401" s="402">
        <f>SUM(B401:C401)</f>
        <v>24385.389994976184</v>
      </c>
    </row>
    <row r="402" spans="1:5" ht="12.75">
      <c r="A402" s="112"/>
      <c r="B402" s="287"/>
      <c r="C402" s="287"/>
      <c r="D402" s="287"/>
      <c r="E402" s="112"/>
    </row>
    <row r="403" spans="1:5" ht="12.75">
      <c r="A403" s="109" t="s">
        <v>151</v>
      </c>
      <c r="B403" s="293">
        <f>+B69</f>
        <v>46304</v>
      </c>
      <c r="C403" s="292"/>
      <c r="D403" s="292"/>
      <c r="E403" s="112"/>
    </row>
    <row r="404" spans="1:5" ht="12.75">
      <c r="A404" s="112"/>
      <c r="B404" s="288"/>
      <c r="C404" s="287"/>
      <c r="D404" s="287"/>
      <c r="E404" s="112"/>
    </row>
    <row r="405" spans="1:5" ht="12.75">
      <c r="A405" s="109" t="s">
        <v>101</v>
      </c>
      <c r="B405" s="292"/>
      <c r="C405" s="293">
        <f>+D69</f>
        <v>1</v>
      </c>
      <c r="D405" s="292"/>
      <c r="E405" s="112"/>
    </row>
    <row r="406" spans="1:5" ht="12.75">
      <c r="A406" s="112"/>
      <c r="B406" s="287"/>
      <c r="C406" s="288"/>
      <c r="D406" s="287"/>
      <c r="E406" s="112"/>
    </row>
    <row r="407" spans="1:5" ht="12.75">
      <c r="A407" s="109" t="s">
        <v>161</v>
      </c>
      <c r="B407" s="403">
        <f>IF(ISERROR($B401/$B403),0,$B401/$B403)</f>
        <v>0.18221632986916375</v>
      </c>
      <c r="C407" s="403"/>
      <c r="D407" s="294"/>
      <c r="E407" s="112"/>
    </row>
    <row r="408" spans="1:5" ht="12.75">
      <c r="A408" s="112"/>
      <c r="B408" s="404"/>
      <c r="C408" s="404"/>
      <c r="D408" s="289"/>
      <c r="E408" s="112"/>
    </row>
    <row r="409" spans="1:5" ht="12.75">
      <c r="A409" s="109" t="s">
        <v>160</v>
      </c>
      <c r="B409" s="405"/>
      <c r="C409" s="406">
        <f>IF(ISERROR($C401/$C405/12),0,$C401/$C405/12)</f>
        <v>1329.003754726202</v>
      </c>
      <c r="D409" s="295"/>
      <c r="E409" s="112"/>
    </row>
    <row r="410" spans="1:5" ht="12.75">
      <c r="A410" s="296"/>
      <c r="B410" s="297"/>
      <c r="C410" s="298"/>
      <c r="D410" s="297"/>
      <c r="E410" s="112"/>
    </row>
    <row r="411" spans="1:5" ht="12.75">
      <c r="A411" s="296"/>
      <c r="B411" s="297"/>
      <c r="C411" s="298"/>
      <c r="D411" s="297"/>
      <c r="E411" s="112"/>
    </row>
    <row r="412" spans="1:5" ht="12.75">
      <c r="A412" s="296"/>
      <c r="B412" s="297"/>
      <c r="C412" s="298"/>
      <c r="D412" s="297"/>
      <c r="E412" s="112"/>
    </row>
    <row r="413" spans="1:5" ht="15.75">
      <c r="A413" s="54" t="s">
        <v>18</v>
      </c>
      <c r="E413" s="112"/>
    </row>
    <row r="414" spans="1:5" ht="15.75">
      <c r="A414" s="54"/>
      <c r="E414" s="112"/>
    </row>
    <row r="415" spans="1:5" ht="15">
      <c r="A415" s="132"/>
      <c r="E415" s="112"/>
    </row>
    <row r="416" spans="1:5" ht="39" thickBot="1">
      <c r="A416" s="132"/>
      <c r="B416" s="283" t="s">
        <v>104</v>
      </c>
      <c r="C416" s="283" t="s">
        <v>188</v>
      </c>
      <c r="D416" s="283" t="s">
        <v>103</v>
      </c>
      <c r="E416" s="112"/>
    </row>
    <row r="417" spans="1:5" ht="15">
      <c r="A417" s="481" t="s">
        <v>211</v>
      </c>
      <c r="B417" s="30"/>
      <c r="C417" s="30"/>
      <c r="E417" s="112"/>
    </row>
    <row r="418" spans="1:5" ht="12.75">
      <c r="A418" s="109" t="s">
        <v>99</v>
      </c>
      <c r="B418" s="290"/>
      <c r="C418" s="290"/>
      <c r="D418" s="407">
        <f>+G75</f>
        <v>51.989669191629105</v>
      </c>
      <c r="E418" s="112"/>
    </row>
    <row r="419" spans="1:5" ht="12.75">
      <c r="A419" s="112"/>
      <c r="B419" s="284"/>
      <c r="C419" s="284"/>
      <c r="D419" s="285"/>
      <c r="E419" s="112"/>
    </row>
    <row r="420" spans="1:5" ht="12.75">
      <c r="A420" s="109" t="s">
        <v>102</v>
      </c>
      <c r="B420" s="479">
        <v>0.346</v>
      </c>
      <c r="C420" s="479">
        <f>1-B420</f>
        <v>0.654</v>
      </c>
      <c r="D420" s="291">
        <f>B420+C420</f>
        <v>1</v>
      </c>
      <c r="E420" s="112"/>
    </row>
    <row r="421" spans="1:5" ht="12.75">
      <c r="A421" s="112"/>
      <c r="B421" s="286"/>
      <c r="C421" s="286"/>
      <c r="D421" s="286"/>
      <c r="E421" s="112"/>
    </row>
    <row r="422" spans="1:5" ht="12.75">
      <c r="A422" s="109" t="s">
        <v>105</v>
      </c>
      <c r="B422" s="402">
        <f>$B420*$D418</f>
        <v>17.98842554030367</v>
      </c>
      <c r="C422" s="402">
        <f>C420*D418</f>
        <v>34.00124365132544</v>
      </c>
      <c r="D422" s="402">
        <f>SUM(B422:C422)</f>
        <v>51.989669191629105</v>
      </c>
      <c r="E422" s="112"/>
    </row>
    <row r="423" spans="1:5" ht="12.75">
      <c r="A423" s="112"/>
      <c r="B423" s="287"/>
      <c r="C423" s="287"/>
      <c r="D423" s="287"/>
      <c r="E423" s="112"/>
    </row>
    <row r="424" spans="1:5" ht="12.75">
      <c r="A424" s="109" t="s">
        <v>151</v>
      </c>
      <c r="B424" s="293">
        <f>+B75</f>
        <v>73</v>
      </c>
      <c r="C424" s="292"/>
      <c r="D424" s="292"/>
      <c r="E424" s="112"/>
    </row>
    <row r="425" spans="1:5" ht="12.75">
      <c r="A425" s="112"/>
      <c r="B425" s="288"/>
      <c r="C425" s="287"/>
      <c r="D425" s="287"/>
      <c r="E425" s="112"/>
    </row>
    <row r="426" spans="1:5" ht="12.75">
      <c r="A426" s="109" t="s">
        <v>101</v>
      </c>
      <c r="B426" s="292"/>
      <c r="C426" s="293">
        <f>+D75</f>
        <v>22</v>
      </c>
      <c r="D426" s="292"/>
      <c r="E426" s="112"/>
    </row>
    <row r="427" spans="1:5" ht="12.75">
      <c r="A427" s="112"/>
      <c r="B427" s="287"/>
      <c r="C427" s="288"/>
      <c r="D427" s="287"/>
      <c r="E427" s="112"/>
    </row>
    <row r="428" spans="1:5" ht="12.75">
      <c r="A428" s="109" t="s">
        <v>161</v>
      </c>
      <c r="B428" s="403">
        <f>IF(ISERROR($B422/$B424),0,$B422/$B424)</f>
        <v>0.24641678822333793</v>
      </c>
      <c r="C428" s="403"/>
      <c r="D428" s="294"/>
      <c r="E428" s="112"/>
    </row>
    <row r="429" spans="1:5" ht="12.75">
      <c r="A429" s="112"/>
      <c r="B429" s="404"/>
      <c r="C429" s="404"/>
      <c r="D429" s="289"/>
      <c r="E429" s="112"/>
    </row>
    <row r="430" spans="1:5" ht="12.75">
      <c r="A430" s="109" t="s">
        <v>160</v>
      </c>
      <c r="B430" s="405"/>
      <c r="C430" s="406">
        <f>IF(ISERROR($C422/$C426/12),0,$C422/$C426/12)</f>
        <v>0.12879258958835393</v>
      </c>
      <c r="D430" s="295"/>
      <c r="E430" s="112"/>
    </row>
    <row r="431" spans="1:5" ht="12.75">
      <c r="A431" s="296"/>
      <c r="B431" s="297"/>
      <c r="C431" s="298"/>
      <c r="D431" s="297"/>
      <c r="E431" s="112"/>
    </row>
    <row r="432" spans="1:5" ht="12.75">
      <c r="A432" s="296"/>
      <c r="B432" s="297"/>
      <c r="C432" s="298"/>
      <c r="D432" s="297"/>
      <c r="E432" s="112"/>
    </row>
    <row r="433" spans="1:5" ht="39" thickBot="1">
      <c r="A433" s="132"/>
      <c r="B433" s="283" t="s">
        <v>104</v>
      </c>
      <c r="C433" s="283" t="s">
        <v>188</v>
      </c>
      <c r="D433" s="283" t="s">
        <v>103</v>
      </c>
      <c r="E433" s="112"/>
    </row>
    <row r="434" spans="1:5" ht="15">
      <c r="A434" s="481" t="s">
        <v>212</v>
      </c>
      <c r="B434" s="30"/>
      <c r="C434" s="30"/>
      <c r="E434" s="112"/>
    </row>
    <row r="435" spans="1:5" ht="12.75">
      <c r="A435" s="109" t="s">
        <v>99</v>
      </c>
      <c r="B435" s="290"/>
      <c r="C435" s="290"/>
      <c r="D435" s="407">
        <f>+G76</f>
        <v>61.442336317379855</v>
      </c>
      <c r="E435" s="112"/>
    </row>
    <row r="436" spans="1:5" ht="12.75">
      <c r="A436" s="112"/>
      <c r="B436" s="284"/>
      <c r="C436" s="284"/>
      <c r="D436" s="285"/>
      <c r="E436" s="112"/>
    </row>
    <row r="437" spans="1:5" ht="12.75">
      <c r="A437" s="109" t="s">
        <v>102</v>
      </c>
      <c r="B437" s="479">
        <v>0.346</v>
      </c>
      <c r="C437" s="479">
        <f>1-B437</f>
        <v>0.654</v>
      </c>
      <c r="D437" s="291">
        <f>B437+C437</f>
        <v>1</v>
      </c>
      <c r="E437" s="112"/>
    </row>
    <row r="438" spans="1:5" ht="12.75">
      <c r="A438" s="112"/>
      <c r="B438" s="286"/>
      <c r="C438" s="286"/>
      <c r="D438" s="286"/>
      <c r="E438" s="112"/>
    </row>
    <row r="439" spans="1:5" ht="12.75">
      <c r="A439" s="109" t="s">
        <v>105</v>
      </c>
      <c r="B439" s="402">
        <f>$B437*$D435</f>
        <v>21.259048365813427</v>
      </c>
      <c r="C439" s="402">
        <f>C437*D435</f>
        <v>40.18328795156643</v>
      </c>
      <c r="D439" s="402">
        <f>SUM(B439:C439)</f>
        <v>61.442336317379855</v>
      </c>
      <c r="E439" s="112"/>
    </row>
    <row r="440" spans="1:5" ht="12.75">
      <c r="A440" s="112"/>
      <c r="B440" s="287"/>
      <c r="C440" s="287"/>
      <c r="D440" s="287"/>
      <c r="E440" s="112"/>
    </row>
    <row r="441" spans="1:5" ht="12.75">
      <c r="A441" s="109" t="s">
        <v>151</v>
      </c>
      <c r="B441" s="293">
        <f>+B76</f>
        <v>63</v>
      </c>
      <c r="C441" s="292"/>
      <c r="D441" s="292"/>
      <c r="E441" s="112"/>
    </row>
    <row r="442" spans="1:5" ht="12.75">
      <c r="A442" s="112"/>
      <c r="B442" s="288"/>
      <c r="C442" s="287"/>
      <c r="D442" s="287"/>
      <c r="E442" s="112"/>
    </row>
    <row r="443" spans="1:5" ht="12.75">
      <c r="A443" s="109" t="s">
        <v>101</v>
      </c>
      <c r="B443" s="292"/>
      <c r="C443" s="293">
        <f>+D76</f>
        <v>12</v>
      </c>
      <c r="D443" s="292"/>
      <c r="E443" s="112"/>
    </row>
    <row r="444" spans="1:5" ht="12.75">
      <c r="A444" s="112"/>
      <c r="B444" s="287"/>
      <c r="C444" s="288"/>
      <c r="D444" s="287"/>
      <c r="E444" s="112"/>
    </row>
    <row r="445" spans="1:5" ht="12.75">
      <c r="A445" s="109" t="s">
        <v>161</v>
      </c>
      <c r="B445" s="403">
        <f>IF(ISERROR($B439/$B441),0,$B439/$B441)</f>
        <v>0.33744521215576867</v>
      </c>
      <c r="C445" s="403"/>
      <c r="D445" s="294"/>
      <c r="E445" s="112"/>
    </row>
    <row r="446" spans="1:5" ht="12.75">
      <c r="A446" s="112"/>
      <c r="B446" s="404"/>
      <c r="C446" s="404"/>
      <c r="D446" s="289"/>
      <c r="E446" s="112"/>
    </row>
    <row r="447" spans="1:5" ht="12.75">
      <c r="A447" s="109" t="s">
        <v>160</v>
      </c>
      <c r="B447" s="405"/>
      <c r="C447" s="406">
        <f>IF(ISERROR($C439/$C443/12),0,$C439/$C443/12)</f>
        <v>0.27905061077476684</v>
      </c>
      <c r="D447" s="295"/>
      <c r="E447" s="112"/>
    </row>
    <row r="448" spans="1:5" ht="12.75">
      <c r="A448" s="296"/>
      <c r="B448" s="297"/>
      <c r="C448" s="298"/>
      <c r="D448" s="297"/>
      <c r="E448" s="112"/>
    </row>
    <row r="449" spans="1:5" ht="12.75">
      <c r="A449" s="296"/>
      <c r="B449" s="297"/>
      <c r="C449" s="298"/>
      <c r="D449" s="297"/>
      <c r="E449" s="112"/>
    </row>
    <row r="450" spans="1:5" ht="39" thickBot="1">
      <c r="A450" s="132"/>
      <c r="B450" s="283" t="s">
        <v>104</v>
      </c>
      <c r="C450" s="283" t="s">
        <v>188</v>
      </c>
      <c r="D450" s="283" t="s">
        <v>103</v>
      </c>
      <c r="E450" s="112"/>
    </row>
    <row r="451" spans="1:5" ht="15">
      <c r="A451" s="481" t="s">
        <v>213</v>
      </c>
      <c r="B451" s="30"/>
      <c r="C451" s="30"/>
      <c r="E451" s="112"/>
    </row>
    <row r="452" spans="1:5" ht="12.75">
      <c r="A452" s="109" t="s">
        <v>99</v>
      </c>
      <c r="B452" s="290"/>
      <c r="C452" s="290"/>
      <c r="D452" s="407">
        <f>+G77</f>
        <v>543.958026418202</v>
      </c>
      <c r="E452" s="112"/>
    </row>
    <row r="453" spans="1:5" ht="12.75">
      <c r="A453" s="112"/>
      <c r="B453" s="284"/>
      <c r="C453" s="284"/>
      <c r="D453" s="285"/>
      <c r="E453" s="112"/>
    </row>
    <row r="454" spans="1:5" ht="12.75">
      <c r="A454" s="109" t="s">
        <v>102</v>
      </c>
      <c r="B454" s="479">
        <v>0.346</v>
      </c>
      <c r="C454" s="479">
        <f>1-B454</f>
        <v>0.654</v>
      </c>
      <c r="D454" s="291">
        <f>B454+C454</f>
        <v>1</v>
      </c>
      <c r="E454" s="112"/>
    </row>
    <row r="455" spans="1:5" ht="12.75">
      <c r="A455" s="112"/>
      <c r="B455" s="286"/>
      <c r="C455" s="286"/>
      <c r="D455" s="286"/>
      <c r="E455" s="112"/>
    </row>
    <row r="456" spans="1:5" ht="12.75">
      <c r="A456" s="109" t="s">
        <v>105</v>
      </c>
      <c r="B456" s="402">
        <f>$B454*$D452</f>
        <v>188.20947714069789</v>
      </c>
      <c r="C456" s="402">
        <f>C454*D452</f>
        <v>355.74854927750414</v>
      </c>
      <c r="D456" s="402">
        <f>SUM(B456:C456)</f>
        <v>543.958026418202</v>
      </c>
      <c r="E456" s="112"/>
    </row>
    <row r="457" spans="1:5" ht="12.75">
      <c r="A457" s="112"/>
      <c r="B457" s="287"/>
      <c r="C457" s="287"/>
      <c r="D457" s="287"/>
      <c r="E457" s="112"/>
    </row>
    <row r="458" spans="1:5" ht="12.75">
      <c r="A458" s="109" t="s">
        <v>151</v>
      </c>
      <c r="B458" s="293">
        <f>+B77</f>
        <v>549</v>
      </c>
      <c r="C458" s="292"/>
      <c r="D458" s="292"/>
      <c r="E458" s="112"/>
    </row>
    <row r="459" spans="1:5" ht="12.75">
      <c r="A459" s="112"/>
      <c r="B459" s="288"/>
      <c r="C459" s="287"/>
      <c r="D459" s="287"/>
      <c r="E459" s="112"/>
    </row>
    <row r="460" spans="1:5" ht="12.75">
      <c r="A460" s="109" t="s">
        <v>101</v>
      </c>
      <c r="B460" s="292"/>
      <c r="C460" s="293">
        <f>+D77</f>
        <v>58</v>
      </c>
      <c r="D460" s="292"/>
      <c r="E460" s="112"/>
    </row>
    <row r="461" spans="1:5" ht="12.75">
      <c r="A461" s="112"/>
      <c r="B461" s="287"/>
      <c r="C461" s="288"/>
      <c r="D461" s="287"/>
      <c r="E461" s="112"/>
    </row>
    <row r="462" spans="1:5" ht="12.75">
      <c r="A462" s="109" t="s">
        <v>161</v>
      </c>
      <c r="B462" s="403">
        <f>IF(ISERROR($B456/$B458),0,$B456/$B458)</f>
        <v>0.34282236273351163</v>
      </c>
      <c r="C462" s="403"/>
      <c r="D462" s="294"/>
      <c r="E462" s="112"/>
    </row>
    <row r="463" spans="1:5" ht="12.75">
      <c r="A463" s="112"/>
      <c r="B463" s="404"/>
      <c r="C463" s="404"/>
      <c r="D463" s="289"/>
      <c r="E463" s="112"/>
    </row>
    <row r="464" spans="1:5" ht="12.75">
      <c r="A464" s="109" t="s">
        <v>160</v>
      </c>
      <c r="B464" s="405"/>
      <c r="C464" s="406">
        <f>IF(ISERROR($C456/$C460/12),0,$C456/$C460/12)</f>
        <v>0.5111329730998623</v>
      </c>
      <c r="D464" s="295"/>
      <c r="E464" s="112"/>
    </row>
    <row r="465" spans="1:5" ht="12.75">
      <c r="A465" s="296"/>
      <c r="B465" s="297"/>
      <c r="C465" s="298"/>
      <c r="D465" s="297"/>
      <c r="E465" s="112"/>
    </row>
    <row r="466" spans="1:5" ht="12.75">
      <c r="A466" s="296"/>
      <c r="B466" s="297"/>
      <c r="C466" s="298"/>
      <c r="D466" s="297"/>
      <c r="E466" s="112"/>
    </row>
    <row r="467" spans="1:5" ht="39" thickBot="1">
      <c r="A467" s="132"/>
      <c r="B467" s="283" t="s">
        <v>104</v>
      </c>
      <c r="C467" s="283" t="s">
        <v>188</v>
      </c>
      <c r="D467" s="283" t="s">
        <v>103</v>
      </c>
      <c r="E467" s="112"/>
    </row>
    <row r="468" spans="1:5" ht="15">
      <c r="A468" s="481" t="s">
        <v>214</v>
      </c>
      <c r="B468" s="30"/>
      <c r="C468" s="30"/>
      <c r="E468" s="112"/>
    </row>
    <row r="469" spans="1:5" ht="12.75">
      <c r="A469" s="109" t="s">
        <v>99</v>
      </c>
      <c r="B469" s="290"/>
      <c r="C469" s="290"/>
      <c r="D469" s="407">
        <f>+G78</f>
        <v>151.67234069954606</v>
      </c>
      <c r="E469" s="112"/>
    </row>
    <row r="470" spans="1:5" ht="12.75">
      <c r="A470" s="112"/>
      <c r="B470" s="284"/>
      <c r="C470" s="284"/>
      <c r="D470" s="285"/>
      <c r="E470" s="112"/>
    </row>
    <row r="471" spans="1:5" ht="12.75">
      <c r="A471" s="109" t="s">
        <v>102</v>
      </c>
      <c r="B471" s="479">
        <v>0.346</v>
      </c>
      <c r="C471" s="479">
        <f>1-B471</f>
        <v>0.654</v>
      </c>
      <c r="D471" s="291">
        <f>B471+C471</f>
        <v>1</v>
      </c>
      <c r="E471" s="112"/>
    </row>
    <row r="472" spans="1:5" ht="12.75">
      <c r="A472" s="112"/>
      <c r="B472" s="286"/>
      <c r="C472" s="286"/>
      <c r="D472" s="286"/>
      <c r="E472" s="112"/>
    </row>
    <row r="473" spans="1:5" ht="12.75">
      <c r="A473" s="109" t="s">
        <v>105</v>
      </c>
      <c r="B473" s="402">
        <f>$B471*$D469</f>
        <v>52.47862988204293</v>
      </c>
      <c r="C473" s="402">
        <f>C471*D469</f>
        <v>99.19371081750312</v>
      </c>
      <c r="D473" s="402">
        <f>SUM(B473:C473)</f>
        <v>151.67234069954606</v>
      </c>
      <c r="E473" s="112"/>
    </row>
    <row r="474" spans="1:5" ht="12.75">
      <c r="A474" s="112"/>
      <c r="B474" s="287"/>
      <c r="C474" s="287"/>
      <c r="D474" s="287"/>
      <c r="E474" s="112"/>
    </row>
    <row r="475" spans="1:5" ht="12.75">
      <c r="A475" s="109" t="s">
        <v>151</v>
      </c>
      <c r="B475" s="293">
        <f>+B78</f>
        <v>158</v>
      </c>
      <c r="C475" s="292"/>
      <c r="D475" s="292"/>
      <c r="E475" s="112"/>
    </row>
    <row r="476" spans="1:5" ht="12.75">
      <c r="A476" s="112"/>
      <c r="B476" s="288"/>
      <c r="C476" s="287"/>
      <c r="D476" s="287"/>
      <c r="E476" s="112"/>
    </row>
    <row r="477" spans="1:5" ht="12.75">
      <c r="A477" s="109" t="s">
        <v>101</v>
      </c>
      <c r="B477" s="292"/>
      <c r="C477" s="293">
        <f>+D78</f>
        <v>18</v>
      </c>
      <c r="D477" s="292"/>
      <c r="E477" s="112"/>
    </row>
    <row r="478" spans="1:5" ht="12.75">
      <c r="A478" s="112"/>
      <c r="B478" s="287"/>
      <c r="C478" s="288"/>
      <c r="D478" s="287"/>
      <c r="E478" s="112"/>
    </row>
    <row r="479" spans="1:5" ht="12.75">
      <c r="A479" s="109" t="s">
        <v>161</v>
      </c>
      <c r="B479" s="403">
        <f>IF(ISERROR($B473/$B475),0,$B473/$B475)</f>
        <v>0.33214322710153754</v>
      </c>
      <c r="C479" s="403"/>
      <c r="D479" s="294"/>
      <c r="E479" s="112"/>
    </row>
    <row r="480" spans="1:5" ht="12.75">
      <c r="A480" s="112"/>
      <c r="B480" s="404"/>
      <c r="C480" s="404"/>
      <c r="D480" s="289"/>
      <c r="E480" s="112"/>
    </row>
    <row r="481" spans="1:5" ht="12.75">
      <c r="A481" s="109" t="s">
        <v>160</v>
      </c>
      <c r="B481" s="405"/>
      <c r="C481" s="406">
        <f>IF(ISERROR($C473/$C477/12),0,$C473/$C477/12)</f>
        <v>0.45923014267362555</v>
      </c>
      <c r="D481" s="295"/>
      <c r="E481" s="112"/>
    </row>
    <row r="482" spans="1:5" ht="12.75">
      <c r="A482" s="296"/>
      <c r="B482" s="297"/>
      <c r="C482" s="298"/>
      <c r="D482" s="297"/>
      <c r="E482" s="112"/>
    </row>
    <row r="483" spans="1:5" ht="12.75">
      <c r="A483" s="296"/>
      <c r="B483" s="297"/>
      <c r="C483" s="298"/>
      <c r="D483" s="297"/>
      <c r="E483" s="112"/>
    </row>
    <row r="484" spans="1:5" ht="39" thickBot="1">
      <c r="A484" s="132"/>
      <c r="B484" s="283" t="s">
        <v>104</v>
      </c>
      <c r="C484" s="283" t="s">
        <v>188</v>
      </c>
      <c r="D484" s="283" t="s">
        <v>103</v>
      </c>
      <c r="E484" s="112"/>
    </row>
    <row r="485" spans="1:5" ht="15">
      <c r="A485" s="481" t="s">
        <v>215</v>
      </c>
      <c r="B485" s="30"/>
      <c r="C485" s="30"/>
      <c r="E485" s="112"/>
    </row>
    <row r="486" spans="1:5" ht="12.75">
      <c r="A486" s="109" t="s">
        <v>99</v>
      </c>
      <c r="B486" s="290"/>
      <c r="C486" s="290"/>
      <c r="D486" s="407">
        <f>+G79</f>
        <v>0</v>
      </c>
      <c r="E486" s="112"/>
    </row>
    <row r="487" spans="1:5" ht="12.75">
      <c r="A487" s="112"/>
      <c r="B487" s="284"/>
      <c r="C487" s="284"/>
      <c r="D487" s="285"/>
      <c r="E487" s="112"/>
    </row>
    <row r="488" spans="1:5" ht="12.75">
      <c r="A488" s="109" t="s">
        <v>102</v>
      </c>
      <c r="B488" s="479">
        <v>0.346</v>
      </c>
      <c r="C488" s="479">
        <f>1-B488</f>
        <v>0.654</v>
      </c>
      <c r="D488" s="291">
        <f>B488+C488</f>
        <v>1</v>
      </c>
      <c r="E488" s="112"/>
    </row>
    <row r="489" spans="1:5" ht="12.75">
      <c r="A489" s="112"/>
      <c r="B489" s="286"/>
      <c r="C489" s="286"/>
      <c r="D489" s="286"/>
      <c r="E489" s="112"/>
    </row>
    <row r="490" spans="1:5" ht="12.75">
      <c r="A490" s="109" t="s">
        <v>105</v>
      </c>
      <c r="B490" s="402">
        <f>$B488*$D486</f>
        <v>0</v>
      </c>
      <c r="C490" s="402">
        <f>C488*D486</f>
        <v>0</v>
      </c>
      <c r="D490" s="402">
        <f>SUM(B490:C490)</f>
        <v>0</v>
      </c>
      <c r="E490" s="112"/>
    </row>
    <row r="491" spans="1:5" ht="12.75">
      <c r="A491" s="112"/>
      <c r="B491" s="287"/>
      <c r="C491" s="287"/>
      <c r="D491" s="287"/>
      <c r="E491" s="112"/>
    </row>
    <row r="492" spans="1:5" ht="12.75">
      <c r="A492" s="109" t="s">
        <v>151</v>
      </c>
      <c r="B492" s="293">
        <f>+B79</f>
        <v>0</v>
      </c>
      <c r="C492" s="292"/>
      <c r="D492" s="292"/>
      <c r="E492" s="112"/>
    </row>
    <row r="493" spans="1:5" ht="12.75">
      <c r="A493" s="112"/>
      <c r="B493" s="288"/>
      <c r="C493" s="287"/>
      <c r="D493" s="287"/>
      <c r="E493" s="112"/>
    </row>
    <row r="494" spans="1:5" ht="12.75">
      <c r="A494" s="109" t="s">
        <v>101</v>
      </c>
      <c r="B494" s="292"/>
      <c r="C494" s="293">
        <f>+D79</f>
        <v>0</v>
      </c>
      <c r="D494" s="292"/>
      <c r="E494" s="112"/>
    </row>
    <row r="495" spans="1:5" ht="12.75">
      <c r="A495" s="112"/>
      <c r="B495" s="287"/>
      <c r="C495" s="288"/>
      <c r="D495" s="287"/>
      <c r="E495" s="112"/>
    </row>
    <row r="496" spans="1:5" ht="12.75">
      <c r="A496" s="109" t="s">
        <v>161</v>
      </c>
      <c r="B496" s="403">
        <f>IF(ISERROR($B490/$B492),0,$B490/$B492)</f>
        <v>0</v>
      </c>
      <c r="C496" s="403"/>
      <c r="D496" s="294"/>
      <c r="E496" s="112"/>
    </row>
    <row r="497" spans="1:5" ht="12.75">
      <c r="A497" s="112"/>
      <c r="B497" s="404"/>
      <c r="C497" s="404"/>
      <c r="D497" s="289"/>
      <c r="E497" s="112"/>
    </row>
    <row r="498" spans="1:5" ht="12.75">
      <c r="A498" s="109" t="s">
        <v>160</v>
      </c>
      <c r="B498" s="405"/>
      <c r="C498" s="406">
        <f>IF(ISERROR($C490/$C494/12),0,$C490/$C494/12)</f>
        <v>0</v>
      </c>
      <c r="D498" s="295"/>
      <c r="E498" s="112"/>
    </row>
    <row r="499" spans="1:5" ht="12.75">
      <c r="A499" s="296"/>
      <c r="B499" s="297"/>
      <c r="C499" s="298"/>
      <c r="D499" s="297"/>
      <c r="E499" s="112"/>
    </row>
    <row r="500" spans="1:5" ht="12.75">
      <c r="A500" s="296"/>
      <c r="B500" s="297"/>
      <c r="C500" s="298"/>
      <c r="D500" s="297"/>
      <c r="E500" s="112"/>
    </row>
    <row r="501" spans="1:5" ht="39" thickBot="1">
      <c r="A501" s="132"/>
      <c r="B501" s="283" t="s">
        <v>104</v>
      </c>
      <c r="C501" s="283" t="s">
        <v>188</v>
      </c>
      <c r="D501" s="283" t="s">
        <v>103</v>
      </c>
      <c r="E501" s="112"/>
    </row>
    <row r="502" spans="1:5" ht="15">
      <c r="A502" s="481" t="s">
        <v>216</v>
      </c>
      <c r="B502" s="30"/>
      <c r="C502" s="30"/>
      <c r="E502" s="112"/>
    </row>
    <row r="503" spans="1:5" ht="12.75">
      <c r="A503" s="109" t="s">
        <v>99</v>
      </c>
      <c r="B503" s="290"/>
      <c r="C503" s="290"/>
      <c r="D503" s="407">
        <f>+G80</f>
        <v>20.910445459994076</v>
      </c>
      <c r="E503" s="112"/>
    </row>
    <row r="504" spans="1:5" ht="12.75">
      <c r="A504" s="112"/>
      <c r="B504" s="284"/>
      <c r="C504" s="284"/>
      <c r="D504" s="285"/>
      <c r="E504" s="112"/>
    </row>
    <row r="505" spans="1:5" ht="12.75">
      <c r="A505" s="109" t="s">
        <v>102</v>
      </c>
      <c r="B505" s="479">
        <v>0.346</v>
      </c>
      <c r="C505" s="479">
        <f>1-B505</f>
        <v>0.654</v>
      </c>
      <c r="D505" s="291">
        <f>B505+C505</f>
        <v>1</v>
      </c>
      <c r="E505" s="112"/>
    </row>
    <row r="506" spans="1:5" ht="12.75">
      <c r="A506" s="112"/>
      <c r="B506" s="286"/>
      <c r="C506" s="286"/>
      <c r="D506" s="286"/>
      <c r="E506" s="112"/>
    </row>
    <row r="507" spans="1:5" ht="12.75">
      <c r="A507" s="109" t="s">
        <v>105</v>
      </c>
      <c r="B507" s="402">
        <f>$B505*$D503</f>
        <v>7.23501412915795</v>
      </c>
      <c r="C507" s="402">
        <f>C505*D503</f>
        <v>13.675431330836126</v>
      </c>
      <c r="D507" s="402">
        <f>SUM(B507:C507)</f>
        <v>20.910445459994076</v>
      </c>
      <c r="E507" s="112"/>
    </row>
    <row r="508" spans="1:5" ht="12.75">
      <c r="A508" s="112"/>
      <c r="B508" s="287"/>
      <c r="C508" s="287"/>
      <c r="D508" s="287"/>
      <c r="E508" s="112"/>
    </row>
    <row r="509" spans="1:5" ht="12.75">
      <c r="A509" s="109" t="s">
        <v>151</v>
      </c>
      <c r="B509" s="293">
        <f>+B80</f>
        <v>532</v>
      </c>
      <c r="C509" s="292"/>
      <c r="D509" s="292"/>
      <c r="E509" s="112"/>
    </row>
    <row r="510" spans="1:5" ht="12.75">
      <c r="A510" s="112"/>
      <c r="B510" s="288"/>
      <c r="C510" s="287"/>
      <c r="D510" s="287"/>
      <c r="E510" s="112"/>
    </row>
    <row r="511" spans="1:5" ht="12.75">
      <c r="A511" s="109" t="s">
        <v>101</v>
      </c>
      <c r="B511" s="292"/>
      <c r="C511" s="293">
        <f>+D80</f>
        <v>8</v>
      </c>
      <c r="D511" s="292"/>
      <c r="E511" s="112"/>
    </row>
    <row r="512" spans="1:5" ht="12.75">
      <c r="A512" s="112"/>
      <c r="B512" s="287"/>
      <c r="C512" s="288"/>
      <c r="D512" s="287"/>
      <c r="E512" s="112"/>
    </row>
    <row r="513" spans="1:5" ht="12.75">
      <c r="A513" s="109" t="s">
        <v>161</v>
      </c>
      <c r="B513" s="403">
        <f>IF(ISERROR($B507/$B509),0,$B507/$B509)</f>
        <v>0.013599650618717951</v>
      </c>
      <c r="C513" s="403"/>
      <c r="D513" s="294"/>
      <c r="E513" s="112"/>
    </row>
    <row r="514" spans="1:5" ht="12.75">
      <c r="A514" s="112"/>
      <c r="B514" s="404"/>
      <c r="C514" s="404"/>
      <c r="D514" s="289"/>
      <c r="E514" s="112"/>
    </row>
    <row r="515" spans="1:5" ht="12.75">
      <c r="A515" s="109" t="s">
        <v>160</v>
      </c>
      <c r="B515" s="405"/>
      <c r="C515" s="406">
        <f>IF(ISERROR($C507/$C511/12),0,$C507/$C511/12)</f>
        <v>0.14245240969620965</v>
      </c>
      <c r="D515" s="295"/>
      <c r="E515" s="112"/>
    </row>
    <row r="516" spans="1:5" ht="12.75">
      <c r="A516" s="296"/>
      <c r="B516" s="297"/>
      <c r="C516" s="298"/>
      <c r="D516" s="297"/>
      <c r="E516" s="112"/>
    </row>
    <row r="517" spans="1:5" ht="12.75">
      <c r="A517" s="296"/>
      <c r="B517" s="297"/>
      <c r="C517" s="298"/>
      <c r="D517" s="297"/>
      <c r="E517" s="112"/>
    </row>
    <row r="518" spans="1:5" ht="39" thickBot="1">
      <c r="A518" s="132"/>
      <c r="B518" s="283" t="s">
        <v>104</v>
      </c>
      <c r="C518" s="283" t="s">
        <v>188</v>
      </c>
      <c r="D518" s="283" t="s">
        <v>103</v>
      </c>
      <c r="E518" s="112"/>
    </row>
    <row r="519" spans="1:5" ht="15">
      <c r="A519" s="481" t="s">
        <v>217</v>
      </c>
      <c r="B519" s="30"/>
      <c r="C519" s="30"/>
      <c r="E519" s="112"/>
    </row>
    <row r="520" spans="1:5" ht="12.75">
      <c r="A520" s="109" t="s">
        <v>99</v>
      </c>
      <c r="B520" s="290"/>
      <c r="C520" s="290"/>
      <c r="D520" s="407">
        <f>+G81</f>
        <v>58.577891733819015</v>
      </c>
      <c r="E520" s="112"/>
    </row>
    <row r="521" spans="1:5" ht="12.75">
      <c r="A521" s="112"/>
      <c r="B521" s="284"/>
      <c r="C521" s="284"/>
      <c r="D521" s="285"/>
      <c r="E521" s="112"/>
    </row>
    <row r="522" spans="1:5" ht="12.75">
      <c r="A522" s="109" t="s">
        <v>102</v>
      </c>
      <c r="B522" s="479">
        <v>0.346</v>
      </c>
      <c r="C522" s="479">
        <f>1-B522</f>
        <v>0.654</v>
      </c>
      <c r="D522" s="291">
        <f>B522+C522</f>
        <v>1</v>
      </c>
      <c r="E522" s="112"/>
    </row>
    <row r="523" spans="1:5" ht="12.75">
      <c r="A523" s="112"/>
      <c r="B523" s="286"/>
      <c r="C523" s="286"/>
      <c r="D523" s="286"/>
      <c r="E523" s="112"/>
    </row>
    <row r="524" spans="1:5" ht="12.75">
      <c r="A524" s="109" t="s">
        <v>105</v>
      </c>
      <c r="B524" s="402">
        <f>$B522*$D520</f>
        <v>20.267950539901378</v>
      </c>
      <c r="C524" s="402">
        <f>C522*D520</f>
        <v>38.30994119391764</v>
      </c>
      <c r="D524" s="402">
        <f>SUM(B524:C524)</f>
        <v>58.577891733819015</v>
      </c>
      <c r="E524" s="112"/>
    </row>
    <row r="525" spans="1:5" ht="12.75">
      <c r="A525" s="112"/>
      <c r="B525" s="287"/>
      <c r="C525" s="287"/>
      <c r="D525" s="287"/>
      <c r="E525" s="112"/>
    </row>
    <row r="526" spans="1:5" ht="12.75">
      <c r="A526" s="109" t="s">
        <v>151</v>
      </c>
      <c r="B526" s="293">
        <f>+B81</f>
        <v>69</v>
      </c>
      <c r="C526" s="292"/>
      <c r="D526" s="292"/>
      <c r="E526" s="112"/>
    </row>
    <row r="527" spans="1:5" ht="12.75">
      <c r="A527" s="112"/>
      <c r="B527" s="288"/>
      <c r="C527" s="287"/>
      <c r="D527" s="287"/>
      <c r="E527" s="112"/>
    </row>
    <row r="528" spans="1:5" ht="12.75">
      <c r="A528" s="109" t="s">
        <v>101</v>
      </c>
      <c r="B528" s="292"/>
      <c r="C528" s="293">
        <f>+D81</f>
        <v>18</v>
      </c>
      <c r="D528" s="292"/>
      <c r="E528" s="112"/>
    </row>
    <row r="529" spans="1:5" ht="12.75">
      <c r="A529" s="112"/>
      <c r="B529" s="287"/>
      <c r="C529" s="288"/>
      <c r="D529" s="287"/>
      <c r="E529" s="112"/>
    </row>
    <row r="530" spans="1:5" ht="12.75">
      <c r="A530" s="109" t="s">
        <v>161</v>
      </c>
      <c r="B530" s="403">
        <f>IF(ISERROR($B524/$B526),0,$B524/$B526)</f>
        <v>0.2937384136217591</v>
      </c>
      <c r="C530" s="403"/>
      <c r="D530" s="294"/>
      <c r="E530" s="112"/>
    </row>
    <row r="531" spans="1:5" ht="12.75">
      <c r="A531" s="112"/>
      <c r="B531" s="404"/>
      <c r="C531" s="404"/>
      <c r="D531" s="289"/>
      <c r="E531" s="112"/>
    </row>
    <row r="532" spans="1:5" ht="12.75">
      <c r="A532" s="109" t="s">
        <v>160</v>
      </c>
      <c r="B532" s="405"/>
      <c r="C532" s="406">
        <f>IF(ISERROR($C524/$C528/12),0,$C524/$C528/12)</f>
        <v>0.1773608388607298</v>
      </c>
      <c r="D532" s="295"/>
      <c r="E532" s="112"/>
    </row>
    <row r="533" spans="1:5" ht="12.75">
      <c r="A533" s="296"/>
      <c r="B533" s="297"/>
      <c r="C533" s="298"/>
      <c r="D533" s="297"/>
      <c r="E533" s="112"/>
    </row>
    <row r="534" spans="1:5" ht="12.75">
      <c r="A534" s="296"/>
      <c r="B534" s="297"/>
      <c r="C534" s="298"/>
      <c r="D534" s="297"/>
      <c r="E534" s="112"/>
    </row>
    <row r="535" spans="1:5" ht="39" thickBot="1">
      <c r="A535" s="132"/>
      <c r="B535" s="283" t="s">
        <v>104</v>
      </c>
      <c r="C535" s="283" t="s">
        <v>188</v>
      </c>
      <c r="D535" s="283" t="s">
        <v>103</v>
      </c>
      <c r="E535" s="112"/>
    </row>
    <row r="536" spans="1:5" ht="15">
      <c r="A536" s="481" t="s">
        <v>218</v>
      </c>
      <c r="B536" s="30"/>
      <c r="C536" s="30"/>
      <c r="E536" s="112"/>
    </row>
    <row r="537" spans="1:5" ht="12.75">
      <c r="A537" s="109" t="s">
        <v>99</v>
      </c>
      <c r="B537" s="290"/>
      <c r="C537" s="290"/>
      <c r="D537" s="407">
        <f>+G82</f>
        <v>145.6570070740683</v>
      </c>
      <c r="E537" s="112"/>
    </row>
    <row r="538" spans="1:5" ht="12.75">
      <c r="A538" s="112"/>
      <c r="B538" s="284"/>
      <c r="C538" s="284"/>
      <c r="D538" s="285"/>
      <c r="E538" s="112"/>
    </row>
    <row r="539" spans="1:5" ht="12.75">
      <c r="A539" s="109" t="s">
        <v>102</v>
      </c>
      <c r="B539" s="479">
        <v>0.346</v>
      </c>
      <c r="C539" s="479">
        <f>1-B539</f>
        <v>0.654</v>
      </c>
      <c r="D539" s="291">
        <f>B539+C539</f>
        <v>1</v>
      </c>
      <c r="E539" s="112"/>
    </row>
    <row r="540" spans="1:5" ht="12.75">
      <c r="A540" s="112"/>
      <c r="B540" s="286"/>
      <c r="C540" s="286"/>
      <c r="D540" s="286"/>
      <c r="E540" s="112"/>
    </row>
    <row r="541" spans="1:5" ht="12.75">
      <c r="A541" s="109" t="s">
        <v>105</v>
      </c>
      <c r="B541" s="402">
        <f>$B539*$D537</f>
        <v>50.39732444762763</v>
      </c>
      <c r="C541" s="402">
        <f>C539*D537</f>
        <v>95.25968262644068</v>
      </c>
      <c r="D541" s="402">
        <f>SUM(B541:C541)</f>
        <v>145.6570070740683</v>
      </c>
      <c r="E541" s="112"/>
    </row>
    <row r="542" spans="1:5" ht="12.75">
      <c r="A542" s="112"/>
      <c r="B542" s="287"/>
      <c r="C542" s="287"/>
      <c r="D542" s="287"/>
      <c r="E542" s="112"/>
    </row>
    <row r="543" spans="1:5" ht="12.75">
      <c r="A543" s="109" t="s">
        <v>151</v>
      </c>
      <c r="B543" s="293">
        <f>+B82</f>
        <v>62</v>
      </c>
      <c r="C543" s="292"/>
      <c r="D543" s="292"/>
      <c r="E543" s="112"/>
    </row>
    <row r="544" spans="1:5" ht="12.75">
      <c r="A544" s="112"/>
      <c r="B544" s="288"/>
      <c r="C544" s="287"/>
      <c r="D544" s="287"/>
      <c r="E544" s="112"/>
    </row>
    <row r="545" spans="1:5" ht="12.75">
      <c r="A545" s="109" t="s">
        <v>101</v>
      </c>
      <c r="B545" s="292"/>
      <c r="C545" s="293">
        <f>+D82</f>
        <v>13</v>
      </c>
      <c r="D545" s="292"/>
      <c r="E545" s="112"/>
    </row>
    <row r="546" spans="1:5" ht="12.75">
      <c r="A546" s="112"/>
      <c r="B546" s="287"/>
      <c r="C546" s="288"/>
      <c r="D546" s="287"/>
      <c r="E546" s="112"/>
    </row>
    <row r="547" spans="1:5" ht="12.75">
      <c r="A547" s="109" t="s">
        <v>161</v>
      </c>
      <c r="B547" s="403">
        <f>IF(ISERROR($B541/$B543),0,$B541/$B543)</f>
        <v>0.8128600717359296</v>
      </c>
      <c r="C547" s="403"/>
      <c r="D547" s="294"/>
      <c r="E547" s="112"/>
    </row>
    <row r="548" spans="1:5" ht="12.75">
      <c r="A548" s="112"/>
      <c r="B548" s="404"/>
      <c r="C548" s="404"/>
      <c r="D548" s="289"/>
      <c r="E548" s="112"/>
    </row>
    <row r="549" spans="1:5" ht="12.75">
      <c r="A549" s="109" t="s">
        <v>160</v>
      </c>
      <c r="B549" s="405"/>
      <c r="C549" s="406">
        <f>IF(ISERROR($C541/$C545/12),0,$C541/$C545/12)</f>
        <v>0.6106389911951325</v>
      </c>
      <c r="D549" s="295"/>
      <c r="E549" s="112"/>
    </row>
    <row r="550" spans="1:5" ht="12.75">
      <c r="A550" s="296"/>
      <c r="B550" s="297"/>
      <c r="C550" s="298"/>
      <c r="D550" s="297"/>
      <c r="E550" s="112"/>
    </row>
    <row r="551" spans="1:5" ht="12.75">
      <c r="A551" s="296"/>
      <c r="B551" s="297"/>
      <c r="C551" s="298"/>
      <c r="D551" s="297"/>
      <c r="E551" s="112"/>
    </row>
    <row r="552" spans="1:5" ht="39" thickBot="1">
      <c r="A552" s="132"/>
      <c r="B552" s="283" t="s">
        <v>104</v>
      </c>
      <c r="C552" s="283" t="s">
        <v>188</v>
      </c>
      <c r="D552" s="283" t="s">
        <v>103</v>
      </c>
      <c r="E552" s="112"/>
    </row>
    <row r="553" spans="1:5" ht="15">
      <c r="A553" s="481" t="s">
        <v>219</v>
      </c>
      <c r="B553" s="30"/>
      <c r="C553" s="30"/>
      <c r="E553" s="112"/>
    </row>
    <row r="554" spans="1:5" ht="12.75">
      <c r="A554" s="109" t="s">
        <v>99</v>
      </c>
      <c r="B554" s="290"/>
      <c r="C554" s="290"/>
      <c r="D554" s="407">
        <f>+G83</f>
        <v>72.18400350573297</v>
      </c>
      <c r="E554" s="112"/>
    </row>
    <row r="555" spans="1:5" ht="12.75">
      <c r="A555" s="112"/>
      <c r="B555" s="284"/>
      <c r="C555" s="284"/>
      <c r="D555" s="285"/>
      <c r="E555" s="112"/>
    </row>
    <row r="556" spans="1:5" ht="12.75">
      <c r="A556" s="109" t="s">
        <v>102</v>
      </c>
      <c r="B556" s="479">
        <v>0.346</v>
      </c>
      <c r="C556" s="479">
        <f>1-B556</f>
        <v>0.654</v>
      </c>
      <c r="D556" s="291">
        <f>B556+C556</f>
        <v>1</v>
      </c>
      <c r="E556" s="112"/>
    </row>
    <row r="557" spans="1:5" ht="12.75">
      <c r="A557" s="112"/>
      <c r="B557" s="286"/>
      <c r="C557" s="286"/>
      <c r="D557" s="286"/>
      <c r="E557" s="112"/>
    </row>
    <row r="558" spans="1:5" ht="12.75">
      <c r="A558" s="109" t="s">
        <v>105</v>
      </c>
      <c r="B558" s="402">
        <f>$B556*$D554</f>
        <v>24.975665212983607</v>
      </c>
      <c r="C558" s="402">
        <f>C556*D554</f>
        <v>47.20833829274937</v>
      </c>
      <c r="D558" s="402">
        <f>SUM(B558:C558)</f>
        <v>72.18400350573297</v>
      </c>
      <c r="E558" s="112"/>
    </row>
    <row r="559" spans="1:5" ht="12.75">
      <c r="A559" s="112"/>
      <c r="B559" s="287"/>
      <c r="C559" s="287"/>
      <c r="D559" s="287"/>
      <c r="E559" s="112"/>
    </row>
    <row r="560" spans="1:5" ht="12.75">
      <c r="A560" s="109" t="s">
        <v>151</v>
      </c>
      <c r="B560" s="293">
        <f>+B83</f>
        <v>132</v>
      </c>
      <c r="C560" s="292"/>
      <c r="D560" s="292"/>
      <c r="E560" s="112"/>
    </row>
    <row r="561" spans="1:5" ht="12.75">
      <c r="A561" s="112"/>
      <c r="B561" s="288"/>
      <c r="C561" s="287"/>
      <c r="D561" s="287"/>
      <c r="E561" s="112"/>
    </row>
    <row r="562" spans="1:5" ht="12.75">
      <c r="A562" s="109" t="s">
        <v>101</v>
      </c>
      <c r="B562" s="292"/>
      <c r="C562" s="293">
        <f>+D83</f>
        <v>22</v>
      </c>
      <c r="D562" s="292"/>
      <c r="E562" s="112"/>
    </row>
    <row r="563" spans="1:5" ht="12.75">
      <c r="A563" s="112"/>
      <c r="B563" s="287"/>
      <c r="C563" s="288"/>
      <c r="D563" s="287"/>
      <c r="E563" s="112"/>
    </row>
    <row r="564" spans="1:5" ht="12.75">
      <c r="A564" s="109" t="s">
        <v>161</v>
      </c>
      <c r="B564" s="403">
        <f>IF(ISERROR($B558/$B560),0,$B558/$B560)</f>
        <v>0.1892095849468455</v>
      </c>
      <c r="C564" s="403"/>
      <c r="D564" s="294"/>
      <c r="E564" s="112"/>
    </row>
    <row r="565" spans="1:5" ht="12.75">
      <c r="A565" s="112"/>
      <c r="B565" s="404"/>
      <c r="C565" s="404"/>
      <c r="D565" s="289"/>
      <c r="E565" s="112"/>
    </row>
    <row r="566" spans="1:5" ht="12.75">
      <c r="A566" s="109" t="s">
        <v>160</v>
      </c>
      <c r="B566" s="405"/>
      <c r="C566" s="406">
        <f>IF(ISERROR($C558/$C562/12),0,$C558/$C562/12)</f>
        <v>0.17881946323011125</v>
      </c>
      <c r="D566" s="295"/>
      <c r="E566" s="112"/>
    </row>
    <row r="567" spans="1:5" ht="12.75">
      <c r="A567" s="296"/>
      <c r="B567" s="297"/>
      <c r="C567" s="298"/>
      <c r="D567" s="297"/>
      <c r="E567" s="112"/>
    </row>
    <row r="568" spans="1:5" ht="12.75">
      <c r="A568" s="296"/>
      <c r="B568" s="297"/>
      <c r="C568" s="298"/>
      <c r="D568" s="297"/>
      <c r="E568" s="112"/>
    </row>
    <row r="569" spans="1:5" ht="39" thickBot="1">
      <c r="A569" s="132"/>
      <c r="B569" s="283" t="s">
        <v>104</v>
      </c>
      <c r="C569" s="283" t="s">
        <v>188</v>
      </c>
      <c r="D569" s="283" t="s">
        <v>103</v>
      </c>
      <c r="E569" s="112"/>
    </row>
    <row r="570" spans="1:5" ht="15">
      <c r="A570" s="481" t="s">
        <v>220</v>
      </c>
      <c r="B570" s="30"/>
      <c r="C570" s="30"/>
      <c r="E570" s="112"/>
    </row>
    <row r="571" spans="1:5" ht="12.75">
      <c r="A571" s="109" t="s">
        <v>99</v>
      </c>
      <c r="B571" s="290"/>
      <c r="C571" s="290"/>
      <c r="D571" s="407">
        <f>+G84</f>
        <v>331.7026827763444</v>
      </c>
      <c r="E571" s="112"/>
    </row>
    <row r="572" spans="1:5" ht="12.75">
      <c r="A572" s="112"/>
      <c r="B572" s="284"/>
      <c r="C572" s="284"/>
      <c r="D572" s="285"/>
      <c r="E572" s="112"/>
    </row>
    <row r="573" spans="1:5" ht="12.75">
      <c r="A573" s="109" t="s">
        <v>102</v>
      </c>
      <c r="B573" s="479">
        <v>0.346</v>
      </c>
      <c r="C573" s="479">
        <f>1-B573</f>
        <v>0.654</v>
      </c>
      <c r="D573" s="291">
        <f>B573+C573</f>
        <v>1</v>
      </c>
      <c r="E573" s="112"/>
    </row>
    <row r="574" spans="1:5" ht="12.75">
      <c r="A574" s="112"/>
      <c r="B574" s="286"/>
      <c r="C574" s="286"/>
      <c r="D574" s="286"/>
      <c r="E574" s="112"/>
    </row>
    <row r="575" spans="1:5" ht="12.75">
      <c r="A575" s="109" t="s">
        <v>105</v>
      </c>
      <c r="B575" s="402">
        <f>$B573*$D571</f>
        <v>114.76912824061515</v>
      </c>
      <c r="C575" s="402">
        <f>C573*D571</f>
        <v>216.93355453572923</v>
      </c>
      <c r="D575" s="402">
        <f>SUM(B575:C575)</f>
        <v>331.7026827763444</v>
      </c>
      <c r="E575" s="112"/>
    </row>
    <row r="576" spans="1:5" ht="12.75">
      <c r="A576" s="112"/>
      <c r="B576" s="287"/>
      <c r="C576" s="287"/>
      <c r="D576" s="287"/>
      <c r="E576" s="112"/>
    </row>
    <row r="577" spans="1:5" ht="12.75">
      <c r="A577" s="109" t="s">
        <v>151</v>
      </c>
      <c r="B577" s="293">
        <f>+B84</f>
        <v>300</v>
      </c>
      <c r="C577" s="292"/>
      <c r="D577" s="292"/>
      <c r="E577" s="112"/>
    </row>
    <row r="578" spans="1:5" ht="12.75">
      <c r="A578" s="112"/>
      <c r="B578" s="288"/>
      <c r="C578" s="287"/>
      <c r="D578" s="287"/>
      <c r="E578" s="112"/>
    </row>
    <row r="579" spans="1:5" ht="12.75">
      <c r="A579" s="109" t="s">
        <v>101</v>
      </c>
      <c r="B579" s="292"/>
      <c r="C579" s="293">
        <f>+D84</f>
        <v>39</v>
      </c>
      <c r="D579" s="292"/>
      <c r="E579" s="112"/>
    </row>
    <row r="580" spans="1:5" ht="12.75">
      <c r="A580" s="112"/>
      <c r="B580" s="287"/>
      <c r="C580" s="288"/>
      <c r="D580" s="287"/>
      <c r="E580" s="112"/>
    </row>
    <row r="581" spans="1:5" ht="12.75">
      <c r="A581" s="109" t="s">
        <v>161</v>
      </c>
      <c r="B581" s="403">
        <f>IF(ISERROR($B575/$B577),0,$B575/$B577)</f>
        <v>0.3825637608020505</v>
      </c>
      <c r="C581" s="403"/>
      <c r="D581" s="294"/>
      <c r="E581" s="112"/>
    </row>
    <row r="582" spans="1:5" ht="12.75">
      <c r="A582" s="112"/>
      <c r="B582" s="404"/>
      <c r="C582" s="404"/>
      <c r="D582" s="289"/>
      <c r="E582" s="112"/>
    </row>
    <row r="583" spans="1:5" ht="12.75">
      <c r="A583" s="109" t="s">
        <v>160</v>
      </c>
      <c r="B583" s="405"/>
      <c r="C583" s="406">
        <f>IF(ISERROR($C575/$C579/12),0,$C575/$C579/12)</f>
        <v>0.4635332361874556</v>
      </c>
      <c r="D583" s="295"/>
      <c r="E583" s="112"/>
    </row>
    <row r="584" spans="1:5" ht="12.75">
      <c r="A584" s="296"/>
      <c r="B584" s="297"/>
      <c r="C584" s="298"/>
      <c r="D584" s="297"/>
      <c r="E584" s="112"/>
    </row>
    <row r="585" spans="1:5" ht="12.75">
      <c r="A585" s="296"/>
      <c r="B585" s="297"/>
      <c r="C585" s="298"/>
      <c r="D585" s="297"/>
      <c r="E585" s="112"/>
    </row>
    <row r="586" spans="1:5" ht="39" thickBot="1">
      <c r="A586" s="132"/>
      <c r="B586" s="283" t="s">
        <v>104</v>
      </c>
      <c r="C586" s="283" t="s">
        <v>188</v>
      </c>
      <c r="D586" s="283" t="s">
        <v>103</v>
      </c>
      <c r="E586" s="112"/>
    </row>
    <row r="587" spans="1:3" ht="15">
      <c r="A587" s="481" t="s">
        <v>221</v>
      </c>
      <c r="B587" s="30"/>
      <c r="C587" s="30"/>
    </row>
    <row r="588" spans="1:4" ht="12.75">
      <c r="A588" s="109" t="s">
        <v>99</v>
      </c>
      <c r="B588" s="290"/>
      <c r="C588" s="290"/>
      <c r="D588" s="407">
        <f>+G85</f>
        <v>30.36311258574482</v>
      </c>
    </row>
    <row r="589" spans="1:4" ht="12.75">
      <c r="A589" s="112"/>
      <c r="B589" s="284"/>
      <c r="C589" s="284"/>
      <c r="D589" s="285"/>
    </row>
    <row r="590" spans="1:7" ht="12.75">
      <c r="A590" s="109" t="s">
        <v>102</v>
      </c>
      <c r="B590" s="479">
        <v>0.346</v>
      </c>
      <c r="C590" s="479">
        <f>1-B590</f>
        <v>0.654</v>
      </c>
      <c r="D590" s="291">
        <f>B590+C590</f>
        <v>1</v>
      </c>
      <c r="E590" s="280"/>
      <c r="F590" s="280"/>
      <c r="G590" s="280"/>
    </row>
    <row r="591" spans="1:4" ht="12.75">
      <c r="A591" s="112"/>
      <c r="B591" s="286"/>
      <c r="C591" s="286"/>
      <c r="D591" s="286"/>
    </row>
    <row r="592" spans="1:5" ht="12.75">
      <c r="A592" s="109" t="s">
        <v>105</v>
      </c>
      <c r="B592" s="402">
        <f>$B590*$D588</f>
        <v>10.505636954667706</v>
      </c>
      <c r="C592" s="402">
        <f>C590*D588</f>
        <v>19.85747563107711</v>
      </c>
      <c r="D592" s="402">
        <f>SUM(B592:C592)</f>
        <v>30.363112585744815</v>
      </c>
      <c r="E592" s="112"/>
    </row>
    <row r="593" spans="1:5" ht="12.75">
      <c r="A593" s="112"/>
      <c r="B593" s="287"/>
      <c r="C593" s="287"/>
      <c r="D593" s="287"/>
      <c r="E593" s="112"/>
    </row>
    <row r="594" spans="1:5" ht="12.75">
      <c r="A594" s="109" t="s">
        <v>151</v>
      </c>
      <c r="B594" s="293">
        <f>+B85</f>
        <v>41</v>
      </c>
      <c r="C594" s="292"/>
      <c r="D594" s="292"/>
      <c r="E594" s="112"/>
    </row>
    <row r="595" spans="1:5" ht="12.75">
      <c r="A595" s="112"/>
      <c r="B595" s="288"/>
      <c r="C595" s="287"/>
      <c r="D595" s="287"/>
      <c r="E595" s="112"/>
    </row>
    <row r="596" spans="1:5" ht="12.75">
      <c r="A596" s="109" t="s">
        <v>101</v>
      </c>
      <c r="B596" s="292"/>
      <c r="C596" s="293">
        <f>+D85</f>
        <v>10</v>
      </c>
      <c r="D596" s="292"/>
      <c r="E596" s="112"/>
    </row>
    <row r="597" spans="1:5" ht="12.75">
      <c r="A597" s="112"/>
      <c r="B597" s="287"/>
      <c r="C597" s="288"/>
      <c r="D597" s="287"/>
      <c r="E597" s="112"/>
    </row>
    <row r="598" spans="1:5" ht="12.75">
      <c r="A598" s="109" t="s">
        <v>161</v>
      </c>
      <c r="B598" s="403">
        <f>IF(ISERROR($B592/$B594),0,$B592/$B594)</f>
        <v>0.2562350476748221</v>
      </c>
      <c r="C598" s="403"/>
      <c r="D598" s="294"/>
      <c r="E598" s="112"/>
    </row>
    <row r="599" spans="1:5" ht="12.75">
      <c r="A599" s="112"/>
      <c r="B599" s="404"/>
      <c r="C599" s="404"/>
      <c r="D599" s="289"/>
      <c r="E599" s="112"/>
    </row>
    <row r="600" spans="1:5" ht="12.75">
      <c r="A600" s="109" t="s">
        <v>160</v>
      </c>
      <c r="B600" s="405"/>
      <c r="C600" s="406">
        <f>IF(ISERROR($C592/$C596/12),0,$C592/$C596/12)</f>
        <v>0.16547896359230926</v>
      </c>
      <c r="D600" s="295"/>
      <c r="E600" s="112"/>
    </row>
    <row r="601" spans="1:5" ht="12.75">
      <c r="A601" s="296"/>
      <c r="B601" s="482"/>
      <c r="C601" s="483"/>
      <c r="D601" s="297"/>
      <c r="E601" s="112"/>
    </row>
    <row r="602" spans="1:5" ht="12.75">
      <c r="A602" s="296"/>
      <c r="B602" s="482"/>
      <c r="C602" s="483"/>
      <c r="D602" s="297"/>
      <c r="E602" s="112"/>
    </row>
    <row r="603" spans="1:5" ht="15.75">
      <c r="A603" s="54" t="s">
        <v>107</v>
      </c>
      <c r="E603" s="112"/>
    </row>
    <row r="604" spans="1:5" ht="15.75">
      <c r="A604" s="54"/>
      <c r="E604" s="112"/>
    </row>
    <row r="605" ht="15">
      <c r="A605" s="132"/>
    </row>
    <row r="606" spans="1:4" ht="39" thickBot="1">
      <c r="A606" s="132"/>
      <c r="B606" s="283" t="s">
        <v>104</v>
      </c>
      <c r="C606" s="283" t="s">
        <v>188</v>
      </c>
      <c r="D606" s="283" t="s">
        <v>103</v>
      </c>
    </row>
    <row r="607" spans="1:3" ht="15">
      <c r="A607" s="132"/>
      <c r="B607" s="30"/>
      <c r="C607" s="30"/>
    </row>
    <row r="608" spans="1:4" ht="12.75">
      <c r="A608" s="109" t="s">
        <v>99</v>
      </c>
      <c r="B608" s="290"/>
      <c r="C608" s="290"/>
      <c r="D608" s="407">
        <f>+G36</f>
        <v>12233.087605705516</v>
      </c>
    </row>
    <row r="609" spans="1:4" ht="12.75">
      <c r="A609" s="112"/>
      <c r="B609" s="284"/>
      <c r="C609" s="284"/>
      <c r="D609" s="285"/>
    </row>
    <row r="610" spans="1:4" ht="12.75">
      <c r="A610" s="109" t="s">
        <v>102</v>
      </c>
      <c r="B610" s="479">
        <v>0.346</v>
      </c>
      <c r="C610" s="479">
        <f>1-B610</f>
        <v>0.654</v>
      </c>
      <c r="D610" s="291">
        <f>B610+C610</f>
        <v>1</v>
      </c>
    </row>
    <row r="611" spans="1:4" ht="12.75">
      <c r="A611" s="112"/>
      <c r="B611" s="286"/>
      <c r="C611" s="286"/>
      <c r="D611" s="286"/>
    </row>
    <row r="612" spans="1:4" ht="12.75">
      <c r="A612" s="109" t="s">
        <v>105</v>
      </c>
      <c r="B612" s="402">
        <f>$B610*$D608</f>
        <v>4232.648311574108</v>
      </c>
      <c r="C612" s="402">
        <f>C610*D608</f>
        <v>8000.439294131407</v>
      </c>
      <c r="D612" s="402">
        <f>SUM(B612:C612)</f>
        <v>12233.087605705516</v>
      </c>
    </row>
    <row r="613" spans="1:4" ht="12.75">
      <c r="A613" s="112"/>
      <c r="B613" s="287"/>
      <c r="C613" s="287"/>
      <c r="D613" s="287"/>
    </row>
    <row r="614" spans="1:4" ht="12.75">
      <c r="A614" s="109" t="s">
        <v>151</v>
      </c>
      <c r="B614" s="293">
        <f>+B36</f>
        <v>22715</v>
      </c>
      <c r="C614" s="292"/>
      <c r="D614" s="292"/>
    </row>
    <row r="615" spans="1:4" ht="12.75">
      <c r="A615" s="112"/>
      <c r="B615" s="288"/>
      <c r="C615" s="287"/>
      <c r="D615" s="287"/>
    </row>
    <row r="616" spans="1:4" ht="12.75">
      <c r="A616" s="109" t="s">
        <v>101</v>
      </c>
      <c r="B616" s="292"/>
      <c r="C616" s="293">
        <f>+D36</f>
        <v>1</v>
      </c>
      <c r="D616" s="292"/>
    </row>
    <row r="617" spans="1:4" ht="12.75">
      <c r="A617" s="112"/>
      <c r="B617" s="287"/>
      <c r="C617" s="288"/>
      <c r="D617" s="287"/>
    </row>
    <row r="618" spans="1:4" ht="12.75">
      <c r="A618" s="109" t="s">
        <v>161</v>
      </c>
      <c r="B618" s="403">
        <f>IF(ISERROR($B612/$B614),0,$B612/$B614)</f>
        <v>0.18633714776905605</v>
      </c>
      <c r="C618" s="403"/>
      <c r="D618" s="294"/>
    </row>
    <row r="619" spans="1:4" ht="12.75">
      <c r="A619" s="112"/>
      <c r="B619" s="404"/>
      <c r="C619" s="404"/>
      <c r="D619" s="289"/>
    </row>
    <row r="620" spans="1:4" ht="12.75">
      <c r="A620" s="109" t="s">
        <v>160</v>
      </c>
      <c r="B620" s="405"/>
      <c r="C620" s="406">
        <f>IF(ISERROR($C612/$C616/12),0,$C612/$C616/12)</f>
        <v>666.7032745109506</v>
      </c>
      <c r="D620" s="295"/>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headerFooter alignWithMargins="0">
    <oddHeader>&amp;R&amp;P of &amp;N</oddHeader>
  </headerFooter>
  <rowBreaks count="13" manualBreakCount="13">
    <brk id="41" max="6" man="1"/>
    <brk id="86" max="6" man="1"/>
    <brk id="140" max="6" man="1"/>
    <brk id="191" max="6" man="1"/>
    <brk id="242" max="6" man="1"/>
    <brk id="276" max="6" man="1"/>
    <brk id="316" max="6" man="1"/>
    <brk id="353" max="6" man="1"/>
    <brk id="411" max="6" man="1"/>
    <brk id="465" max="6" man="1"/>
    <brk id="516" max="6" man="1"/>
    <brk id="567" max="6" man="1"/>
    <brk id="601" max="6" man="1"/>
  </rowBreaks>
</worksheet>
</file>

<file path=xl/worksheets/sheet4.xml><?xml version="1.0" encoding="utf-8"?>
<worksheet xmlns="http://schemas.openxmlformats.org/spreadsheetml/2006/main" xmlns:r="http://schemas.openxmlformats.org/officeDocument/2006/relationships">
  <dimension ref="A1:G221"/>
  <sheetViews>
    <sheetView zoomScalePageLayoutView="0" workbookViewId="0" topLeftCell="A1">
      <pane ySplit="1" topLeftCell="A83" activePane="bottomLeft" state="frozen"/>
      <selection pane="topLeft" activeCell="A1" sqref="A1"/>
      <selection pane="bottomLeft" activeCell="F102" sqref="F102"/>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162</v>
      </c>
    </row>
    <row r="2" ht="13.5" thickBot="1"/>
    <row r="3" spans="1:7" ht="15.75">
      <c r="A3" s="518" t="str">
        <f>"Name of Utility:      "&amp;'Info Sheet'!B4</f>
        <v>Name of Utility:      Chatham-Kent Hydro</v>
      </c>
      <c r="B3" s="519"/>
      <c r="C3" s="519"/>
      <c r="D3" s="455" t="str">
        <f>'Info Sheet'!$B$21</f>
        <v>2005.V1.1</v>
      </c>
      <c r="E3" s="26"/>
      <c r="F3" s="31"/>
      <c r="G3" s="31"/>
    </row>
    <row r="4" spans="1:7" ht="18">
      <c r="A4" s="301" t="str">
        <f>"License Number:   "&amp;'Info Sheet'!B6</f>
        <v>License Number:   ED-2002-0563</v>
      </c>
      <c r="B4" s="27"/>
      <c r="C4" s="392"/>
      <c r="D4" s="395" t="str">
        <f>'Info Sheet'!B8</f>
        <v>RP-2005-0013</v>
      </c>
      <c r="E4" s="26"/>
      <c r="F4" s="31"/>
      <c r="G4" s="31"/>
    </row>
    <row r="5" spans="1:7" ht="15.75">
      <c r="A5" s="515" t="str">
        <f>"Name of Contact:  "&amp;'Info Sheet'!B12</f>
        <v>Name of Contact:  Jim Hogan</v>
      </c>
      <c r="B5" s="516"/>
      <c r="C5" s="516"/>
      <c r="D5" s="395" t="str">
        <f>'Info Sheet'!B10</f>
        <v>EB-2005-0017</v>
      </c>
      <c r="E5" s="31"/>
      <c r="F5" s="31"/>
      <c r="G5" s="31"/>
    </row>
    <row r="6" spans="1:4" ht="18" customHeight="1">
      <c r="A6" s="520" t="str">
        <f>"E- Mail Address:    "&amp;'Info Sheet'!B14</f>
        <v>E- Mail Address:    jimhogan@ckenergy.com</v>
      </c>
      <c r="B6" s="517"/>
      <c r="C6" s="517"/>
      <c r="D6" s="100"/>
    </row>
    <row r="7" spans="1:4" ht="15.75">
      <c r="A7" s="301" t="str">
        <f>"Phone Number:     "&amp;'Info Sheet'!B16</f>
        <v>Phone Number:     </v>
      </c>
      <c r="B7" s="517" t="str">
        <f>'Info Sheet'!$C$16&amp;" "&amp;'Info Sheet'!$D$16</f>
        <v>519-352-6300 (277) </v>
      </c>
      <c r="C7" s="517"/>
      <c r="D7" s="100"/>
    </row>
    <row r="8" spans="1:4" ht="16.5" thickBot="1">
      <c r="A8" s="525" t="str">
        <f>"Date:                      "&amp;('Info Sheet'!B18)</f>
        <v>Date:                      March 10, 2005</v>
      </c>
      <c r="B8" s="526"/>
      <c r="C8" s="526"/>
      <c r="D8" s="149"/>
    </row>
    <row r="9" spans="1:3" ht="18">
      <c r="A9" s="131"/>
      <c r="C9" s="8"/>
    </row>
    <row r="10" ht="14.25">
      <c r="A10" s="11"/>
    </row>
    <row r="12" spans="1:7" ht="18">
      <c r="A12" s="55" t="s">
        <v>0</v>
      </c>
      <c r="B12" s="52"/>
      <c r="C12" s="53"/>
      <c r="E12" s="15"/>
      <c r="G12" s="15"/>
    </row>
    <row r="13" spans="1:7" ht="12.75">
      <c r="A13" s="484" t="s">
        <v>211</v>
      </c>
      <c r="B13" s="15"/>
      <c r="C13" s="15"/>
      <c r="D13" s="49"/>
      <c r="E13" s="15"/>
      <c r="F13" s="15"/>
      <c r="G13" s="15"/>
    </row>
    <row r="14" spans="1:7" ht="12.75">
      <c r="A14" s="109" t="s">
        <v>68</v>
      </c>
      <c r="B14" s="109"/>
      <c r="C14" s="110"/>
      <c r="D14" s="111">
        <f>+'1. 2002 Base Rate Schedule'!D19+'2. Adding Final 3rd MARR'!B103</f>
        <v>0.003133064017935717</v>
      </c>
      <c r="E14" s="15"/>
      <c r="F14" s="15"/>
      <c r="G14" s="15"/>
    </row>
    <row r="15" spans="1:7" ht="12.75">
      <c r="A15" s="112"/>
      <c r="B15" s="112"/>
      <c r="C15" s="113"/>
      <c r="D15" s="113"/>
      <c r="E15" s="15"/>
      <c r="F15" s="15"/>
      <c r="G15" s="15"/>
    </row>
    <row r="16" spans="1:7" ht="12.75">
      <c r="A16" s="109" t="s">
        <v>69</v>
      </c>
      <c r="B16" s="109"/>
      <c r="C16" s="110"/>
      <c r="D16" s="114">
        <f>+'1. 2002 Base Rate Schedule'!D21+'2. Adding Final 3rd MARR'!C105</f>
        <v>3.682510053146183</v>
      </c>
      <c r="E16" s="15"/>
      <c r="F16" s="15"/>
      <c r="G16" s="15"/>
    </row>
    <row r="17" spans="3:7" ht="12.75">
      <c r="C17" s="15"/>
      <c r="D17" s="15"/>
      <c r="E17" s="15"/>
      <c r="F17" s="15"/>
      <c r="G17" s="15"/>
    </row>
    <row r="18" spans="3:7" ht="12.75">
      <c r="C18" s="15"/>
      <c r="D18" s="15"/>
      <c r="E18" s="15"/>
      <c r="F18" s="15"/>
      <c r="G18" s="15"/>
    </row>
    <row r="19" spans="1:7" ht="12.75">
      <c r="A19" s="484" t="s">
        <v>212</v>
      </c>
      <c r="B19" s="15"/>
      <c r="C19" s="15"/>
      <c r="D19" s="49"/>
      <c r="E19" s="15"/>
      <c r="F19" s="15"/>
      <c r="G19" s="15"/>
    </row>
    <row r="20" spans="1:7" ht="12.75">
      <c r="A20" s="109" t="s">
        <v>68</v>
      </c>
      <c r="B20" s="109"/>
      <c r="C20" s="110"/>
      <c r="D20" s="111">
        <f>+'1. 2002 Base Rate Schedule'!D25+'2. Adding Final 3rd MARR'!B120</f>
        <v>0.010421764978700114</v>
      </c>
      <c r="E20" s="15"/>
      <c r="F20" s="15"/>
      <c r="G20" s="15"/>
    </row>
    <row r="21" spans="1:7" ht="12.75">
      <c r="A21" s="112"/>
      <c r="B21" s="112"/>
      <c r="C21" s="113"/>
      <c r="D21" s="113"/>
      <c r="E21" s="15"/>
      <c r="F21" s="15"/>
      <c r="G21" s="15"/>
    </row>
    <row r="22" spans="1:7" ht="12.75">
      <c r="A22" s="109" t="s">
        <v>69</v>
      </c>
      <c r="B22" s="109"/>
      <c r="C22" s="110"/>
      <c r="D22" s="114">
        <f>+'1. 2002 Base Rate Schedule'!D27+'2. Adding Final 3rd MARR'!C122</f>
        <v>13.86921420074977</v>
      </c>
      <c r="E22" s="15"/>
      <c r="F22" s="15"/>
      <c r="G22" s="15"/>
    </row>
    <row r="23" spans="3:7" ht="12.75">
      <c r="C23" s="15"/>
      <c r="D23" s="15"/>
      <c r="E23" s="15"/>
      <c r="F23" s="15"/>
      <c r="G23" s="15"/>
    </row>
    <row r="24" spans="3:7" ht="12.75">
      <c r="C24" s="15"/>
      <c r="D24" s="15"/>
      <c r="E24" s="15"/>
      <c r="F24" s="15"/>
      <c r="G24" s="15"/>
    </row>
    <row r="25" spans="1:7" ht="12.75">
      <c r="A25" s="484" t="s">
        <v>213</v>
      </c>
      <c r="B25" s="15"/>
      <c r="C25" s="15"/>
      <c r="D25" s="49"/>
      <c r="E25" s="15"/>
      <c r="F25" s="15"/>
      <c r="G25" s="15"/>
    </row>
    <row r="26" spans="1:7" ht="12.75">
      <c r="A26" s="109" t="s">
        <v>68</v>
      </c>
      <c r="B26" s="109"/>
      <c r="C26" s="110"/>
      <c r="D26" s="111">
        <f>+'1. 2002 Base Rate Schedule'!D31+'2. Adding Final 3rd MARR'!B137</f>
        <v>0.009731884672064432</v>
      </c>
      <c r="E26" s="15"/>
      <c r="F26" s="15"/>
      <c r="G26" s="15"/>
    </row>
    <row r="27" spans="1:7" ht="12.75">
      <c r="A27" s="112"/>
      <c r="B27" s="112"/>
      <c r="C27" s="113"/>
      <c r="D27" s="113"/>
      <c r="E27" s="15"/>
      <c r="F27" s="15"/>
      <c r="G27" s="15"/>
    </row>
    <row r="28" spans="1:7" ht="12.75">
      <c r="A28" s="109" t="s">
        <v>69</v>
      </c>
      <c r="B28" s="109"/>
      <c r="C28" s="110"/>
      <c r="D28" s="114">
        <f>+'1. 2002 Base Rate Schedule'!D33+'2. Adding Final 3rd MARR'!C139</f>
        <v>12.32927333576484</v>
      </c>
      <c r="E28" s="15"/>
      <c r="F28" s="15"/>
      <c r="G28" s="15"/>
    </row>
    <row r="29" spans="3:7" ht="12.75">
      <c r="C29" s="15"/>
      <c r="D29" s="15"/>
      <c r="E29" s="15"/>
      <c r="F29" s="15"/>
      <c r="G29" s="15"/>
    </row>
    <row r="30" spans="3:7" ht="12.75">
      <c r="C30" s="15"/>
      <c r="D30" s="15"/>
      <c r="E30" s="15"/>
      <c r="F30" s="15"/>
      <c r="G30" s="15"/>
    </row>
    <row r="31" spans="1:7" ht="12.75">
      <c r="A31" s="484" t="s">
        <v>214</v>
      </c>
      <c r="B31" s="15"/>
      <c r="C31" s="15"/>
      <c r="D31" s="49"/>
      <c r="E31" s="15"/>
      <c r="F31" s="15"/>
      <c r="G31" s="15"/>
    </row>
    <row r="32" spans="1:7" ht="12.75">
      <c r="A32" s="109" t="s">
        <v>68</v>
      </c>
      <c r="B32" s="109"/>
      <c r="C32" s="110"/>
      <c r="D32" s="111">
        <f>+'1. 2002 Base Rate Schedule'!D37+'2. Adding Final 3rd MARR'!B154</f>
        <v>0.009367360752758463</v>
      </c>
      <c r="E32" s="15"/>
      <c r="F32" s="15"/>
      <c r="G32" s="15"/>
    </row>
    <row r="33" spans="1:7" ht="12.75">
      <c r="A33" s="112"/>
      <c r="B33" s="112"/>
      <c r="C33" s="113"/>
      <c r="D33" s="113"/>
      <c r="E33" s="15"/>
      <c r="F33" s="15"/>
      <c r="G33" s="15"/>
    </row>
    <row r="34" spans="1:7" ht="12.75">
      <c r="A34" s="109" t="s">
        <v>69</v>
      </c>
      <c r="B34" s="109"/>
      <c r="C34" s="110"/>
      <c r="D34" s="114">
        <f>+'1. 2002 Base Rate Schedule'!D39+'2. Adding Final 3rd MARR'!C156</f>
        <v>12.329782012300532</v>
      </c>
      <c r="E34" s="15"/>
      <c r="F34" s="15"/>
      <c r="G34" s="15"/>
    </row>
    <row r="35" spans="3:7" ht="12.75">
      <c r="C35" s="15"/>
      <c r="D35" s="15"/>
      <c r="E35" s="15"/>
      <c r="F35" s="15"/>
      <c r="G35" s="15"/>
    </row>
    <row r="36" spans="3:7" ht="12.75">
      <c r="C36" s="15"/>
      <c r="D36" s="15"/>
      <c r="E36" s="15"/>
      <c r="F36" s="15"/>
      <c r="G36" s="15"/>
    </row>
    <row r="37" spans="1:7" ht="12.75">
      <c r="A37" s="484" t="s">
        <v>215</v>
      </c>
      <c r="B37" s="15"/>
      <c r="C37" s="15"/>
      <c r="D37" s="49"/>
      <c r="E37" s="15"/>
      <c r="F37" s="15"/>
      <c r="G37" s="15"/>
    </row>
    <row r="38" spans="1:7" ht="12.75">
      <c r="A38" s="109" t="s">
        <v>68</v>
      </c>
      <c r="B38" s="109"/>
      <c r="C38" s="110"/>
      <c r="D38" s="111">
        <f>+'1. 2002 Base Rate Schedule'!D43+'2. Adding Final 3rd MARR'!B171</f>
        <v>0.007808279545826934</v>
      </c>
      <c r="E38" s="15"/>
      <c r="F38" s="15"/>
      <c r="G38" s="15"/>
    </row>
    <row r="39" spans="1:7" ht="12.75">
      <c r="A39" s="112"/>
      <c r="B39" s="112"/>
      <c r="C39" s="113"/>
      <c r="D39" s="113"/>
      <c r="E39" s="15"/>
      <c r="F39" s="15"/>
      <c r="G39" s="15"/>
    </row>
    <row r="40" spans="1:7" ht="12.75">
      <c r="A40" s="109" t="s">
        <v>69</v>
      </c>
      <c r="B40" s="109"/>
      <c r="C40" s="110"/>
      <c r="D40" s="114">
        <f>+'1. 2002 Base Rate Schedule'!D45+'2. Adding Final 3rd MARR'!C173</f>
        <v>9.742855983694888</v>
      </c>
      <c r="E40" s="15"/>
      <c r="F40" s="15"/>
      <c r="G40" s="15"/>
    </row>
    <row r="41" spans="3:7" ht="12.75">
      <c r="C41" s="15"/>
      <c r="D41" s="15"/>
      <c r="E41" s="15"/>
      <c r="F41" s="15"/>
      <c r="G41" s="15"/>
    </row>
    <row r="42" spans="3:7" ht="12.75">
      <c r="C42" s="15"/>
      <c r="D42" s="15"/>
      <c r="E42" s="15"/>
      <c r="F42" s="15"/>
      <c r="G42" s="15"/>
    </row>
    <row r="43" spans="1:7" ht="12.75">
      <c r="A43" s="484" t="s">
        <v>216</v>
      </c>
      <c r="B43" s="15"/>
      <c r="C43" s="15"/>
      <c r="D43" s="49"/>
      <c r="E43" s="15"/>
      <c r="F43" s="15"/>
      <c r="G43" s="15"/>
    </row>
    <row r="44" spans="1:7" ht="12.75">
      <c r="A44" s="109" t="s">
        <v>68</v>
      </c>
      <c r="B44" s="109"/>
      <c r="C44" s="110"/>
      <c r="D44" s="111">
        <f>+'1. 2002 Base Rate Schedule'!D49+'2. Adding Final 3rd MARR'!B188</f>
        <v>0.00917793820469769</v>
      </c>
      <c r="E44" s="15"/>
      <c r="F44" s="15"/>
      <c r="G44" s="15"/>
    </row>
    <row r="45" spans="1:7" ht="12.75">
      <c r="A45" s="112"/>
      <c r="B45" s="112"/>
      <c r="C45" s="113"/>
      <c r="D45" s="113"/>
      <c r="E45" s="15"/>
      <c r="F45" s="15"/>
      <c r="G45" s="15"/>
    </row>
    <row r="46" spans="1:7" ht="12.75">
      <c r="A46" s="109" t="s">
        <v>69</v>
      </c>
      <c r="B46" s="109"/>
      <c r="C46" s="110"/>
      <c r="D46" s="114">
        <f>+'1. 2002 Base Rate Schedule'!D51+'2. Adding Final 3rd MARR'!C190</f>
        <v>13.580287018663661</v>
      </c>
      <c r="E46" s="15"/>
      <c r="F46" s="15"/>
      <c r="G46" s="15"/>
    </row>
    <row r="47" spans="3:7" ht="12.75">
      <c r="C47" s="15"/>
      <c r="D47" s="15"/>
      <c r="E47" s="15"/>
      <c r="F47" s="15"/>
      <c r="G47" s="15"/>
    </row>
    <row r="48" spans="3:7" ht="12.75">
      <c r="C48" s="15"/>
      <c r="D48" s="15"/>
      <c r="E48" s="15"/>
      <c r="F48" s="15"/>
      <c r="G48" s="15"/>
    </row>
    <row r="49" spans="1:7" ht="12.75">
      <c r="A49" s="484" t="s">
        <v>217</v>
      </c>
      <c r="B49" s="15"/>
      <c r="C49" s="15"/>
      <c r="D49" s="49"/>
      <c r="E49" s="15"/>
      <c r="F49" s="15"/>
      <c r="G49" s="15"/>
    </row>
    <row r="50" spans="1:7" ht="12.75">
      <c r="A50" s="109" t="s">
        <v>68</v>
      </c>
      <c r="B50" s="109"/>
      <c r="C50" s="110"/>
      <c r="D50" s="111">
        <f>+'1. 2002 Base Rate Schedule'!D55+'2. Adding Final 3rd MARR'!B205</f>
        <v>0.010690920678881586</v>
      </c>
      <c r="E50" s="15"/>
      <c r="F50" s="15"/>
      <c r="G50" s="15"/>
    </row>
    <row r="51" spans="1:7" ht="12.75">
      <c r="A51" s="112"/>
      <c r="B51" s="112"/>
      <c r="C51" s="113"/>
      <c r="D51" s="113"/>
      <c r="E51" s="15"/>
      <c r="F51" s="15"/>
      <c r="G51" s="15"/>
    </row>
    <row r="52" spans="1:7" ht="12.75">
      <c r="A52" s="109" t="s">
        <v>69</v>
      </c>
      <c r="B52" s="109"/>
      <c r="C52" s="110"/>
      <c r="D52" s="114">
        <f>+'1. 2002 Base Rate Schedule'!D57+'2. Adding Final 3rd MARR'!C207</f>
        <v>13.491499640108744</v>
      </c>
      <c r="E52" s="15"/>
      <c r="F52" s="15"/>
      <c r="G52" s="15"/>
    </row>
    <row r="53" spans="3:7" ht="12.75">
      <c r="C53" s="15"/>
      <c r="D53" s="15"/>
      <c r="E53" s="15"/>
      <c r="F53" s="15"/>
      <c r="G53" s="15"/>
    </row>
    <row r="54" spans="3:7" ht="12.75">
      <c r="C54" s="15"/>
      <c r="D54" s="15"/>
      <c r="E54" s="15"/>
      <c r="F54" s="15"/>
      <c r="G54" s="15"/>
    </row>
    <row r="55" spans="1:7" ht="12.75">
      <c r="A55" s="484" t="s">
        <v>218</v>
      </c>
      <c r="B55" s="15"/>
      <c r="C55" s="15"/>
      <c r="D55" s="49"/>
      <c r="E55" s="15"/>
      <c r="F55" s="15"/>
      <c r="G55" s="15"/>
    </row>
    <row r="56" spans="1:7" ht="12.75">
      <c r="A56" s="109" t="s">
        <v>68</v>
      </c>
      <c r="B56" s="109"/>
      <c r="C56" s="110"/>
      <c r="D56" s="111">
        <f>+'1. 2002 Base Rate Schedule'!D61+'2. Adding Final 3rd MARR'!B222</f>
        <v>0.005687761190056718</v>
      </c>
      <c r="E56" s="15"/>
      <c r="F56" s="15"/>
      <c r="G56" s="15"/>
    </row>
    <row r="57" spans="1:7" ht="12.75">
      <c r="A57" s="112"/>
      <c r="B57" s="112"/>
      <c r="C57" s="113"/>
      <c r="D57" s="113"/>
      <c r="E57" s="15"/>
      <c r="F57" s="15"/>
      <c r="G57" s="15"/>
    </row>
    <row r="58" spans="1:7" ht="12.75">
      <c r="A58" s="109" t="s">
        <v>69</v>
      </c>
      <c r="B58" s="109"/>
      <c r="C58" s="110"/>
      <c r="D58" s="114">
        <f>+'1. 2002 Base Rate Schedule'!D63+'2. Adding Final 3rd MARR'!C224</f>
        <v>7.057043226024896</v>
      </c>
      <c r="E58" s="15"/>
      <c r="F58" s="15"/>
      <c r="G58" s="15"/>
    </row>
    <row r="59" spans="3:7" ht="12.75">
      <c r="C59" s="15"/>
      <c r="D59" s="15"/>
      <c r="E59" s="15"/>
      <c r="F59" s="15"/>
      <c r="G59" s="15"/>
    </row>
    <row r="60" spans="3:7" ht="12.75">
      <c r="C60" s="15"/>
      <c r="D60" s="15"/>
      <c r="E60" s="15"/>
      <c r="F60" s="15"/>
      <c r="G60" s="15"/>
    </row>
    <row r="61" spans="1:7" ht="12.75">
      <c r="A61" s="484" t="s">
        <v>219</v>
      </c>
      <c r="B61" s="15"/>
      <c r="C61" s="15"/>
      <c r="D61" s="49"/>
      <c r="E61" s="15"/>
      <c r="F61" s="15"/>
      <c r="G61" s="15"/>
    </row>
    <row r="62" spans="1:7" ht="12.75">
      <c r="A62" s="109" t="s">
        <v>68</v>
      </c>
      <c r="B62" s="109"/>
      <c r="C62" s="110"/>
      <c r="D62" s="111">
        <f>+'1. 2002 Base Rate Schedule'!D67+'2. Adding Final 3rd MARR'!B239</f>
        <v>0.008348308030374601</v>
      </c>
      <c r="E62" s="15"/>
      <c r="F62" s="15"/>
      <c r="G62" s="15"/>
    </row>
    <row r="63" spans="1:7" ht="12.75">
      <c r="A63" s="112"/>
      <c r="B63" s="112"/>
      <c r="C63" s="113"/>
      <c r="D63" s="113"/>
      <c r="E63" s="15"/>
      <c r="F63" s="15"/>
      <c r="G63" s="15"/>
    </row>
    <row r="64" spans="1:7" ht="12.75">
      <c r="A64" s="109" t="s">
        <v>69</v>
      </c>
      <c r="B64" s="109"/>
      <c r="C64" s="110"/>
      <c r="D64" s="114">
        <f>+'1. 2002 Base Rate Schedule'!D69+'2. Adding Final 3rd MARR'!C241</f>
        <v>10.723239435311964</v>
      </c>
      <c r="E64" s="15"/>
      <c r="F64" s="15"/>
      <c r="G64" s="15"/>
    </row>
    <row r="65" spans="3:7" ht="12.75">
      <c r="C65" s="15"/>
      <c r="D65" s="15"/>
      <c r="E65" s="15"/>
      <c r="F65" s="15"/>
      <c r="G65" s="15"/>
    </row>
    <row r="66" spans="3:7" ht="12.75">
      <c r="C66" s="15"/>
      <c r="D66" s="15"/>
      <c r="E66" s="15"/>
      <c r="F66" s="15"/>
      <c r="G66" s="15"/>
    </row>
    <row r="67" spans="1:7" ht="12.75">
      <c r="A67" s="484" t="s">
        <v>220</v>
      </c>
      <c r="B67" s="15"/>
      <c r="C67" s="15"/>
      <c r="D67" s="49"/>
      <c r="E67" s="15"/>
      <c r="F67" s="15"/>
      <c r="G67" s="15"/>
    </row>
    <row r="68" spans="1:7" ht="12.75">
      <c r="A68" s="109" t="s">
        <v>68</v>
      </c>
      <c r="B68" s="109"/>
      <c r="C68" s="110"/>
      <c r="D68" s="111">
        <f>+'1. 2002 Base Rate Schedule'!D73+'2. Adding Final 3rd MARR'!B256</f>
        <v>0.011083659624887169</v>
      </c>
      <c r="E68" s="15"/>
      <c r="F68" s="15"/>
      <c r="G68" s="15"/>
    </row>
    <row r="69" spans="1:7" ht="12.75">
      <c r="A69" s="112"/>
      <c r="B69" s="112"/>
      <c r="C69" s="113"/>
      <c r="D69" s="113"/>
      <c r="E69" s="15"/>
      <c r="F69" s="15"/>
      <c r="G69" s="15"/>
    </row>
    <row r="70" spans="1:7" ht="12.75">
      <c r="A70" s="109" t="s">
        <v>69</v>
      </c>
      <c r="B70" s="109"/>
      <c r="C70" s="110"/>
      <c r="D70" s="114">
        <f>+'1. 2002 Base Rate Schedule'!D75+'2. Adding Final 3rd MARR'!C258</f>
        <v>14.222490480733107</v>
      </c>
      <c r="E70" s="15"/>
      <c r="F70" s="15"/>
      <c r="G70" s="15"/>
    </row>
    <row r="71" spans="3:7" ht="12.75">
      <c r="C71" s="15"/>
      <c r="D71" s="15"/>
      <c r="E71" s="15"/>
      <c r="F71" s="15"/>
      <c r="G71" s="15"/>
    </row>
    <row r="72" spans="3:7" ht="12.75">
      <c r="C72" s="15"/>
      <c r="D72" s="15"/>
      <c r="E72" s="15"/>
      <c r="F72" s="15"/>
      <c r="G72" s="15"/>
    </row>
    <row r="73" spans="1:7" ht="12.75">
      <c r="A73" s="484" t="s">
        <v>221</v>
      </c>
      <c r="B73" s="15"/>
      <c r="C73" s="15"/>
      <c r="D73" s="49"/>
      <c r="E73" s="15"/>
      <c r="F73" s="15"/>
      <c r="G73" s="15"/>
    </row>
    <row r="74" spans="1:7" ht="12.75">
      <c r="A74" s="109" t="s">
        <v>68</v>
      </c>
      <c r="B74" s="109"/>
      <c r="C74" s="110"/>
      <c r="D74" s="111">
        <f>+'1. 2002 Base Rate Schedule'!D79+'2. Adding Final 3rd MARR'!B273</f>
        <v>0.007582987798856265</v>
      </c>
      <c r="E74" s="15"/>
      <c r="F74" s="15"/>
      <c r="G74" s="15"/>
    </row>
    <row r="75" spans="1:7" ht="12.75">
      <c r="A75" s="112"/>
      <c r="B75" s="112"/>
      <c r="C75" s="113"/>
      <c r="D75" s="113"/>
      <c r="E75" s="15"/>
      <c r="F75" s="15"/>
      <c r="G75" s="15"/>
    </row>
    <row r="76" spans="1:7" ht="12.75">
      <c r="A76" s="109" t="s">
        <v>69</v>
      </c>
      <c r="B76" s="109"/>
      <c r="C76" s="110"/>
      <c r="D76" s="114">
        <f>+'1. 2002 Base Rate Schedule'!D81+'2. Adding Final 3rd MARR'!C275</f>
        <v>10.102733291558184</v>
      </c>
      <c r="E76" s="15"/>
      <c r="F76" s="15"/>
      <c r="G76" s="15"/>
    </row>
    <row r="77" spans="3:7" ht="12.75">
      <c r="C77" s="15"/>
      <c r="D77" s="15"/>
      <c r="E77" s="15"/>
      <c r="F77" s="15"/>
      <c r="G77" s="15"/>
    </row>
    <row r="78" spans="3:7" ht="12.75">
      <c r="C78" s="15"/>
      <c r="D78" s="15"/>
      <c r="E78" s="15"/>
      <c r="F78" s="15"/>
      <c r="G78" s="15"/>
    </row>
    <row r="79" spans="1:7" ht="18">
      <c r="A79" s="55" t="s">
        <v>2</v>
      </c>
      <c r="C79" s="53"/>
      <c r="D79" s="52"/>
      <c r="E79" s="15"/>
      <c r="F79" s="15"/>
      <c r="G79" s="15"/>
    </row>
    <row r="80" spans="3:7" ht="12.75">
      <c r="C80" s="15"/>
      <c r="D80" s="15"/>
      <c r="E80" s="15"/>
      <c r="F80" s="15"/>
      <c r="G80" s="15"/>
    </row>
    <row r="81" spans="1:7" ht="12.75">
      <c r="A81" s="109" t="s">
        <v>68</v>
      </c>
      <c r="B81" s="109"/>
      <c r="C81" s="110"/>
      <c r="D81" s="111"/>
      <c r="E81" s="15"/>
      <c r="F81" s="15"/>
      <c r="G81" s="15"/>
    </row>
    <row r="82" spans="1:7" ht="12.75">
      <c r="A82" s="112"/>
      <c r="B82" s="112"/>
      <c r="C82" s="113"/>
      <c r="D82" s="113"/>
      <c r="E82" s="15"/>
      <c r="F82" s="15"/>
      <c r="G82" s="15"/>
    </row>
    <row r="83" spans="1:7" ht="12.75">
      <c r="A83" s="109" t="s">
        <v>69</v>
      </c>
      <c r="B83" s="109"/>
      <c r="C83" s="110"/>
      <c r="D83" s="114"/>
      <c r="E83" s="15"/>
      <c r="F83" s="15"/>
      <c r="G83" s="15"/>
    </row>
    <row r="84" spans="3:7" ht="12.75">
      <c r="C84" s="15"/>
      <c r="D84" s="49"/>
      <c r="E84" s="15"/>
      <c r="F84" s="15"/>
      <c r="G84" s="15"/>
    </row>
    <row r="85" spans="3:7" ht="12.75">
      <c r="C85" s="15"/>
      <c r="D85" s="15"/>
      <c r="E85" s="15"/>
      <c r="F85" s="15"/>
      <c r="G85" s="15"/>
    </row>
    <row r="86" spans="1:7" ht="18">
      <c r="A86" s="55" t="s">
        <v>241</v>
      </c>
      <c r="C86" s="53"/>
      <c r="D86" s="52"/>
      <c r="E86" s="15"/>
      <c r="F86" s="15"/>
      <c r="G86" s="15"/>
    </row>
    <row r="87" spans="3:7" ht="12.75">
      <c r="C87" s="15"/>
      <c r="D87" s="15"/>
      <c r="E87" s="15"/>
      <c r="F87" s="15"/>
      <c r="G87" s="15"/>
    </row>
    <row r="88" spans="1:7" ht="12.75">
      <c r="A88" s="109" t="s">
        <v>68</v>
      </c>
      <c r="B88" s="34"/>
      <c r="C88" s="23"/>
      <c r="D88" s="107">
        <f>+'1. 2002 Base Rate Schedule'!D93+'2. Adding Final 3rd MARR'!B293</f>
        <v>0.006300541856173073</v>
      </c>
      <c r="E88" s="15"/>
      <c r="F88" s="15"/>
      <c r="G88" s="15"/>
    </row>
    <row r="89" spans="1:7" ht="12.75">
      <c r="A89" s="112"/>
      <c r="C89" s="15"/>
      <c r="D89" s="15"/>
      <c r="E89" s="15"/>
      <c r="F89" s="15"/>
      <c r="G89" s="15"/>
    </row>
    <row r="90" spans="1:7" ht="12.75">
      <c r="A90" s="109" t="s">
        <v>69</v>
      </c>
      <c r="B90" s="34"/>
      <c r="C90" s="23"/>
      <c r="D90" s="108">
        <f>+'1. 2002 Base Rate Schedule'!D95+'2. Adding Final 3rd MARR'!C295</f>
        <v>32.23453397499679</v>
      </c>
      <c r="E90" s="15"/>
      <c r="F90" s="15"/>
      <c r="G90" s="15"/>
    </row>
    <row r="91" spans="3:7" ht="12.75">
      <c r="C91" s="15"/>
      <c r="D91" s="15"/>
      <c r="E91" s="15"/>
      <c r="F91" s="15"/>
      <c r="G91" s="15"/>
    </row>
    <row r="92" spans="2:7" ht="12.75">
      <c r="B92" s="15"/>
      <c r="C92" s="15"/>
      <c r="D92" s="49"/>
      <c r="E92" s="15"/>
      <c r="F92" s="15"/>
      <c r="G92" s="15"/>
    </row>
    <row r="93" spans="1:7" ht="18">
      <c r="A93" s="55" t="s">
        <v>4</v>
      </c>
      <c r="B93" s="52"/>
      <c r="C93" s="53"/>
      <c r="D93" s="49"/>
      <c r="E93" s="15"/>
      <c r="F93" s="15"/>
      <c r="G93" s="15"/>
    </row>
    <row r="94" spans="2:7" ht="12.75">
      <c r="B94" s="15"/>
      <c r="C94" s="15"/>
      <c r="D94" s="49"/>
      <c r="E94" s="15"/>
      <c r="F94" s="15"/>
      <c r="G94" s="15"/>
    </row>
    <row r="95" spans="1:7" ht="12.75">
      <c r="A95" s="109" t="s">
        <v>70</v>
      </c>
      <c r="B95" s="34"/>
      <c r="C95" s="23"/>
      <c r="D95" s="107">
        <f>+'1. 2002 Base Rate Schedule'!D100+'2. Adding Final 3rd MARR'!B313</f>
        <v>0.8973768144855306</v>
      </c>
      <c r="E95" s="15"/>
      <c r="F95" s="15"/>
      <c r="G95" s="15"/>
    </row>
    <row r="96" spans="1:7" ht="12.75">
      <c r="A96" s="112"/>
      <c r="C96" s="15"/>
      <c r="D96" s="15"/>
      <c r="E96" s="15"/>
      <c r="F96" s="15"/>
      <c r="G96" s="15"/>
    </row>
    <row r="97" spans="1:7" ht="12.75">
      <c r="A97" s="109" t="s">
        <v>69</v>
      </c>
      <c r="B97" s="34"/>
      <c r="C97" s="23"/>
      <c r="D97" s="108">
        <f>+'1. 2002 Base Rate Schedule'!D102+'2. Adding Final 3rd MARR'!C315</f>
        <v>133.85747626351818</v>
      </c>
      <c r="E97" s="15"/>
      <c r="F97" s="15"/>
      <c r="G97" s="15"/>
    </row>
    <row r="98" spans="2:7" ht="12.75">
      <c r="B98" s="15"/>
      <c r="C98" s="15"/>
      <c r="D98" s="49"/>
      <c r="E98" s="15"/>
      <c r="F98" s="15"/>
      <c r="G98" s="15"/>
    </row>
    <row r="99" spans="2:7" ht="12.75">
      <c r="B99" s="15"/>
      <c r="C99" s="15"/>
      <c r="D99" s="49"/>
      <c r="E99" s="15"/>
      <c r="F99" s="15"/>
      <c r="G99" s="15"/>
    </row>
    <row r="100" spans="1:7" ht="18">
      <c r="A100" s="55" t="s">
        <v>5</v>
      </c>
      <c r="B100" s="52"/>
      <c r="C100" s="53"/>
      <c r="D100" s="49"/>
      <c r="E100" s="15"/>
      <c r="F100" s="15"/>
      <c r="G100" s="15"/>
    </row>
    <row r="101" spans="1:7" ht="12.75">
      <c r="A101" s="484" t="s">
        <v>211</v>
      </c>
      <c r="B101" s="15"/>
      <c r="C101" s="15"/>
      <c r="D101" s="49"/>
      <c r="E101" s="15"/>
      <c r="F101" s="15"/>
      <c r="G101" s="15"/>
    </row>
    <row r="102" spans="1:7" ht="12.75">
      <c r="A102" s="109" t="s">
        <v>70</v>
      </c>
      <c r="B102" s="23"/>
      <c r="C102" s="23"/>
      <c r="D102" s="107">
        <f>+'1. 2002 Base Rate Schedule'!D107+'2. Adding Final 3rd MARR'!B333</f>
        <v>0.9760399277036772</v>
      </c>
      <c r="E102" s="15"/>
      <c r="F102" s="15"/>
      <c r="G102" s="15"/>
    </row>
    <row r="103" spans="1:7" ht="12.75">
      <c r="A103" s="112"/>
      <c r="B103" s="15"/>
      <c r="C103" s="15"/>
      <c r="D103" s="49"/>
      <c r="E103" s="15"/>
      <c r="F103" s="15"/>
      <c r="G103" s="15"/>
    </row>
    <row r="104" spans="1:7" ht="12.75">
      <c r="A104" s="109" t="s">
        <v>69</v>
      </c>
      <c r="B104" s="51"/>
      <c r="C104" s="23"/>
      <c r="D104" s="108">
        <f>+'1. 2002 Base Rate Schedule'!D109+'2. Adding Final 3rd MARR'!C335</f>
        <v>2302.371858459347</v>
      </c>
      <c r="E104" s="15"/>
      <c r="F104" s="15"/>
      <c r="G104" s="15"/>
    </row>
    <row r="105" spans="2:7" ht="12.75">
      <c r="B105" s="15"/>
      <c r="C105" s="15"/>
      <c r="D105" s="49"/>
      <c r="E105" s="15"/>
      <c r="F105" s="15"/>
      <c r="G105" s="15"/>
    </row>
    <row r="106" spans="1:7" ht="18">
      <c r="A106" s="8"/>
      <c r="B106" s="15"/>
      <c r="C106" s="15"/>
      <c r="D106" s="49"/>
      <c r="E106" s="15"/>
      <c r="F106" s="15"/>
      <c r="G106" s="15"/>
    </row>
    <row r="107" spans="1:7" ht="12.75">
      <c r="A107" s="484" t="s">
        <v>213</v>
      </c>
      <c r="B107" s="15"/>
      <c r="C107" s="15"/>
      <c r="D107" s="49"/>
      <c r="E107" s="15"/>
      <c r="F107" s="15"/>
      <c r="G107" s="15"/>
    </row>
    <row r="108" spans="1:7" ht="12.75">
      <c r="A108" s="109" t="s">
        <v>70</v>
      </c>
      <c r="B108" s="23"/>
      <c r="C108" s="23"/>
      <c r="D108" s="107">
        <f>+'1. 2002 Base Rate Schedule'!D113+'2. Adding Final 3rd MARR'!B350</f>
        <v>1.266348861823686</v>
      </c>
      <c r="E108" s="15"/>
      <c r="F108" s="15"/>
      <c r="G108" s="15"/>
    </row>
    <row r="109" spans="1:7" ht="12.75">
      <c r="A109" s="112"/>
      <c r="B109" s="15"/>
      <c r="C109" s="15"/>
      <c r="D109" s="49"/>
      <c r="E109" s="15"/>
      <c r="F109" s="15"/>
      <c r="G109" s="15"/>
    </row>
    <row r="110" spans="1:7" ht="12.75">
      <c r="A110" s="109" t="s">
        <v>69</v>
      </c>
      <c r="B110" s="51"/>
      <c r="C110" s="23"/>
      <c r="D110" s="108">
        <f>+'1. 2002 Base Rate Schedule'!D115+'2. Adding Final 3rd MARR'!C352</f>
        <v>3857.508826100473</v>
      </c>
      <c r="E110" s="15"/>
      <c r="F110" s="15"/>
      <c r="G110" s="15"/>
    </row>
    <row r="111" spans="1:7" ht="12.75">
      <c r="A111" s="296"/>
      <c r="B111" s="50"/>
      <c r="C111" s="20"/>
      <c r="D111" s="15"/>
      <c r="E111" s="15"/>
      <c r="F111" s="15"/>
      <c r="G111" s="15"/>
    </row>
    <row r="112" spans="1:7" ht="12.75">
      <c r="A112" s="296"/>
      <c r="B112" s="50"/>
      <c r="C112" s="20"/>
      <c r="D112" s="15"/>
      <c r="E112" s="15"/>
      <c r="F112" s="15"/>
      <c r="G112" s="15"/>
    </row>
    <row r="113" spans="1:7" ht="18">
      <c r="A113" s="55" t="s">
        <v>199</v>
      </c>
      <c r="B113" s="15"/>
      <c r="C113" s="15"/>
      <c r="D113" s="49"/>
      <c r="E113" s="15"/>
      <c r="F113" s="15"/>
      <c r="G113" s="15"/>
    </row>
    <row r="114" spans="1:7" ht="12.75">
      <c r="A114" s="296"/>
      <c r="B114" s="15"/>
      <c r="C114" s="15"/>
      <c r="D114" s="49"/>
      <c r="E114" s="15"/>
      <c r="F114" s="15"/>
      <c r="G114" s="15"/>
    </row>
    <row r="115" spans="1:7" ht="12.75">
      <c r="A115" s="109" t="s">
        <v>70</v>
      </c>
      <c r="B115" s="34"/>
      <c r="C115" s="23"/>
      <c r="D115" s="107"/>
      <c r="E115" s="15"/>
      <c r="F115" s="15"/>
      <c r="G115" s="15"/>
    </row>
    <row r="116" spans="1:7" ht="12.75">
      <c r="A116" s="112"/>
      <c r="C116" s="15"/>
      <c r="D116" s="15"/>
      <c r="E116" s="15"/>
      <c r="F116" s="15"/>
      <c r="G116" s="15"/>
    </row>
    <row r="117" spans="1:7" ht="12.75">
      <c r="A117" s="109" t="s">
        <v>69</v>
      </c>
      <c r="B117" s="34"/>
      <c r="C117" s="23"/>
      <c r="D117" s="108"/>
      <c r="E117" s="15"/>
      <c r="F117" s="15"/>
      <c r="G117" s="15"/>
    </row>
    <row r="118" spans="1:7" ht="12.75">
      <c r="A118" s="296"/>
      <c r="B118" s="31"/>
      <c r="C118" s="20"/>
      <c r="D118" s="15"/>
      <c r="E118" s="15"/>
      <c r="F118" s="15"/>
      <c r="G118" s="15"/>
    </row>
    <row r="119" spans="2:7" ht="12.75">
      <c r="B119" s="15"/>
      <c r="C119" s="15"/>
      <c r="D119" s="49"/>
      <c r="E119" s="15"/>
      <c r="F119" s="15"/>
      <c r="G119" s="15"/>
    </row>
    <row r="120" spans="1:7" ht="18">
      <c r="A120" s="55" t="s">
        <v>1</v>
      </c>
      <c r="B120" s="15"/>
      <c r="C120" s="15"/>
      <c r="D120" s="49"/>
      <c r="E120" s="15"/>
      <c r="F120" s="15"/>
      <c r="G120" s="15"/>
    </row>
    <row r="121" spans="1:7" ht="12.75">
      <c r="A121" s="484" t="s">
        <v>213</v>
      </c>
      <c r="B121" s="15"/>
      <c r="C121" s="15"/>
      <c r="D121" s="49"/>
      <c r="E121" s="15"/>
      <c r="F121" s="15"/>
      <c r="G121" s="15"/>
    </row>
    <row r="122" spans="1:7" ht="12.75">
      <c r="A122" s="109" t="s">
        <v>70</v>
      </c>
      <c r="B122" s="23"/>
      <c r="C122" s="23"/>
      <c r="D122" s="107">
        <f>+'1. 2002 Base Rate Schedule'!D127+'2. Adding Final 3rd MARR'!B390</f>
        <v>1.7762634496832694</v>
      </c>
      <c r="E122" s="15"/>
      <c r="F122" s="15"/>
      <c r="G122" s="15"/>
    </row>
    <row r="123" spans="1:7" ht="12.75">
      <c r="A123" s="112"/>
      <c r="B123" s="15"/>
      <c r="C123" s="15"/>
      <c r="D123" s="49"/>
      <c r="E123" s="15"/>
      <c r="F123" s="15"/>
      <c r="G123" s="15"/>
    </row>
    <row r="124" spans="1:7" ht="12.75">
      <c r="A124" s="109" t="s">
        <v>69</v>
      </c>
      <c r="B124" s="51"/>
      <c r="C124" s="23"/>
      <c r="D124" s="108">
        <f>+'1. 2002 Base Rate Schedule'!D129+'2. Adding Final 3rd MARR'!C392</f>
        <v>10069.069583156099</v>
      </c>
      <c r="E124" s="15"/>
      <c r="F124" s="15"/>
      <c r="G124" s="15"/>
    </row>
    <row r="125" spans="2:7" ht="12.75">
      <c r="B125" s="15"/>
      <c r="C125" s="15"/>
      <c r="D125" s="49"/>
      <c r="E125" s="15"/>
      <c r="F125" s="15"/>
      <c r="G125" s="15"/>
    </row>
    <row r="126" spans="3:7" ht="12.75">
      <c r="C126" s="15"/>
      <c r="E126" s="15"/>
      <c r="F126" s="15"/>
      <c r="G126" s="15"/>
    </row>
    <row r="127" spans="1:7" ht="12.75">
      <c r="A127" s="485" t="s">
        <v>220</v>
      </c>
      <c r="B127" s="23"/>
      <c r="C127" s="23"/>
      <c r="D127" s="107">
        <f>+'1. 2002 Base Rate Schedule'!D132+'2. Adding Final 3rd MARR'!B407</f>
        <v>1.9822163298691637</v>
      </c>
      <c r="E127" s="15"/>
      <c r="F127" s="15"/>
      <c r="G127" s="15"/>
    </row>
    <row r="128" spans="1:7" ht="12.75">
      <c r="A128" s="112"/>
      <c r="B128" s="15"/>
      <c r="C128" s="15"/>
      <c r="D128" s="49"/>
      <c r="E128" s="15"/>
      <c r="F128" s="15"/>
      <c r="G128" s="15"/>
    </row>
    <row r="129" spans="1:7" ht="12.75">
      <c r="A129" s="109" t="s">
        <v>69</v>
      </c>
      <c r="B129" s="51"/>
      <c r="C129" s="23"/>
      <c r="D129" s="108">
        <f>+'1. 2002 Base Rate Schedule'!D134+'2. Adding Final 3rd MARR'!C409</f>
        <v>12771.823754726202</v>
      </c>
      <c r="E129" s="15"/>
      <c r="F129" s="15"/>
      <c r="G129" s="15"/>
    </row>
    <row r="130" spans="1:7" ht="12.75">
      <c r="A130" s="296"/>
      <c r="B130" s="50"/>
      <c r="C130" s="20"/>
      <c r="D130" s="15"/>
      <c r="E130" s="15"/>
      <c r="F130" s="15"/>
      <c r="G130" s="15"/>
    </row>
    <row r="131" spans="1:7" ht="12.75">
      <c r="A131" s="296"/>
      <c r="B131" s="50"/>
      <c r="C131" s="20"/>
      <c r="D131" s="15"/>
      <c r="E131" s="15"/>
      <c r="F131" s="15"/>
      <c r="G131" s="15"/>
    </row>
    <row r="132" spans="1:7" ht="18">
      <c r="A132" s="55" t="s">
        <v>6</v>
      </c>
      <c r="B132" s="15"/>
      <c r="C132" s="15"/>
      <c r="D132" s="49"/>
      <c r="E132" s="15"/>
      <c r="F132" s="15"/>
      <c r="G132" s="15"/>
    </row>
    <row r="133" spans="1:7" ht="12.75">
      <c r="A133" s="484" t="s">
        <v>211</v>
      </c>
      <c r="B133" s="15"/>
      <c r="C133" s="15"/>
      <c r="D133" s="49"/>
      <c r="E133" s="15"/>
      <c r="F133" s="15"/>
      <c r="G133" s="15"/>
    </row>
    <row r="134" spans="1:7" ht="12.75">
      <c r="A134" s="109" t="s">
        <v>70</v>
      </c>
      <c r="B134" s="34"/>
      <c r="C134" s="23"/>
      <c r="D134" s="107">
        <f>+'1. 2002 Base Rate Schedule'!D139+'2. Adding Final 3rd MARR'!B428</f>
        <v>0.7264167882233379</v>
      </c>
      <c r="E134" s="15"/>
      <c r="F134" s="15"/>
      <c r="G134" s="15"/>
    </row>
    <row r="135" spans="1:7" ht="12.75">
      <c r="A135" s="112"/>
      <c r="C135" s="15"/>
      <c r="D135" s="15"/>
      <c r="E135" s="15"/>
      <c r="F135" s="15"/>
      <c r="G135" s="15"/>
    </row>
    <row r="136" spans="1:7" ht="12.75">
      <c r="A136" s="109" t="s">
        <v>195</v>
      </c>
      <c r="B136" s="34"/>
      <c r="C136" s="23"/>
      <c r="D136" s="108">
        <f>+'1. 2002 Base Rate Schedule'!D141+'2. Adding Final 3rd MARR'!C430</f>
        <v>1.708792589588354</v>
      </c>
      <c r="E136" s="15"/>
      <c r="F136" s="15"/>
      <c r="G136" s="15"/>
    </row>
    <row r="137" spans="2:7" ht="12.75">
      <c r="B137" s="15"/>
      <c r="C137" s="15"/>
      <c r="D137" s="49"/>
      <c r="E137" s="15"/>
      <c r="F137" s="15"/>
      <c r="G137" s="15"/>
    </row>
    <row r="138" spans="2:7" ht="12.75">
      <c r="B138" s="15"/>
      <c r="C138" s="15"/>
      <c r="D138" s="49"/>
      <c r="E138" s="15"/>
      <c r="F138" s="15"/>
      <c r="G138" s="15"/>
    </row>
    <row r="139" spans="1:7" ht="12.75">
      <c r="A139" s="484" t="s">
        <v>212</v>
      </c>
      <c r="B139" s="15"/>
      <c r="C139" s="15"/>
      <c r="D139" s="49"/>
      <c r="E139" s="15"/>
      <c r="F139" s="15"/>
      <c r="G139" s="15"/>
    </row>
    <row r="140" spans="1:7" ht="12.75">
      <c r="A140" s="109" t="s">
        <v>70</v>
      </c>
      <c r="B140" s="34"/>
      <c r="C140" s="23"/>
      <c r="D140" s="107">
        <f>+'1. 2002 Base Rate Schedule'!D145+'2. Adding Final 3rd MARR'!B445</f>
        <v>0.7974452121557687</v>
      </c>
      <c r="E140" s="15"/>
      <c r="F140" s="15"/>
      <c r="G140" s="15"/>
    </row>
    <row r="141" spans="1:7" ht="12.75">
      <c r="A141" s="112"/>
      <c r="C141" s="15"/>
      <c r="D141" s="15"/>
      <c r="E141" s="15"/>
      <c r="F141" s="15"/>
      <c r="G141" s="15"/>
    </row>
    <row r="142" spans="1:7" ht="12.75">
      <c r="A142" s="109" t="s">
        <v>195</v>
      </c>
      <c r="B142" s="34"/>
      <c r="C142" s="23"/>
      <c r="D142" s="108">
        <f>+'1. 2002 Base Rate Schedule'!D147+'2. Adding Final 3rd MARR'!C447</f>
        <v>3.139050610774767</v>
      </c>
      <c r="E142" s="15"/>
      <c r="F142" s="15"/>
      <c r="G142" s="15"/>
    </row>
    <row r="143" spans="2:7" ht="12.75">
      <c r="B143" s="15"/>
      <c r="C143" s="15"/>
      <c r="D143" s="49"/>
      <c r="E143" s="15"/>
      <c r="F143" s="15"/>
      <c r="G143" s="15"/>
    </row>
    <row r="144" spans="2:7" ht="12.75">
      <c r="B144" s="15"/>
      <c r="C144" s="15"/>
      <c r="D144" s="49"/>
      <c r="E144" s="15"/>
      <c r="F144" s="15"/>
      <c r="G144" s="15"/>
    </row>
    <row r="145" spans="1:7" ht="12.75">
      <c r="A145" s="484" t="s">
        <v>213</v>
      </c>
      <c r="B145" s="15"/>
      <c r="C145" s="15"/>
      <c r="D145" s="49"/>
      <c r="E145" s="15"/>
      <c r="F145" s="15"/>
      <c r="G145" s="15"/>
    </row>
    <row r="146" spans="1:7" ht="12.75">
      <c r="A146" s="109" t="s">
        <v>70</v>
      </c>
      <c r="B146" s="34"/>
      <c r="C146" s="23"/>
      <c r="D146" s="107">
        <f>+'1. 2002 Base Rate Schedule'!D151+'2. Adding Final 3rd MARR'!B445</f>
        <v>0.8074452121557687</v>
      </c>
      <c r="E146" s="15"/>
      <c r="F146" s="15"/>
      <c r="G146" s="15"/>
    </row>
    <row r="147" spans="1:7" ht="12.75">
      <c r="A147" s="112"/>
      <c r="C147" s="15"/>
      <c r="D147" s="15"/>
      <c r="E147" s="15"/>
      <c r="F147" s="15"/>
      <c r="G147" s="15"/>
    </row>
    <row r="148" spans="1:7" ht="12.75">
      <c r="A148" s="109" t="s">
        <v>195</v>
      </c>
      <c r="B148" s="34"/>
      <c r="C148" s="23"/>
      <c r="D148" s="108">
        <f>+'1. 2002 Base Rate Schedule'!D153+'2. Adding Final 3rd MARR'!C464</f>
        <v>4.851132973099862</v>
      </c>
      <c r="E148" s="15"/>
      <c r="F148" s="15"/>
      <c r="G148" s="15"/>
    </row>
    <row r="149" spans="2:7" ht="12.75">
      <c r="B149" s="15"/>
      <c r="C149" s="15"/>
      <c r="D149" s="49"/>
      <c r="E149" s="15"/>
      <c r="F149" s="15"/>
      <c r="G149" s="15"/>
    </row>
    <row r="150" spans="2:7" ht="12.75">
      <c r="B150" s="15"/>
      <c r="C150" s="15"/>
      <c r="D150" s="49"/>
      <c r="E150" s="15"/>
      <c r="F150" s="15"/>
      <c r="G150" s="15"/>
    </row>
    <row r="151" spans="1:7" ht="12.75">
      <c r="A151" s="484" t="s">
        <v>214</v>
      </c>
      <c r="B151" s="15"/>
      <c r="C151" s="15"/>
      <c r="D151" s="49"/>
      <c r="E151" s="15"/>
      <c r="F151" s="15"/>
      <c r="G151" s="15"/>
    </row>
    <row r="152" spans="1:7" ht="12.75">
      <c r="A152" s="109" t="s">
        <v>70</v>
      </c>
      <c r="B152" s="34"/>
      <c r="C152" s="23"/>
      <c r="D152" s="107">
        <f>+'1. 2002 Base Rate Schedule'!D157+'2. Adding Final 3rd MARR'!B479</f>
        <v>0.8221432271015375</v>
      </c>
      <c r="E152" s="15"/>
      <c r="F152" s="15"/>
      <c r="G152" s="15"/>
    </row>
    <row r="153" spans="1:7" ht="12.75">
      <c r="A153" s="112"/>
      <c r="C153" s="15"/>
      <c r="D153" s="15"/>
      <c r="E153" s="15"/>
      <c r="F153" s="15"/>
      <c r="G153" s="15"/>
    </row>
    <row r="154" spans="1:7" ht="12.75">
      <c r="A154" s="109" t="s">
        <v>195</v>
      </c>
      <c r="B154" s="34"/>
      <c r="C154" s="23"/>
      <c r="D154" s="108">
        <f>+'1. 2002 Base Rate Schedule'!D159+'2. Adding Final 3rd MARR'!C481</f>
        <v>4.519230142673625</v>
      </c>
      <c r="E154" s="15"/>
      <c r="F154" s="15"/>
      <c r="G154" s="15"/>
    </row>
    <row r="155" spans="2:7" ht="12.75">
      <c r="B155" s="15"/>
      <c r="C155" s="15"/>
      <c r="D155" s="49"/>
      <c r="E155" s="15"/>
      <c r="F155" s="15"/>
      <c r="G155" s="15"/>
    </row>
    <row r="156" spans="2:7" ht="12.75">
      <c r="B156" s="15"/>
      <c r="C156" s="15"/>
      <c r="D156" s="49"/>
      <c r="E156" s="15"/>
      <c r="F156" s="15"/>
      <c r="G156" s="15"/>
    </row>
    <row r="157" spans="1:7" ht="12.75">
      <c r="A157" s="484" t="s">
        <v>215</v>
      </c>
      <c r="B157" s="15"/>
      <c r="C157" s="15"/>
      <c r="D157" s="49"/>
      <c r="E157" s="15"/>
      <c r="F157" s="15"/>
      <c r="G157" s="15"/>
    </row>
    <row r="158" spans="1:7" ht="12.75">
      <c r="A158" s="109" t="s">
        <v>70</v>
      </c>
      <c r="B158" s="34"/>
      <c r="C158" s="23"/>
      <c r="D158" s="107">
        <f>+'1. 2002 Base Rate Schedule'!D163+'2. Adding Final 3rd MARR'!B496</f>
        <v>0.17</v>
      </c>
      <c r="E158" s="15"/>
      <c r="F158" s="15"/>
      <c r="G158" s="15"/>
    </row>
    <row r="159" spans="1:7" ht="12.75">
      <c r="A159" s="112"/>
      <c r="C159" s="15"/>
      <c r="D159" s="15"/>
      <c r="E159" s="15"/>
      <c r="F159" s="15"/>
      <c r="G159" s="15"/>
    </row>
    <row r="160" spans="1:7" ht="12.75">
      <c r="A160" s="109" t="s">
        <v>195</v>
      </c>
      <c r="B160" s="34"/>
      <c r="C160" s="23"/>
      <c r="D160" s="108">
        <f>+'1. 2002 Base Rate Schedule'!D165+'2. Adding Final 3rd MARR'!C498</f>
        <v>2.87</v>
      </c>
      <c r="E160" s="15"/>
      <c r="F160" s="15"/>
      <c r="G160" s="15"/>
    </row>
    <row r="161" spans="2:7" ht="12.75">
      <c r="B161" s="15"/>
      <c r="C161" s="15"/>
      <c r="D161" s="49"/>
      <c r="E161" s="15"/>
      <c r="F161" s="15"/>
      <c r="G161" s="15"/>
    </row>
    <row r="162" spans="2:7" ht="12.75">
      <c r="B162" s="15"/>
      <c r="C162" s="15"/>
      <c r="D162" s="49"/>
      <c r="E162" s="15"/>
      <c r="F162" s="15"/>
      <c r="G162" s="15"/>
    </row>
    <row r="163" spans="1:7" ht="12.75">
      <c r="A163" s="484" t="s">
        <v>216</v>
      </c>
      <c r="B163" s="15"/>
      <c r="C163" s="15"/>
      <c r="D163" s="49"/>
      <c r="E163" s="15"/>
      <c r="F163" s="15"/>
      <c r="G163" s="15"/>
    </row>
    <row r="164" spans="1:7" ht="12.75">
      <c r="A164" s="109" t="s">
        <v>70</v>
      </c>
      <c r="B164" s="34"/>
      <c r="C164" s="23"/>
      <c r="D164" s="107">
        <f>+'1. 2002 Base Rate Schedule'!D169+'2. Adding Final 3rd MARR'!B513</f>
        <v>0.04359965061871795</v>
      </c>
      <c r="E164" s="15"/>
      <c r="F164" s="15"/>
      <c r="G164" s="15"/>
    </row>
    <row r="165" spans="1:7" ht="12.75">
      <c r="A165" s="112"/>
      <c r="C165" s="15"/>
      <c r="D165" s="15"/>
      <c r="E165" s="15"/>
      <c r="F165" s="15"/>
      <c r="G165" s="15"/>
    </row>
    <row r="166" spans="1:7" ht="12.75">
      <c r="A166" s="109" t="s">
        <v>195</v>
      </c>
      <c r="B166" s="34"/>
      <c r="C166" s="23"/>
      <c r="D166" s="108">
        <f>+'1. 2002 Base Rate Schedule'!D171+'2. Adding Final 3rd MARR'!C515</f>
        <v>0.5224524096962097</v>
      </c>
      <c r="E166" s="15"/>
      <c r="F166" s="15"/>
      <c r="G166" s="15"/>
    </row>
    <row r="167" spans="2:7" ht="12.75">
      <c r="B167" s="15"/>
      <c r="C167" s="15"/>
      <c r="D167" s="49"/>
      <c r="E167" s="15"/>
      <c r="F167" s="15"/>
      <c r="G167" s="15"/>
    </row>
    <row r="168" spans="2:7" ht="12.75">
      <c r="B168" s="15"/>
      <c r="C168" s="15"/>
      <c r="D168" s="49"/>
      <c r="E168" s="15"/>
      <c r="F168" s="15"/>
      <c r="G168" s="15"/>
    </row>
    <row r="169" spans="1:7" ht="12.75">
      <c r="A169" s="484" t="s">
        <v>217</v>
      </c>
      <c r="B169" s="15"/>
      <c r="C169" s="15"/>
      <c r="D169" s="49"/>
      <c r="E169" s="15"/>
      <c r="F169" s="15"/>
      <c r="G169" s="15"/>
    </row>
    <row r="170" spans="1:7" ht="12.75">
      <c r="A170" s="109" t="s">
        <v>70</v>
      </c>
      <c r="B170" s="34"/>
      <c r="C170" s="23"/>
      <c r="D170" s="107">
        <f>+'1. 2002 Base Rate Schedule'!D175+'2. Adding Final 3rd MARR'!B530</f>
        <v>0.703738413621759</v>
      </c>
      <c r="E170" s="15"/>
      <c r="F170" s="15"/>
      <c r="G170" s="15"/>
    </row>
    <row r="171" spans="1:7" ht="12.75">
      <c r="A171" s="112"/>
      <c r="C171" s="15"/>
      <c r="D171" s="15"/>
      <c r="E171" s="15"/>
      <c r="F171" s="15"/>
      <c r="G171" s="15"/>
    </row>
    <row r="172" spans="1:7" ht="12.75">
      <c r="A172" s="109" t="s">
        <v>195</v>
      </c>
      <c r="B172" s="34"/>
      <c r="C172" s="23"/>
      <c r="D172" s="108">
        <f>+'1. 2002 Base Rate Schedule'!D177+'2. Adding Final 3rd MARR'!C532</f>
        <v>2.54736083886073</v>
      </c>
      <c r="E172" s="15"/>
      <c r="F172" s="15"/>
      <c r="G172" s="15"/>
    </row>
    <row r="173" spans="2:7" ht="12.75">
      <c r="B173" s="15"/>
      <c r="C173" s="15"/>
      <c r="D173" s="49"/>
      <c r="E173" s="15"/>
      <c r="F173" s="15"/>
      <c r="G173" s="15"/>
    </row>
    <row r="174" spans="2:7" ht="12.75">
      <c r="B174" s="15"/>
      <c r="C174" s="15"/>
      <c r="D174" s="49"/>
      <c r="E174" s="15"/>
      <c r="F174" s="15"/>
      <c r="G174" s="15"/>
    </row>
    <row r="175" spans="1:7" ht="12.75">
      <c r="A175" s="484" t="s">
        <v>218</v>
      </c>
      <c r="B175" s="15"/>
      <c r="C175" s="15"/>
      <c r="D175" s="49"/>
      <c r="E175" s="15"/>
      <c r="F175" s="15"/>
      <c r="G175" s="15"/>
    </row>
    <row r="176" spans="1:7" ht="12.75">
      <c r="A176" s="109" t="s">
        <v>70</v>
      </c>
      <c r="B176" s="34"/>
      <c r="C176" s="23"/>
      <c r="D176" s="107">
        <f>+'1. 2002 Base Rate Schedule'!D181+'2. Adding Final 3rd MARR'!B547</f>
        <v>1.3128600717359296</v>
      </c>
      <c r="E176" s="15"/>
      <c r="F176" s="15"/>
      <c r="G176" s="15"/>
    </row>
    <row r="177" spans="1:7" ht="12.75">
      <c r="A177" s="112"/>
      <c r="C177" s="15"/>
      <c r="D177" s="15"/>
      <c r="E177" s="15"/>
      <c r="F177" s="15"/>
      <c r="G177" s="15"/>
    </row>
    <row r="178" spans="1:7" ht="12.75">
      <c r="A178" s="109" t="s">
        <v>195</v>
      </c>
      <c r="B178" s="34"/>
      <c r="C178" s="23"/>
      <c r="D178" s="108">
        <f>+'1. 2002 Base Rate Schedule'!D183+'2. Adding Final 3rd MARR'!C549</f>
        <v>3.120638991195132</v>
      </c>
      <c r="E178" s="15"/>
      <c r="F178" s="15"/>
      <c r="G178" s="15"/>
    </row>
    <row r="179" spans="2:7" ht="12.75">
      <c r="B179" s="15"/>
      <c r="C179" s="15"/>
      <c r="D179" s="49"/>
      <c r="E179" s="15"/>
      <c r="F179" s="15"/>
      <c r="G179" s="15"/>
    </row>
    <row r="180" spans="2:7" ht="12.75">
      <c r="B180" s="15"/>
      <c r="C180" s="15"/>
      <c r="D180" s="49"/>
      <c r="E180" s="15"/>
      <c r="F180" s="15"/>
      <c r="G180" s="15"/>
    </row>
    <row r="181" spans="1:7" ht="12.75">
      <c r="A181" s="484" t="s">
        <v>219</v>
      </c>
      <c r="B181" s="15"/>
      <c r="C181" s="15"/>
      <c r="D181" s="49"/>
      <c r="E181" s="15"/>
      <c r="F181" s="15"/>
      <c r="G181" s="15"/>
    </row>
    <row r="182" spans="1:7" ht="12.75">
      <c r="A182" s="109" t="s">
        <v>70</v>
      </c>
      <c r="B182" s="34"/>
      <c r="C182" s="23"/>
      <c r="D182" s="107">
        <f>+'1. 2002 Base Rate Schedule'!D187+'2. Adding Final 3rd MARR'!B564</f>
        <v>0.6692095849468455</v>
      </c>
      <c r="E182" s="15"/>
      <c r="F182" s="15"/>
      <c r="G182" s="15"/>
    </row>
    <row r="183" spans="1:7" ht="12.75">
      <c r="A183" s="112"/>
      <c r="C183" s="15"/>
      <c r="D183" s="15"/>
      <c r="E183" s="15"/>
      <c r="F183" s="15"/>
      <c r="G183" s="15"/>
    </row>
    <row r="184" spans="1:7" ht="12.75">
      <c r="A184" s="109" t="s">
        <v>195</v>
      </c>
      <c r="B184" s="34"/>
      <c r="C184" s="23"/>
      <c r="D184" s="108">
        <f>+'1. 2002 Base Rate Schedule'!D189+'2. Adding Final 3rd MARR'!C566</f>
        <v>3.6888194632301112</v>
      </c>
      <c r="E184" s="15"/>
      <c r="F184" s="15"/>
      <c r="G184" s="15"/>
    </row>
    <row r="185" spans="2:7" ht="12.75">
      <c r="B185" s="15"/>
      <c r="C185" s="15"/>
      <c r="D185" s="49"/>
      <c r="E185" s="15"/>
      <c r="F185" s="15"/>
      <c r="G185" s="15"/>
    </row>
    <row r="186" spans="2:7" ht="12.75">
      <c r="B186" s="15"/>
      <c r="C186" s="15"/>
      <c r="D186" s="49"/>
      <c r="E186" s="15"/>
      <c r="F186" s="15"/>
      <c r="G186" s="15"/>
    </row>
    <row r="187" spans="1:7" ht="12.75">
      <c r="A187" s="484" t="s">
        <v>220</v>
      </c>
      <c r="B187" s="15"/>
      <c r="C187" s="15"/>
      <c r="D187" s="49"/>
      <c r="E187" s="15"/>
      <c r="F187" s="15"/>
      <c r="G187" s="15"/>
    </row>
    <row r="188" spans="1:7" ht="12.75">
      <c r="A188" s="109" t="s">
        <v>70</v>
      </c>
      <c r="B188" s="34"/>
      <c r="C188" s="23"/>
      <c r="D188" s="107">
        <f>+'1. 2002 Base Rate Schedule'!D193+'2. Adding Final 3rd MARR'!B581</f>
        <v>0.6525637608020505</v>
      </c>
      <c r="E188" s="15"/>
      <c r="F188" s="15"/>
      <c r="G188" s="15"/>
    </row>
    <row r="189" spans="1:7" ht="12.75">
      <c r="A189" s="112"/>
      <c r="C189" s="15"/>
      <c r="D189" s="15"/>
      <c r="E189" s="15"/>
      <c r="F189" s="15"/>
      <c r="G189" s="15"/>
    </row>
    <row r="190" spans="1:7" ht="12.75">
      <c r="A190" s="109" t="s">
        <v>195</v>
      </c>
      <c r="B190" s="34"/>
      <c r="C190" s="23"/>
      <c r="D190" s="108">
        <f>+'1. 2002 Base Rate Schedule'!D195+'2. Adding Final 3rd MARR'!C583</f>
        <v>4.603533236187455</v>
      </c>
      <c r="E190" s="15"/>
      <c r="F190" s="15"/>
      <c r="G190" s="15"/>
    </row>
    <row r="191" spans="2:7" ht="12.75">
      <c r="B191" s="15"/>
      <c r="C191" s="15"/>
      <c r="D191" s="49"/>
      <c r="E191" s="15"/>
      <c r="F191" s="15"/>
      <c r="G191" s="15"/>
    </row>
    <row r="192" spans="2:7" ht="12.75">
      <c r="B192" s="15"/>
      <c r="C192" s="15"/>
      <c r="D192" s="49"/>
      <c r="E192" s="15"/>
      <c r="F192" s="15"/>
      <c r="G192" s="15"/>
    </row>
    <row r="193" spans="1:7" ht="12.75">
      <c r="A193" s="484" t="s">
        <v>221</v>
      </c>
      <c r="B193" s="15"/>
      <c r="C193" s="15"/>
      <c r="D193" s="49"/>
      <c r="E193" s="15"/>
      <c r="F193" s="15"/>
      <c r="G193" s="15"/>
    </row>
    <row r="194" spans="1:7" ht="12.75">
      <c r="A194" s="109" t="s">
        <v>70</v>
      </c>
      <c r="B194" s="34"/>
      <c r="C194" s="23"/>
      <c r="D194" s="107">
        <f>+'1. 2002 Base Rate Schedule'!D199+'2. Adding Final 3rd MARR'!B598</f>
        <v>0.3962350476748221</v>
      </c>
      <c r="E194" s="15"/>
      <c r="F194" s="15"/>
      <c r="G194" s="15"/>
    </row>
    <row r="195" spans="1:7" ht="12.75">
      <c r="A195" s="112"/>
      <c r="C195" s="15"/>
      <c r="D195" s="15"/>
      <c r="E195" s="15"/>
      <c r="F195" s="15"/>
      <c r="G195" s="15"/>
    </row>
    <row r="196" spans="1:7" ht="12.75">
      <c r="A196" s="109" t="s">
        <v>195</v>
      </c>
      <c r="B196" s="34"/>
      <c r="C196" s="23"/>
      <c r="D196" s="108">
        <f>+'1. 2002 Base Rate Schedule'!D201+'2. Adding Final 3rd MARR'!C600</f>
        <v>2.0154789635923094</v>
      </c>
      <c r="E196" s="15"/>
      <c r="F196" s="15"/>
      <c r="G196" s="15"/>
    </row>
    <row r="197" spans="2:7" ht="12.75">
      <c r="B197" s="15"/>
      <c r="C197" s="15"/>
      <c r="D197" s="49"/>
      <c r="E197" s="15"/>
      <c r="F197" s="15"/>
      <c r="G197" s="15"/>
    </row>
    <row r="198" spans="2:7" ht="12.75">
      <c r="B198" s="15"/>
      <c r="C198" s="15"/>
      <c r="D198" s="49"/>
      <c r="E198" s="15"/>
      <c r="F198" s="15"/>
      <c r="G198" s="15"/>
    </row>
    <row r="199" spans="1:7" ht="12.75">
      <c r="A199" s="12" t="s">
        <v>7</v>
      </c>
      <c r="B199" s="15"/>
      <c r="C199" s="15"/>
      <c r="D199" s="49"/>
      <c r="E199" s="15"/>
      <c r="F199" s="15"/>
      <c r="G199" s="15"/>
    </row>
    <row r="200" spans="2:7" ht="12.75">
      <c r="B200" s="15"/>
      <c r="C200" s="15"/>
      <c r="D200" s="49"/>
      <c r="E200" s="15"/>
      <c r="F200" s="15"/>
      <c r="G200" s="15"/>
    </row>
    <row r="201" spans="1:7" ht="18">
      <c r="A201" s="55" t="s">
        <v>8</v>
      </c>
      <c r="B201" s="15"/>
      <c r="C201" s="15"/>
      <c r="D201" s="49"/>
      <c r="E201" s="15"/>
      <c r="F201" s="15"/>
      <c r="G201" s="15"/>
    </row>
    <row r="202" spans="2:7" ht="12.75">
      <c r="B202" s="15"/>
      <c r="C202" s="15"/>
      <c r="D202" s="49"/>
      <c r="E202" s="15"/>
      <c r="F202" s="15"/>
      <c r="G202" s="15"/>
    </row>
    <row r="203" spans="1:4" ht="12.75">
      <c r="A203" s="109" t="s">
        <v>70</v>
      </c>
      <c r="B203" s="23"/>
      <c r="C203" s="23"/>
      <c r="D203" s="107"/>
    </row>
    <row r="204" spans="1:4" ht="12.75">
      <c r="A204" s="112"/>
      <c r="B204" s="15"/>
      <c r="C204" s="15"/>
      <c r="D204" s="49"/>
    </row>
    <row r="205" spans="1:4" ht="12.75">
      <c r="A205" s="109" t="s">
        <v>195</v>
      </c>
      <c r="B205" s="51"/>
      <c r="C205" s="23"/>
      <c r="D205" s="108"/>
    </row>
    <row r="206" spans="2:4" ht="12.75">
      <c r="B206" s="15"/>
      <c r="C206" s="15"/>
      <c r="D206" s="49"/>
    </row>
    <row r="207" spans="2:4" ht="12.75">
      <c r="B207" s="15"/>
      <c r="C207" s="15"/>
      <c r="D207" s="49"/>
    </row>
    <row r="208" spans="1:4" ht="18">
      <c r="A208" s="55" t="s">
        <v>9</v>
      </c>
      <c r="B208" s="15"/>
      <c r="C208" s="15"/>
      <c r="D208" s="49"/>
    </row>
    <row r="209" spans="2:4" ht="12.75">
      <c r="B209" s="15"/>
      <c r="C209" s="15"/>
      <c r="D209" s="49"/>
    </row>
    <row r="210" spans="1:4" ht="12.75">
      <c r="A210" s="109" t="s">
        <v>70</v>
      </c>
      <c r="B210" s="34"/>
      <c r="C210" s="23"/>
      <c r="D210" s="107">
        <f>+'1. 2002 Base Rate Schedule'!D215+'2. Adding Final 3rd MARR'!B618</f>
        <v>2.286337147769056</v>
      </c>
    </row>
    <row r="211" spans="1:4" ht="12.75">
      <c r="A211" s="112"/>
      <c r="C211" s="15"/>
      <c r="D211" s="15"/>
    </row>
    <row r="212" spans="1:4" ht="12.75">
      <c r="A212" s="109" t="s">
        <v>195</v>
      </c>
      <c r="B212" s="34"/>
      <c r="C212" s="23"/>
      <c r="D212" s="108">
        <f>+'1. 2002 Base Rate Schedule'!D217+'2. Adding Final 3rd MARR'!C620</f>
        <v>5164.943274510951</v>
      </c>
    </row>
    <row r="213" spans="2:4" ht="12.75">
      <c r="B213" s="15"/>
      <c r="C213" s="15"/>
      <c r="D213" s="49"/>
    </row>
    <row r="214" spans="1:4" ht="12.75">
      <c r="A214" s="12" t="s">
        <v>7</v>
      </c>
      <c r="B214" s="15"/>
      <c r="C214" s="15"/>
      <c r="D214" s="49"/>
    </row>
    <row r="215" spans="2:4" ht="12.75">
      <c r="B215" s="15"/>
      <c r="C215" s="15"/>
      <c r="D215" s="49"/>
    </row>
    <row r="216" spans="1:4" ht="18">
      <c r="A216" s="55" t="s">
        <v>10</v>
      </c>
      <c r="B216" s="15"/>
      <c r="C216" s="15"/>
      <c r="D216" s="49"/>
    </row>
    <row r="217" spans="2:4" ht="12.75">
      <c r="B217" s="15"/>
      <c r="C217" s="15"/>
      <c r="D217" s="6"/>
    </row>
    <row r="218" spans="1:4" ht="12.75">
      <c r="A218" s="109" t="s">
        <v>70</v>
      </c>
      <c r="B218" s="23"/>
      <c r="C218" s="23"/>
      <c r="D218" s="107"/>
    </row>
    <row r="219" spans="1:4" ht="12.75">
      <c r="A219" s="112"/>
      <c r="B219" s="15"/>
      <c r="C219" s="15"/>
      <c r="D219" s="49"/>
    </row>
    <row r="220" spans="1:4" ht="12.75">
      <c r="A220" s="109" t="s">
        <v>195</v>
      </c>
      <c r="B220" s="51"/>
      <c r="C220" s="23"/>
      <c r="D220" s="108"/>
    </row>
    <row r="221" spans="2:4" ht="12.75">
      <c r="B221" s="15"/>
      <c r="C221" s="15"/>
      <c r="D221" s="49"/>
    </row>
  </sheetData>
  <sheetProtection/>
  <mergeCells count="5">
    <mergeCell ref="A8:C8"/>
    <mergeCell ref="B7:C7"/>
    <mergeCell ref="A3:C3"/>
    <mergeCell ref="A5:C5"/>
    <mergeCell ref="A6:C6"/>
  </mergeCells>
  <printOptions/>
  <pageMargins left="0.28" right="0.18" top="0.45" bottom="0.56" header="0.27" footer="0.23"/>
  <pageSetup horizontalDpi="600" verticalDpi="600" orientation="portrait" r:id="rId1"/>
  <headerFooter alignWithMargins="0">
    <oddHeader>&amp;R&amp;P of &amp;N</oddHeader>
  </headerFooter>
  <rowBreaks count="5" manualBreakCount="5">
    <brk id="46" max="255" man="1"/>
    <brk id="84" max="3" man="1"/>
    <brk id="130" max="255" man="1"/>
    <brk id="167" max="255" man="1"/>
    <brk id="19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Q616"/>
  <sheetViews>
    <sheetView tabSelected="1" zoomScalePageLayoutView="0" workbookViewId="0" topLeftCell="A18">
      <selection activeCell="A38" sqref="A38:D81"/>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142</v>
      </c>
    </row>
    <row r="2" ht="18.75" thickBot="1">
      <c r="A2" s="116"/>
    </row>
    <row r="3" spans="1:7" ht="18">
      <c r="A3" s="518" t="str">
        <f>"Name of Utility:      "&amp;'Info Sheet'!B4</f>
        <v>Name of Utility:      Chatham-Kent Hydro</v>
      </c>
      <c r="B3" s="519"/>
      <c r="C3" s="519"/>
      <c r="D3" s="455" t="str">
        <f>'Info Sheet'!$B$21</f>
        <v>2005.V1.1</v>
      </c>
      <c r="E3" s="36"/>
      <c r="F3" s="116"/>
      <c r="G3" s="117"/>
    </row>
    <row r="4" spans="1:7" ht="18">
      <c r="A4" s="301" t="str">
        <f>"License Number:   "&amp;'Info Sheet'!B6</f>
        <v>License Number:   ED-2002-0563</v>
      </c>
      <c r="B4" s="456"/>
      <c r="C4" s="391"/>
      <c r="D4" s="395" t="str">
        <f>'Info Sheet'!B8</f>
        <v>RP-2005-0013</v>
      </c>
      <c r="E4" s="36"/>
      <c r="F4" s="116"/>
      <c r="G4" s="117"/>
    </row>
    <row r="5" spans="1:4" ht="15.75">
      <c r="A5" s="301" t="str">
        <f>"Name of Contact:  "&amp;'Info Sheet'!B12</f>
        <v>Name of Contact:  Jim Hogan</v>
      </c>
      <c r="B5" s="529" t="str">
        <f>'Info Sheet'!B10</f>
        <v>EB-2005-0017</v>
      </c>
      <c r="C5" s="529"/>
      <c r="D5" s="530"/>
    </row>
    <row r="6" spans="1:4" ht="15.75">
      <c r="A6" s="520" t="str">
        <f>"E- Mail Address:    "&amp;'Info Sheet'!B14</f>
        <v>E- Mail Address:    jimhogan@ckenergy.com</v>
      </c>
      <c r="B6" s="517"/>
      <c r="C6" s="517"/>
      <c r="D6" s="460"/>
    </row>
    <row r="7" spans="1:4" ht="15.75">
      <c r="A7" s="301" t="str">
        <f>"Phone Number:     "&amp;'Info Sheet'!B16</f>
        <v>Phone Number:     </v>
      </c>
      <c r="B7" s="517" t="str">
        <f>'Info Sheet'!$C$16&amp;" "&amp;'Info Sheet'!$D$16</f>
        <v>519-352-6300 (277) </v>
      </c>
      <c r="C7" s="517"/>
      <c r="D7" s="460"/>
    </row>
    <row r="8" spans="1:4" ht="16.5" thickBot="1">
      <c r="A8" s="302" t="str">
        <f>"Date:                      "&amp;('Info Sheet'!B18)</f>
        <v>Date:                      March 10, 2005</v>
      </c>
      <c r="B8" s="458"/>
      <c r="C8" s="459"/>
      <c r="D8" s="461"/>
    </row>
    <row r="9" spans="1:16" ht="15.75">
      <c r="A9" s="28"/>
      <c r="B9" s="29"/>
      <c r="C9" s="27"/>
      <c r="O9" s="5"/>
      <c r="P9" s="1"/>
    </row>
    <row r="10" spans="1:15" ht="14.25">
      <c r="A10" s="136" t="s">
        <v>164</v>
      </c>
      <c r="B10" s="137"/>
      <c r="C10" s="137"/>
      <c r="D10" s="137"/>
      <c r="E10" s="137"/>
      <c r="F10" s="137"/>
      <c r="G10" s="137"/>
      <c r="O10" s="5"/>
    </row>
    <row r="11" spans="1:7" ht="12.75" customHeight="1">
      <c r="A11" s="136" t="s">
        <v>179</v>
      </c>
      <c r="B11" s="137"/>
      <c r="C11" s="137"/>
      <c r="D11" s="137"/>
      <c r="E11" s="137"/>
      <c r="F11" s="137"/>
      <c r="G11" s="137"/>
    </row>
    <row r="12" spans="1:15" ht="15.75">
      <c r="A12" s="118"/>
      <c r="O12" s="5"/>
    </row>
    <row r="13" spans="2:17" ht="12.75">
      <c r="B13" s="106"/>
      <c r="C13" s="56"/>
      <c r="P13" s="2"/>
      <c r="Q13" s="3"/>
    </row>
    <row r="14" spans="1:17" ht="15">
      <c r="A14" s="524" t="s">
        <v>134</v>
      </c>
      <c r="B14" s="524"/>
      <c r="C14" s="524"/>
      <c r="D14" s="524"/>
      <c r="E14" s="34"/>
      <c r="F14" s="262"/>
      <c r="G14" s="263">
        <v>1714352</v>
      </c>
      <c r="O14" s="5"/>
      <c r="P14" s="2"/>
      <c r="Q14" s="4"/>
    </row>
    <row r="15" spans="1:7" ht="14.25">
      <c r="A15" s="140"/>
      <c r="B15" s="141"/>
      <c r="C15" s="142"/>
      <c r="D15" s="143"/>
      <c r="E15" s="143"/>
      <c r="F15" s="56"/>
      <c r="G15" s="56"/>
    </row>
    <row r="16" ht="12.75">
      <c r="C16" s="120"/>
    </row>
    <row r="17" spans="1:7" ht="14.25">
      <c r="A17" s="136" t="s">
        <v>165</v>
      </c>
      <c r="B17" s="137"/>
      <c r="C17" s="137"/>
      <c r="D17" s="137"/>
      <c r="E17" s="137"/>
      <c r="F17" s="137"/>
      <c r="G17" s="137"/>
    </row>
    <row r="19" ht="13.5" thickBot="1"/>
    <row r="20" spans="1:8" ht="39" thickBot="1">
      <c r="A20" s="150" t="s">
        <v>163</v>
      </c>
      <c r="B20" s="151" t="s">
        <v>11</v>
      </c>
      <c r="C20" s="151" t="s">
        <v>12</v>
      </c>
      <c r="D20" s="151" t="s">
        <v>20</v>
      </c>
      <c r="E20" s="151" t="s">
        <v>13</v>
      </c>
      <c r="F20" s="151" t="s">
        <v>97</v>
      </c>
      <c r="G20" s="152" t="s">
        <v>136</v>
      </c>
      <c r="H20" s="121"/>
    </row>
    <row r="21" spans="1:7" ht="12.75">
      <c r="A21" s="86"/>
      <c r="B21" s="31"/>
      <c r="C21" s="122"/>
      <c r="D21" s="122"/>
      <c r="E21" s="31"/>
      <c r="F21" s="31"/>
      <c r="G21" s="100"/>
    </row>
    <row r="22" spans="1:8" ht="12.75">
      <c r="A22" s="147" t="s">
        <v>16</v>
      </c>
      <c r="B22" s="265">
        <v>0</v>
      </c>
      <c r="C22" s="265">
        <v>248324523</v>
      </c>
      <c r="D22" s="265">
        <v>28204</v>
      </c>
      <c r="E22" s="397">
        <v>6789194</v>
      </c>
      <c r="F22" s="266">
        <f>IF(ISERROR(E22/E$31),"",E22/E$31)</f>
        <v>0.6086434765396115</v>
      </c>
      <c r="G22" s="400">
        <f>IF(ISERROR($G$32*F22),0,$G$32*F22)</f>
        <v>1043429.1612926361</v>
      </c>
      <c r="H22" s="268"/>
    </row>
    <row r="23" spans="1:8" ht="12.75">
      <c r="A23" s="147" t="s">
        <v>72</v>
      </c>
      <c r="B23" s="265">
        <v>42776</v>
      </c>
      <c r="C23" s="265">
        <v>107128527</v>
      </c>
      <c r="D23" s="265">
        <v>3273</v>
      </c>
      <c r="E23" s="397">
        <v>2052938</v>
      </c>
      <c r="F23" s="266">
        <f aca="true" t="shared" si="0" ref="F23:F29">IF(ISERROR(E23/E$31),"",E23/E$31)</f>
        <v>0.18404354352523686</v>
      </c>
      <c r="G23" s="400">
        <f aca="true" t="shared" si="1" ref="G23:G28">IF(ISERROR($G$32*F23),0,$G$32*F23)</f>
        <v>315515.41692957684</v>
      </c>
      <c r="H23" s="268"/>
    </row>
    <row r="24" spans="1:8" ht="12.75">
      <c r="A24" s="147" t="s">
        <v>73</v>
      </c>
      <c r="B24" s="265">
        <v>1013027</v>
      </c>
      <c r="C24" s="265">
        <v>396146453</v>
      </c>
      <c r="D24" s="265">
        <v>438</v>
      </c>
      <c r="E24" s="397">
        <v>1437248</v>
      </c>
      <c r="F24" s="266">
        <f t="shared" si="0"/>
        <v>0.12884763925874024</v>
      </c>
      <c r="G24" s="400">
        <f t="shared" si="1"/>
        <v>220890.20805849985</v>
      </c>
      <c r="H24" s="268"/>
    </row>
    <row r="25" spans="1:8" ht="12.75">
      <c r="A25" s="147" t="s">
        <v>74</v>
      </c>
      <c r="B25" s="265">
        <v>141975</v>
      </c>
      <c r="C25" s="265">
        <v>64160678</v>
      </c>
      <c r="D25" s="265">
        <v>4</v>
      </c>
      <c r="E25" s="397">
        <v>352321</v>
      </c>
      <c r="F25" s="266">
        <f t="shared" si="0"/>
        <v>0.03158517466107354</v>
      </c>
      <c r="G25" s="400">
        <f t="shared" si="1"/>
        <v>54148.10735056074</v>
      </c>
      <c r="H25" s="270"/>
    </row>
    <row r="26" spans="1:8" ht="12.75">
      <c r="A26" s="147" t="s">
        <v>141</v>
      </c>
      <c r="B26" s="265">
        <v>0</v>
      </c>
      <c r="C26" s="265">
        <v>0</v>
      </c>
      <c r="D26" s="265">
        <v>0</v>
      </c>
      <c r="E26" s="397">
        <v>0</v>
      </c>
      <c r="F26" s="266">
        <f t="shared" si="0"/>
        <v>0</v>
      </c>
      <c r="G26" s="400">
        <f t="shared" si="1"/>
        <v>0</v>
      </c>
      <c r="H26" s="270"/>
    </row>
    <row r="27" spans="1:8" ht="12.75">
      <c r="A27" s="147" t="s">
        <v>75</v>
      </c>
      <c r="B27" s="265">
        <v>116775</v>
      </c>
      <c r="C27" s="265">
        <v>40010798</v>
      </c>
      <c r="D27" s="265">
        <v>2</v>
      </c>
      <c r="E27" s="397">
        <v>394763</v>
      </c>
      <c r="F27" s="266">
        <f t="shared" si="0"/>
        <v>0.035390051415412</v>
      </c>
      <c r="G27" s="400">
        <f t="shared" si="1"/>
        <v>60671.005424114395</v>
      </c>
      <c r="H27" s="270"/>
    </row>
    <row r="28" spans="1:8" ht="12.75">
      <c r="A28" s="147" t="s">
        <v>76</v>
      </c>
      <c r="B28" s="265">
        <v>1361</v>
      </c>
      <c r="C28" s="265">
        <v>418184</v>
      </c>
      <c r="D28" s="265">
        <v>363</v>
      </c>
      <c r="E28" s="397">
        <v>17678</v>
      </c>
      <c r="F28" s="266">
        <f t="shared" si="0"/>
        <v>0.001584812479694534</v>
      </c>
      <c r="G28" s="400">
        <f t="shared" si="1"/>
        <v>2716.9264441892838</v>
      </c>
      <c r="H28" s="268"/>
    </row>
    <row r="29" spans="1:8" ht="12.75">
      <c r="A29" s="147" t="s">
        <v>77</v>
      </c>
      <c r="B29" s="273">
        <v>22225</v>
      </c>
      <c r="C29" s="273">
        <v>8065495</v>
      </c>
      <c r="D29" s="273">
        <v>1</v>
      </c>
      <c r="E29" s="408">
        <v>110490</v>
      </c>
      <c r="F29" s="274">
        <f t="shared" si="0"/>
        <v>0.009905302120231309</v>
      </c>
      <c r="G29" s="401">
        <f>IF(ISERROR($G$32*F29),0,$G$32*F29)</f>
        <v>16981.174500422785</v>
      </c>
      <c r="H29" s="271"/>
    </row>
    <row r="30" spans="1:8" ht="12.75">
      <c r="A30" s="147"/>
      <c r="B30" s="264"/>
      <c r="C30" s="275"/>
      <c r="D30" s="276"/>
      <c r="E30" s="264"/>
      <c r="F30" s="277"/>
      <c r="G30" s="267"/>
      <c r="H30" s="56"/>
    </row>
    <row r="31" spans="1:8" ht="12.75">
      <c r="A31" s="147" t="s">
        <v>14</v>
      </c>
      <c r="B31" s="31"/>
      <c r="C31" s="153">
        <f>SUM(C22:C29)</f>
        <v>864254658</v>
      </c>
      <c r="D31" s="153">
        <f>SUM(D22:D29)</f>
        <v>32285</v>
      </c>
      <c r="E31" s="411">
        <f>SUM(E22:E29)</f>
        <v>11154632</v>
      </c>
      <c r="F31" s="155">
        <f>SUM(F22:F29)</f>
        <v>1</v>
      </c>
      <c r="G31" s="409">
        <f>SUM(G22:G29)</f>
        <v>1714352</v>
      </c>
      <c r="H31" s="56"/>
    </row>
    <row r="32" spans="1:8" ht="12.75">
      <c r="A32" s="86"/>
      <c r="B32" s="31"/>
      <c r="C32" s="527" t="s">
        <v>137</v>
      </c>
      <c r="D32" s="527"/>
      <c r="E32" s="527"/>
      <c r="F32" s="528"/>
      <c r="G32" s="410">
        <f>G14</f>
        <v>1714352</v>
      </c>
      <c r="H32" s="278"/>
    </row>
    <row r="33" spans="1:7" ht="13.5" thickBot="1">
      <c r="A33" s="94"/>
      <c r="B33" s="148"/>
      <c r="C33" s="148"/>
      <c r="D33" s="148"/>
      <c r="E33" s="148"/>
      <c r="F33" s="148"/>
      <c r="G33" s="149"/>
    </row>
    <row r="35" ht="15.75">
      <c r="A35" s="163" t="s">
        <v>135</v>
      </c>
    </row>
    <row r="36" ht="10.5" customHeight="1">
      <c r="A36" s="54"/>
    </row>
    <row r="37" ht="10.5" customHeight="1" thickBot="1">
      <c r="A37" s="54"/>
    </row>
    <row r="38" spans="1:7" ht="37.5" thickBot="1">
      <c r="A38" s="54" t="s">
        <v>235</v>
      </c>
      <c r="C38" s="492" t="s">
        <v>12</v>
      </c>
      <c r="D38" s="151" t="s">
        <v>20</v>
      </c>
      <c r="E38" s="151" t="s">
        <v>13</v>
      </c>
      <c r="F38" s="151" t="s">
        <v>234</v>
      </c>
      <c r="G38" s="151" t="s">
        <v>238</v>
      </c>
    </row>
    <row r="39" ht="10.5" customHeight="1">
      <c r="A39" s="132"/>
    </row>
    <row r="40" spans="1:7" ht="15">
      <c r="A40" s="132" t="s">
        <v>223</v>
      </c>
      <c r="C40" s="488">
        <v>15819391</v>
      </c>
      <c r="D40" s="488">
        <v>1687</v>
      </c>
      <c r="E40" s="486">
        <v>139805</v>
      </c>
      <c r="F40" s="490">
        <f>+E40/$E$51</f>
        <v>0.02059228238285723</v>
      </c>
      <c r="G40" s="494">
        <f>+F40*$G$22</f>
        <v>21486.587935845844</v>
      </c>
    </row>
    <row r="41" spans="1:7" ht="15">
      <c r="A41" s="132" t="s">
        <v>224</v>
      </c>
      <c r="C41" s="488">
        <v>3680038</v>
      </c>
      <c r="D41" s="488">
        <v>388</v>
      </c>
      <c r="E41" s="486">
        <v>110639</v>
      </c>
      <c r="F41" s="490">
        <f aca="true" t="shared" si="2" ref="F41:F50">+E41/$E$51</f>
        <v>0.016296337974728663</v>
      </c>
      <c r="G41" s="494">
        <f aca="true" t="shared" si="3" ref="G41:G50">+F41*$G$22</f>
        <v>17004.074265112464</v>
      </c>
    </row>
    <row r="42" spans="1:7" ht="15">
      <c r="A42" s="132" t="s">
        <v>225</v>
      </c>
      <c r="C42" s="488">
        <v>139169853</v>
      </c>
      <c r="D42" s="488">
        <v>15994</v>
      </c>
      <c r="E42" s="486">
        <v>3993514</v>
      </c>
      <c r="F42" s="490">
        <f t="shared" si="2"/>
        <v>0.5882162153563442</v>
      </c>
      <c r="G42" s="494">
        <f t="shared" si="3"/>
        <v>613761.9522479988</v>
      </c>
    </row>
    <row r="43" spans="1:7" ht="15">
      <c r="A43" s="132" t="s">
        <v>226</v>
      </c>
      <c r="C43" s="488">
        <v>9624043</v>
      </c>
      <c r="D43" s="488">
        <v>1006</v>
      </c>
      <c r="E43" s="486">
        <v>256444</v>
      </c>
      <c r="F43" s="490">
        <f t="shared" si="2"/>
        <v>0.037772377693140013</v>
      </c>
      <c r="G43" s="494">
        <f t="shared" si="3"/>
        <v>39412.80037638176</v>
      </c>
    </row>
    <row r="44" spans="1:7" ht="15">
      <c r="A44" s="132" t="s">
        <v>227</v>
      </c>
      <c r="C44" s="488">
        <v>2597275</v>
      </c>
      <c r="D44" s="488">
        <v>335</v>
      </c>
      <c r="E44" s="486">
        <v>63911</v>
      </c>
      <c r="F44" s="490">
        <f t="shared" si="2"/>
        <v>0.0094136358454332</v>
      </c>
      <c r="G44" s="494">
        <f t="shared" si="3"/>
        <v>9822.462154914658</v>
      </c>
    </row>
    <row r="45" spans="1:7" ht="15">
      <c r="A45" s="132" t="s">
        <v>228</v>
      </c>
      <c r="C45" s="488">
        <v>2237409</v>
      </c>
      <c r="D45" s="488">
        <v>282</v>
      </c>
      <c r="E45" s="486">
        <v>64423</v>
      </c>
      <c r="F45" s="490">
        <f t="shared" si="2"/>
        <v>0.009489049804733817</v>
      </c>
      <c r="G45" s="494">
        <f t="shared" si="3"/>
        <v>9901.151279217458</v>
      </c>
    </row>
    <row r="46" spans="1:7" ht="15">
      <c r="A46" s="132" t="s">
        <v>229</v>
      </c>
      <c r="C46" s="488">
        <v>10742282</v>
      </c>
      <c r="D46" s="488">
        <v>1345</v>
      </c>
      <c r="E46" s="486">
        <v>354740</v>
      </c>
      <c r="F46" s="490">
        <f t="shared" si="2"/>
        <v>0.052250679535744596</v>
      </c>
      <c r="G46" s="494">
        <f t="shared" si="3"/>
        <v>54519.88272495229</v>
      </c>
    </row>
    <row r="47" spans="1:7" ht="15">
      <c r="A47" s="132" t="s">
        <v>230</v>
      </c>
      <c r="C47" s="488">
        <v>3373917</v>
      </c>
      <c r="D47" s="488">
        <v>361</v>
      </c>
      <c r="E47" s="486">
        <v>54799</v>
      </c>
      <c r="F47" s="490">
        <f t="shared" si="2"/>
        <v>0.008071503038505012</v>
      </c>
      <c r="G47" s="494">
        <f t="shared" si="3"/>
        <v>8422.041645838248</v>
      </c>
    </row>
    <row r="48" spans="1:7" ht="15">
      <c r="A48" s="132" t="s">
        <v>231</v>
      </c>
      <c r="C48" s="488">
        <v>17653441</v>
      </c>
      <c r="D48" s="488">
        <v>1839</v>
      </c>
      <c r="E48" s="486">
        <v>411759</v>
      </c>
      <c r="F48" s="490">
        <f t="shared" si="2"/>
        <v>0.060649172788404634</v>
      </c>
      <c r="G48" s="494">
        <f t="shared" si="3"/>
        <v>63283.11549569722</v>
      </c>
    </row>
    <row r="49" spans="1:7" ht="15">
      <c r="A49" s="132" t="s">
        <v>232</v>
      </c>
      <c r="C49" s="488">
        <v>37331183</v>
      </c>
      <c r="D49" s="488">
        <v>4348</v>
      </c>
      <c r="E49" s="486">
        <v>1215082</v>
      </c>
      <c r="F49" s="490">
        <f t="shared" si="2"/>
        <v>0.17897293846662798</v>
      </c>
      <c r="G49" s="494">
        <f t="shared" si="3"/>
        <v>186745.5830783122</v>
      </c>
    </row>
    <row r="50" spans="1:7" ht="15">
      <c r="A50" s="132" t="s">
        <v>233</v>
      </c>
      <c r="C50" s="488">
        <v>6095691</v>
      </c>
      <c r="D50" s="488">
        <v>619</v>
      </c>
      <c r="E50" s="486">
        <v>124078</v>
      </c>
      <c r="F50" s="490">
        <f t="shared" si="2"/>
        <v>0.01827580711348063</v>
      </c>
      <c r="G50" s="494">
        <f t="shared" si="3"/>
        <v>19069.510088365085</v>
      </c>
    </row>
    <row r="51" spans="1:7" ht="15.75" thickBot="1">
      <c r="A51" s="132"/>
      <c r="C51" s="489">
        <f>SUM(C40:C50)</f>
        <v>248324523</v>
      </c>
      <c r="D51" s="489">
        <f>SUM(D40:D50)</f>
        <v>28204</v>
      </c>
      <c r="E51" s="487">
        <f>SUM(E40:E50)</f>
        <v>6789194</v>
      </c>
      <c r="F51" s="491">
        <f>SUM(F40:F50)</f>
        <v>1</v>
      </c>
      <c r="G51" s="495">
        <f>SUM(G40:G50)</f>
        <v>1043429.1612926361</v>
      </c>
    </row>
    <row r="52" ht="15.75" thickTop="1">
      <c r="A52" s="132"/>
    </row>
    <row r="53" ht="10.5" customHeight="1" thickBot="1">
      <c r="A53" s="54"/>
    </row>
    <row r="54" spans="1:7" ht="37.5" thickBot="1">
      <c r="A54" s="54" t="s">
        <v>239</v>
      </c>
      <c r="B54" s="492" t="s">
        <v>11</v>
      </c>
      <c r="C54" s="492" t="s">
        <v>12</v>
      </c>
      <c r="D54" s="151" t="s">
        <v>20</v>
      </c>
      <c r="E54" s="151" t="s">
        <v>13</v>
      </c>
      <c r="F54" s="151" t="s">
        <v>234</v>
      </c>
      <c r="G54" s="151" t="s">
        <v>238</v>
      </c>
    </row>
    <row r="55" ht="10.5" customHeight="1">
      <c r="A55" s="54"/>
    </row>
    <row r="56" spans="1:7" ht="15">
      <c r="A56" s="132" t="s">
        <v>223</v>
      </c>
      <c r="B56" s="488">
        <v>45432</v>
      </c>
      <c r="C56" s="488">
        <v>17323383</v>
      </c>
      <c r="D56" s="488">
        <v>1</v>
      </c>
      <c r="E56" s="486">
        <v>70464</v>
      </c>
      <c r="F56" s="490">
        <f>+E56/$E$58</f>
        <v>0.2</v>
      </c>
      <c r="G56" s="494">
        <f>+F56*$G$25</f>
        <v>10829.62147011215</v>
      </c>
    </row>
    <row r="57" spans="1:7" ht="15">
      <c r="A57" s="132" t="s">
        <v>225</v>
      </c>
      <c r="B57" s="488">
        <v>96543</v>
      </c>
      <c r="C57" s="488">
        <v>46837295</v>
      </c>
      <c r="D57" s="488">
        <v>3</v>
      </c>
      <c r="E57" s="486">
        <v>281856</v>
      </c>
      <c r="F57" s="490">
        <f>+E57/$E$58</f>
        <v>0.8</v>
      </c>
      <c r="G57" s="494">
        <f>+F57*$G$25</f>
        <v>43318.4858804486</v>
      </c>
    </row>
    <row r="58" spans="1:7" ht="16.5" thickBot="1">
      <c r="A58" s="54"/>
      <c r="B58" s="489">
        <f>SUM(B56:B57)</f>
        <v>141975</v>
      </c>
      <c r="C58" s="489">
        <f>SUM(C56:C57)</f>
        <v>64160678</v>
      </c>
      <c r="D58" s="489">
        <f>SUM(D56:D57)</f>
        <v>4</v>
      </c>
      <c r="E58" s="487">
        <f>SUM(E56:E57)</f>
        <v>352320</v>
      </c>
      <c r="F58" s="493">
        <f>+E58/$E$58</f>
        <v>1</v>
      </c>
      <c r="G58" s="495">
        <f>SUM(G56:G57)</f>
        <v>54148.10735056075</v>
      </c>
    </row>
    <row r="59" ht="16.5" thickTop="1">
      <c r="A59" s="54"/>
    </row>
    <row r="60" ht="10.5" customHeight="1" thickBot="1">
      <c r="A60" s="54"/>
    </row>
    <row r="61" spans="1:7" ht="37.5" thickBot="1">
      <c r="A61" s="54" t="s">
        <v>236</v>
      </c>
      <c r="B61" s="492" t="s">
        <v>11</v>
      </c>
      <c r="C61" s="492" t="s">
        <v>12</v>
      </c>
      <c r="D61" s="151" t="s">
        <v>20</v>
      </c>
      <c r="E61" s="151" t="s">
        <v>13</v>
      </c>
      <c r="F61" s="151" t="s">
        <v>234</v>
      </c>
      <c r="G61" s="151" t="s">
        <v>238</v>
      </c>
    </row>
    <row r="62" ht="10.5" customHeight="1">
      <c r="A62" s="54"/>
    </row>
    <row r="63" spans="1:7" ht="15">
      <c r="A63" s="132" t="s">
        <v>225</v>
      </c>
      <c r="B63" s="488">
        <v>55024</v>
      </c>
      <c r="C63" s="488">
        <v>24323494</v>
      </c>
      <c r="D63" s="488">
        <v>1</v>
      </c>
      <c r="E63" s="486">
        <v>207856</v>
      </c>
      <c r="F63" s="490">
        <f>+E63/$E$65</f>
        <v>0.5256707577684991</v>
      </c>
      <c r="G63" s="494">
        <f>+F63*$G$27</f>
        <v>31892.973395870937</v>
      </c>
    </row>
    <row r="64" spans="1:7" ht="15">
      <c r="A64" s="132" t="s">
        <v>232</v>
      </c>
      <c r="B64" s="488">
        <v>61751</v>
      </c>
      <c r="C64" s="488">
        <v>15687604</v>
      </c>
      <c r="D64" s="488">
        <v>1</v>
      </c>
      <c r="E64" s="486">
        <v>187555</v>
      </c>
      <c r="F64" s="490">
        <f>+E64/$E$65</f>
        <v>0.4743292422315009</v>
      </c>
      <c r="G64" s="494">
        <f>+F64*$G$27</f>
        <v>28778.032028243462</v>
      </c>
    </row>
    <row r="65" spans="1:7" ht="16.5" thickBot="1">
      <c r="A65" s="54"/>
      <c r="B65" s="489">
        <f>SUM(B63:B64)</f>
        <v>116775</v>
      </c>
      <c r="C65" s="489">
        <f>SUM(C63:C64)</f>
        <v>40011098</v>
      </c>
      <c r="D65" s="489">
        <f>SUM(D63:D64)</f>
        <v>2</v>
      </c>
      <c r="E65" s="487">
        <f>SUM(E63:E64)</f>
        <v>395411</v>
      </c>
      <c r="F65" s="493">
        <f>+E65/$E$65</f>
        <v>1</v>
      </c>
      <c r="G65" s="495">
        <f>SUM(G63:G64)</f>
        <v>60671.005424114395</v>
      </c>
    </row>
    <row r="66" ht="10.5" customHeight="1" thickTop="1">
      <c r="A66" s="54"/>
    </row>
    <row r="67" ht="10.5" customHeight="1" thickBot="1">
      <c r="A67" s="54"/>
    </row>
    <row r="68" spans="1:7" ht="37.5" thickBot="1">
      <c r="A68" s="54" t="s">
        <v>237</v>
      </c>
      <c r="B68" s="492" t="s">
        <v>11</v>
      </c>
      <c r="C68" s="492" t="s">
        <v>12</v>
      </c>
      <c r="D68" s="151" t="s">
        <v>20</v>
      </c>
      <c r="E68" s="151" t="s">
        <v>13</v>
      </c>
      <c r="F68" s="151" t="s">
        <v>234</v>
      </c>
      <c r="G68" s="151" t="s">
        <v>238</v>
      </c>
    </row>
    <row r="69" ht="15">
      <c r="A69" s="132"/>
    </row>
    <row r="70" spans="1:7" ht="15">
      <c r="A70" s="132" t="s">
        <v>223</v>
      </c>
      <c r="B70" s="9">
        <v>127</v>
      </c>
      <c r="C70" s="488">
        <v>38893</v>
      </c>
      <c r="D70" s="488">
        <v>35</v>
      </c>
      <c r="E70" s="486">
        <v>651</v>
      </c>
      <c r="F70" s="490">
        <f>+E70/$E$81</f>
        <v>0.036829599456890696</v>
      </c>
      <c r="G70" s="494">
        <f>+F70*$G$28</f>
        <v>100.06331269332561</v>
      </c>
    </row>
    <row r="71" spans="1:7" ht="15">
      <c r="A71" s="132" t="s">
        <v>224</v>
      </c>
      <c r="B71" s="9">
        <v>36</v>
      </c>
      <c r="C71" s="488">
        <v>10979</v>
      </c>
      <c r="D71" s="488">
        <v>11</v>
      </c>
      <c r="E71" s="486">
        <v>570</v>
      </c>
      <c r="F71" s="490">
        <f aca="true" t="shared" si="4" ref="F71:F80">+E71/$E$81</f>
        <v>0.032247114731839784</v>
      </c>
      <c r="G71" s="494">
        <f aca="true" t="shared" si="5" ref="G71:G80">+F71*$G$28</f>
        <v>87.61303876374133</v>
      </c>
    </row>
    <row r="72" spans="1:7" ht="15">
      <c r="A72" s="132" t="s">
        <v>225</v>
      </c>
      <c r="B72" s="9">
        <v>478</v>
      </c>
      <c r="C72" s="488">
        <v>146773</v>
      </c>
      <c r="D72" s="488">
        <v>108</v>
      </c>
      <c r="E72" s="486">
        <v>6570</v>
      </c>
      <c r="F72" s="490">
        <f t="shared" si="4"/>
        <v>0.37169042769857435</v>
      </c>
      <c r="G72" s="494">
        <f t="shared" si="5"/>
        <v>1009.8555520662817</v>
      </c>
    </row>
    <row r="73" spans="1:7" ht="15">
      <c r="A73" s="132" t="s">
        <v>226</v>
      </c>
      <c r="B73" s="9">
        <v>109</v>
      </c>
      <c r="C73" s="488">
        <v>33488</v>
      </c>
      <c r="D73" s="488">
        <v>26</v>
      </c>
      <c r="E73" s="486">
        <v>1500</v>
      </c>
      <c r="F73" s="490">
        <f t="shared" si="4"/>
        <v>0.08486082824168364</v>
      </c>
      <c r="G73" s="494">
        <f t="shared" si="5"/>
        <v>230.5606283256351</v>
      </c>
    </row>
    <row r="74" spans="1:7" ht="15">
      <c r="A74" s="132" t="s">
        <v>227</v>
      </c>
      <c r="B74" s="9">
        <v>0</v>
      </c>
      <c r="C74" s="488">
        <v>0</v>
      </c>
      <c r="D74" s="488">
        <v>0</v>
      </c>
      <c r="E74" s="486">
        <v>0</v>
      </c>
      <c r="F74" s="490">
        <f t="shared" si="4"/>
        <v>0</v>
      </c>
      <c r="G74" s="494">
        <f t="shared" si="5"/>
        <v>0</v>
      </c>
    </row>
    <row r="75" spans="1:7" ht="15">
      <c r="A75" s="132" t="s">
        <v>228</v>
      </c>
      <c r="B75" s="9">
        <v>9</v>
      </c>
      <c r="C75" s="488">
        <v>2650</v>
      </c>
      <c r="D75" s="488">
        <v>4</v>
      </c>
      <c r="E75" s="486">
        <v>25</v>
      </c>
      <c r="F75" s="490">
        <f t="shared" si="4"/>
        <v>0.001414347137361394</v>
      </c>
      <c r="G75" s="494">
        <f t="shared" si="5"/>
        <v>3.8426771387605845</v>
      </c>
    </row>
    <row r="76" spans="1:7" ht="15">
      <c r="A76" s="132" t="s">
        <v>229</v>
      </c>
      <c r="B76" s="9">
        <v>62</v>
      </c>
      <c r="C76" s="488">
        <v>19093</v>
      </c>
      <c r="D76" s="488">
        <v>20</v>
      </c>
      <c r="E76" s="486">
        <v>649</v>
      </c>
      <c r="F76" s="490">
        <f t="shared" si="4"/>
        <v>0.03671645168590179</v>
      </c>
      <c r="G76" s="494">
        <f t="shared" si="5"/>
        <v>99.75589852222478</v>
      </c>
    </row>
    <row r="77" spans="1:7" ht="15">
      <c r="A77" s="132" t="s">
        <v>230</v>
      </c>
      <c r="B77" s="9">
        <v>59</v>
      </c>
      <c r="C77" s="488">
        <v>18239</v>
      </c>
      <c r="D77" s="488">
        <v>16</v>
      </c>
      <c r="E77" s="486">
        <v>938</v>
      </c>
      <c r="F77" s="490">
        <f t="shared" si="4"/>
        <v>0.053066304593799504</v>
      </c>
      <c r="G77" s="494">
        <f t="shared" si="5"/>
        <v>144.17724624629713</v>
      </c>
    </row>
    <row r="78" spans="1:7" ht="15">
      <c r="A78" s="132" t="s">
        <v>231</v>
      </c>
      <c r="B78" s="9">
        <v>141</v>
      </c>
      <c r="C78" s="488">
        <v>43213</v>
      </c>
      <c r="D78" s="488">
        <v>32</v>
      </c>
      <c r="E78" s="486">
        <v>1721</v>
      </c>
      <c r="F78" s="490">
        <f t="shared" si="4"/>
        <v>0.09736365693595836</v>
      </c>
      <c r="G78" s="494">
        <f t="shared" si="5"/>
        <v>264.52989423227865</v>
      </c>
    </row>
    <row r="79" spans="1:7" ht="15">
      <c r="A79" s="132" t="s">
        <v>232</v>
      </c>
      <c r="B79" s="9">
        <v>302</v>
      </c>
      <c r="C79" s="488">
        <v>92816</v>
      </c>
      <c r="D79" s="488">
        <v>102</v>
      </c>
      <c r="E79" s="486">
        <v>4898</v>
      </c>
      <c r="F79" s="490">
        <f t="shared" si="4"/>
        <v>0.27709889115184433</v>
      </c>
      <c r="G79" s="494">
        <f t="shared" si="5"/>
        <v>752.8573050259738</v>
      </c>
    </row>
    <row r="80" spans="1:7" ht="15">
      <c r="A80" s="132" t="s">
        <v>233</v>
      </c>
      <c r="B80" s="9">
        <v>39</v>
      </c>
      <c r="C80" s="488">
        <v>12039</v>
      </c>
      <c r="D80" s="488">
        <v>9</v>
      </c>
      <c r="E80" s="486">
        <v>154</v>
      </c>
      <c r="F80" s="490">
        <f t="shared" si="4"/>
        <v>0.008712378366146186</v>
      </c>
      <c r="G80" s="494">
        <f t="shared" si="5"/>
        <v>23.6708911747652</v>
      </c>
    </row>
    <row r="81" spans="1:7" ht="15.75" thickBot="1">
      <c r="A81" s="132"/>
      <c r="B81" s="489">
        <f aca="true" t="shared" si="6" ref="B81:G81">SUM(B70:B80)</f>
        <v>1362</v>
      </c>
      <c r="C81" s="489">
        <f t="shared" si="6"/>
        <v>418183</v>
      </c>
      <c r="D81" s="489">
        <f t="shared" si="6"/>
        <v>363</v>
      </c>
      <c r="E81" s="487">
        <f t="shared" si="6"/>
        <v>17676</v>
      </c>
      <c r="F81" s="491">
        <f t="shared" si="6"/>
        <v>0.9999999999999999</v>
      </c>
      <c r="G81" s="495">
        <f t="shared" si="6"/>
        <v>2716.9264441892833</v>
      </c>
    </row>
    <row r="82" ht="10.5" customHeight="1" thickTop="1">
      <c r="A82" s="54"/>
    </row>
    <row r="83" spans="1:17" s="9" customFormat="1" ht="15.75">
      <c r="A83" s="54" t="s">
        <v>16</v>
      </c>
      <c r="I83"/>
      <c r="J83"/>
      <c r="K83"/>
      <c r="L83"/>
      <c r="M83"/>
      <c r="N83"/>
      <c r="O83"/>
      <c r="P83"/>
      <c r="Q83"/>
    </row>
    <row r="84" spans="1:17" s="9" customFormat="1" ht="10.5" customHeight="1">
      <c r="A84" s="131"/>
      <c r="I84"/>
      <c r="J84"/>
      <c r="K84"/>
      <c r="L84"/>
      <c r="M84"/>
      <c r="N84"/>
      <c r="O84"/>
      <c r="P84"/>
      <c r="Q84"/>
    </row>
    <row r="85" spans="1:17" s="9" customFormat="1" ht="9" customHeight="1">
      <c r="A85" s="132"/>
      <c r="I85"/>
      <c r="J85"/>
      <c r="K85"/>
      <c r="L85"/>
      <c r="M85"/>
      <c r="N85"/>
      <c r="O85"/>
      <c r="P85"/>
      <c r="Q85"/>
    </row>
    <row r="86" spans="1:17" s="9" customFormat="1" ht="51.75" thickBot="1">
      <c r="A86" s="132"/>
      <c r="B86" s="283" t="s">
        <v>104</v>
      </c>
      <c r="C86" s="283" t="s">
        <v>188</v>
      </c>
      <c r="D86" s="283" t="s">
        <v>103</v>
      </c>
      <c r="E86" s="280"/>
      <c r="F86" s="280"/>
      <c r="G86" s="280"/>
      <c r="I86"/>
      <c r="J86"/>
      <c r="K86"/>
      <c r="L86"/>
      <c r="M86"/>
      <c r="N86"/>
      <c r="O86"/>
      <c r="P86"/>
      <c r="Q86"/>
    </row>
    <row r="87" spans="1:17" s="9" customFormat="1" ht="15">
      <c r="A87" s="481" t="s">
        <v>211</v>
      </c>
      <c r="B87" s="30"/>
      <c r="C87" s="30"/>
      <c r="I87"/>
      <c r="J87"/>
      <c r="K87"/>
      <c r="L87"/>
      <c r="M87"/>
      <c r="N87"/>
      <c r="O87"/>
      <c r="P87"/>
      <c r="Q87"/>
    </row>
    <row r="88" spans="1:17" s="9" customFormat="1" ht="12.75">
      <c r="A88" s="109" t="s">
        <v>99</v>
      </c>
      <c r="B88" s="290"/>
      <c r="C88" s="290"/>
      <c r="D88" s="407">
        <f>+G40</f>
        <v>21486.587935845844</v>
      </c>
      <c r="E88" s="112"/>
      <c r="I88"/>
      <c r="J88"/>
      <c r="K88"/>
      <c r="L88"/>
      <c r="M88"/>
      <c r="N88"/>
      <c r="O88"/>
      <c r="P88"/>
      <c r="Q88"/>
    </row>
    <row r="89" spans="1:17" s="9" customFormat="1" ht="7.5" customHeight="1">
      <c r="A89" s="112"/>
      <c r="B89" s="284"/>
      <c r="C89" s="284"/>
      <c r="D89" s="285"/>
      <c r="E89" s="112"/>
      <c r="I89"/>
      <c r="J89"/>
      <c r="K89"/>
      <c r="L89"/>
      <c r="M89"/>
      <c r="N89"/>
      <c r="O89"/>
      <c r="P89"/>
      <c r="Q89"/>
    </row>
    <row r="90" spans="1:17" s="9" customFormat="1" ht="12.75">
      <c r="A90" s="109" t="s">
        <v>102</v>
      </c>
      <c r="B90" s="479">
        <v>1</v>
      </c>
      <c r="C90" s="479">
        <f>1-B90</f>
        <v>0</v>
      </c>
      <c r="D90" s="291">
        <f>B90+C90</f>
        <v>1</v>
      </c>
      <c r="E90" s="112"/>
      <c r="I90"/>
      <c r="J90"/>
      <c r="K90"/>
      <c r="L90"/>
      <c r="M90"/>
      <c r="N90"/>
      <c r="O90"/>
      <c r="P90"/>
      <c r="Q90"/>
    </row>
    <row r="91" spans="1:17" s="9" customFormat="1" ht="7.5" customHeight="1">
      <c r="A91" s="112"/>
      <c r="B91" s="286"/>
      <c r="C91" s="286"/>
      <c r="D91" s="286"/>
      <c r="E91" s="112"/>
      <c r="I91"/>
      <c r="J91"/>
      <c r="K91"/>
      <c r="L91"/>
      <c r="M91"/>
      <c r="N91"/>
      <c r="O91"/>
      <c r="P91"/>
      <c r="Q91"/>
    </row>
    <row r="92" spans="1:17" s="9" customFormat="1" ht="13.5" customHeight="1">
      <c r="A92" s="109" t="s">
        <v>105</v>
      </c>
      <c r="B92" s="402">
        <f>$B90*$D88</f>
        <v>21486.587935845844</v>
      </c>
      <c r="C92" s="402">
        <f>C90*D88</f>
        <v>0</v>
      </c>
      <c r="D92" s="402">
        <f>SUM(B92:C92)</f>
        <v>21486.587935845844</v>
      </c>
      <c r="E92" s="112"/>
      <c r="I92"/>
      <c r="J92"/>
      <c r="K92"/>
      <c r="L92"/>
      <c r="M92"/>
      <c r="N92"/>
      <c r="O92"/>
      <c r="P92"/>
      <c r="Q92"/>
    </row>
    <row r="93" spans="1:17" s="9" customFormat="1" ht="7.5" customHeight="1">
      <c r="A93" s="112"/>
      <c r="B93" s="287"/>
      <c r="C93" s="287"/>
      <c r="D93" s="287"/>
      <c r="E93" s="112"/>
      <c r="I93"/>
      <c r="J93"/>
      <c r="K93"/>
      <c r="L93"/>
      <c r="M93"/>
      <c r="N93"/>
      <c r="O93"/>
      <c r="P93"/>
      <c r="Q93"/>
    </row>
    <row r="94" spans="1:17" s="9" customFormat="1" ht="13.5" customHeight="1">
      <c r="A94" s="109" t="s">
        <v>100</v>
      </c>
      <c r="B94" s="293">
        <f>+C40</f>
        <v>15819391</v>
      </c>
      <c r="C94" s="292"/>
      <c r="D94" s="292"/>
      <c r="E94" s="112"/>
      <c r="I94"/>
      <c r="J94"/>
      <c r="K94"/>
      <c r="L94"/>
      <c r="M94"/>
      <c r="N94"/>
      <c r="O94"/>
      <c r="P94"/>
      <c r="Q94"/>
    </row>
    <row r="95" spans="1:17" s="9" customFormat="1" ht="7.5" customHeight="1">
      <c r="A95" s="112"/>
      <c r="B95" s="288"/>
      <c r="C95" s="287"/>
      <c r="D95" s="287"/>
      <c r="E95" s="112"/>
      <c r="I95"/>
      <c r="J95"/>
      <c r="K95"/>
      <c r="L95"/>
      <c r="M95"/>
      <c r="N95"/>
      <c r="O95"/>
      <c r="P95"/>
      <c r="Q95"/>
    </row>
    <row r="96" spans="1:17" s="9" customFormat="1" ht="13.5" customHeight="1">
      <c r="A96" s="109" t="s">
        <v>101</v>
      </c>
      <c r="B96" s="292"/>
      <c r="C96" s="293">
        <f>+D40</f>
        <v>1687</v>
      </c>
      <c r="D96" s="292"/>
      <c r="E96" s="112"/>
      <c r="I96"/>
      <c r="J96"/>
      <c r="K96"/>
      <c r="L96"/>
      <c r="M96"/>
      <c r="N96"/>
      <c r="O96"/>
      <c r="P96"/>
      <c r="Q96"/>
    </row>
    <row r="97" spans="1:17" s="9" customFormat="1" ht="7.5" customHeight="1">
      <c r="A97" s="112"/>
      <c r="B97" s="287"/>
      <c r="C97" s="288"/>
      <c r="D97" s="287"/>
      <c r="E97" s="112"/>
      <c r="I97"/>
      <c r="J97"/>
      <c r="K97"/>
      <c r="L97"/>
      <c r="M97"/>
      <c r="N97"/>
      <c r="O97"/>
      <c r="P97"/>
      <c r="Q97"/>
    </row>
    <row r="98" spans="1:17" s="9" customFormat="1" ht="13.5" customHeight="1">
      <c r="A98" s="109" t="s">
        <v>159</v>
      </c>
      <c r="B98" s="403">
        <f>IF(ISERROR($B92/$B94),0,$B92/$B94)</f>
        <v>0.00135824368560369</v>
      </c>
      <c r="C98" s="403"/>
      <c r="D98" s="294"/>
      <c r="E98" s="112"/>
      <c r="I98"/>
      <c r="J98"/>
      <c r="K98"/>
      <c r="L98"/>
      <c r="M98"/>
      <c r="N98"/>
      <c r="O98"/>
      <c r="P98"/>
      <c r="Q98"/>
    </row>
    <row r="99" spans="1:17" s="9" customFormat="1" ht="7.5" customHeight="1">
      <c r="A99" s="112"/>
      <c r="B99" s="404"/>
      <c r="C99" s="404"/>
      <c r="D99" s="289"/>
      <c r="E99" s="112"/>
      <c r="I99"/>
      <c r="J99"/>
      <c r="K99"/>
      <c r="L99"/>
      <c r="M99"/>
      <c r="N99"/>
      <c r="O99"/>
      <c r="P99"/>
      <c r="Q99"/>
    </row>
    <row r="100" spans="1:17" s="9" customFormat="1" ht="12.75">
      <c r="A100" s="109" t="s">
        <v>160</v>
      </c>
      <c r="B100" s="405"/>
      <c r="C100" s="406">
        <f>IF(ISERROR($C92/$C96/12),0,$C92/$C96/12)</f>
        <v>0</v>
      </c>
      <c r="D100" s="295"/>
      <c r="E100" s="112"/>
      <c r="I100"/>
      <c r="J100"/>
      <c r="K100"/>
      <c r="L100"/>
      <c r="M100"/>
      <c r="N100"/>
      <c r="O100"/>
      <c r="P100"/>
      <c r="Q100"/>
    </row>
    <row r="101" spans="1:17" s="9" customFormat="1" ht="15">
      <c r="A101" s="132"/>
      <c r="B101" s="56"/>
      <c r="C101" s="56"/>
      <c r="D101" s="56"/>
      <c r="I101"/>
      <c r="J101"/>
      <c r="K101"/>
      <c r="L101"/>
      <c r="M101"/>
      <c r="N101"/>
      <c r="O101"/>
      <c r="P101"/>
      <c r="Q101"/>
    </row>
    <row r="102" spans="2:17" s="9" customFormat="1" ht="12.75">
      <c r="B102" s="56"/>
      <c r="C102" s="56"/>
      <c r="D102" s="56"/>
      <c r="I102"/>
      <c r="J102"/>
      <c r="K102"/>
      <c r="L102"/>
      <c r="M102"/>
      <c r="N102"/>
      <c r="O102"/>
      <c r="P102"/>
      <c r="Q102"/>
    </row>
    <row r="103" spans="1:17" s="9" customFormat="1" ht="51.75" thickBot="1">
      <c r="A103" s="132"/>
      <c r="B103" s="283" t="s">
        <v>104</v>
      </c>
      <c r="C103" s="283" t="s">
        <v>188</v>
      </c>
      <c r="D103" s="283" t="s">
        <v>103</v>
      </c>
      <c r="I103"/>
      <c r="J103"/>
      <c r="K103"/>
      <c r="L103"/>
      <c r="M103"/>
      <c r="N103"/>
      <c r="O103"/>
      <c r="P103"/>
      <c r="Q103"/>
    </row>
    <row r="104" spans="1:17" s="9" customFormat="1" ht="15">
      <c r="A104" s="481" t="s">
        <v>212</v>
      </c>
      <c r="B104" s="30"/>
      <c r="C104" s="30"/>
      <c r="I104"/>
      <c r="J104"/>
      <c r="K104"/>
      <c r="L104"/>
      <c r="M104"/>
      <c r="N104"/>
      <c r="O104"/>
      <c r="P104"/>
      <c r="Q104"/>
    </row>
    <row r="105" spans="1:17" s="9" customFormat="1" ht="12.75">
      <c r="A105" s="109" t="s">
        <v>99</v>
      </c>
      <c r="B105" s="290"/>
      <c r="C105" s="290"/>
      <c r="D105" s="407">
        <f>+G41</f>
        <v>17004.074265112464</v>
      </c>
      <c r="I105"/>
      <c r="J105"/>
      <c r="K105"/>
      <c r="L105"/>
      <c r="M105"/>
      <c r="N105"/>
      <c r="O105"/>
      <c r="P105"/>
      <c r="Q105"/>
    </row>
    <row r="106" spans="1:17" s="9" customFormat="1" ht="12.75">
      <c r="A106" s="112"/>
      <c r="B106" s="284"/>
      <c r="C106" s="284"/>
      <c r="D106" s="285"/>
      <c r="I106"/>
      <c r="J106"/>
      <c r="K106"/>
      <c r="L106"/>
      <c r="M106"/>
      <c r="N106"/>
      <c r="O106"/>
      <c r="P106"/>
      <c r="Q106"/>
    </row>
    <row r="107" spans="1:17" s="9" customFormat="1" ht="12.75">
      <c r="A107" s="109" t="s">
        <v>102</v>
      </c>
      <c r="B107" s="479">
        <f>+B90</f>
        <v>1</v>
      </c>
      <c r="C107" s="479">
        <f>+C90</f>
        <v>0</v>
      </c>
      <c r="D107" s="291">
        <f>B107+C107</f>
        <v>1</v>
      </c>
      <c r="I107"/>
      <c r="J107"/>
      <c r="K107"/>
      <c r="L107"/>
      <c r="M107"/>
      <c r="N107"/>
      <c r="O107"/>
      <c r="P107"/>
      <c r="Q107"/>
    </row>
    <row r="108" spans="1:17" s="9" customFormat="1" ht="12.75">
      <c r="A108" s="112"/>
      <c r="B108" s="286"/>
      <c r="C108" s="286"/>
      <c r="D108" s="286"/>
      <c r="I108"/>
      <c r="J108"/>
      <c r="K108"/>
      <c r="L108"/>
      <c r="M108"/>
      <c r="N108"/>
      <c r="O108"/>
      <c r="P108"/>
      <c r="Q108"/>
    </row>
    <row r="109" spans="1:17" s="9" customFormat="1" ht="12.75">
      <c r="A109" s="109" t="s">
        <v>105</v>
      </c>
      <c r="B109" s="402">
        <f>$B107*$D105</f>
        <v>17004.074265112464</v>
      </c>
      <c r="C109" s="402">
        <f>C107*D105</f>
        <v>0</v>
      </c>
      <c r="D109" s="402">
        <f>SUM(B109:C109)</f>
        <v>17004.074265112464</v>
      </c>
      <c r="I109"/>
      <c r="J109"/>
      <c r="K109"/>
      <c r="L109"/>
      <c r="M109"/>
      <c r="N109"/>
      <c r="O109"/>
      <c r="P109"/>
      <c r="Q109"/>
    </row>
    <row r="110" spans="1:17" s="9" customFormat="1" ht="12.75">
      <c r="A110" s="112"/>
      <c r="B110" s="287"/>
      <c r="C110" s="287"/>
      <c r="D110" s="287"/>
      <c r="I110"/>
      <c r="J110"/>
      <c r="K110"/>
      <c r="L110"/>
      <c r="M110"/>
      <c r="N110"/>
      <c r="O110"/>
      <c r="P110"/>
      <c r="Q110"/>
    </row>
    <row r="111" spans="1:17" s="9" customFormat="1" ht="12.75">
      <c r="A111" s="109" t="s">
        <v>100</v>
      </c>
      <c r="B111" s="293">
        <f>+C41</f>
        <v>3680038</v>
      </c>
      <c r="C111" s="292"/>
      <c r="D111" s="292"/>
      <c r="I111"/>
      <c r="J111"/>
      <c r="K111"/>
      <c r="L111"/>
      <c r="M111"/>
      <c r="N111"/>
      <c r="O111"/>
      <c r="P111"/>
      <c r="Q111"/>
    </row>
    <row r="112" spans="1:17" s="9" customFormat="1" ht="12.75">
      <c r="A112" s="112"/>
      <c r="B112" s="288"/>
      <c r="C112" s="287"/>
      <c r="D112" s="287"/>
      <c r="I112"/>
      <c r="J112"/>
      <c r="K112"/>
      <c r="L112"/>
      <c r="M112"/>
      <c r="N112"/>
      <c r="O112"/>
      <c r="P112"/>
      <c r="Q112"/>
    </row>
    <row r="113" spans="1:17" s="9" customFormat="1" ht="12.75">
      <c r="A113" s="109" t="s">
        <v>101</v>
      </c>
      <c r="B113" s="292"/>
      <c r="C113" s="293">
        <f>+D41</f>
        <v>388</v>
      </c>
      <c r="D113" s="292"/>
      <c r="I113"/>
      <c r="J113"/>
      <c r="K113"/>
      <c r="L113"/>
      <c r="M113"/>
      <c r="N113"/>
      <c r="O113"/>
      <c r="P113"/>
      <c r="Q113"/>
    </row>
    <row r="114" spans="1:17" s="9" customFormat="1" ht="12.75">
      <c r="A114" s="112"/>
      <c r="B114" s="287"/>
      <c r="C114" s="288"/>
      <c r="D114" s="287"/>
      <c r="I114"/>
      <c r="J114"/>
      <c r="K114"/>
      <c r="L114"/>
      <c r="M114"/>
      <c r="N114"/>
      <c r="O114"/>
      <c r="P114"/>
      <c r="Q114"/>
    </row>
    <row r="115" spans="1:17" s="9" customFormat="1" ht="12.75">
      <c r="A115" s="109" t="s">
        <v>159</v>
      </c>
      <c r="B115" s="403">
        <f>IF(ISERROR($B109/$B111),0,$B109/$B111)</f>
        <v>0.004620624641678283</v>
      </c>
      <c r="C115" s="403"/>
      <c r="D115" s="294"/>
      <c r="I115"/>
      <c r="J115"/>
      <c r="K115"/>
      <c r="L115"/>
      <c r="M115"/>
      <c r="N115"/>
      <c r="O115"/>
      <c r="P115"/>
      <c r="Q115"/>
    </row>
    <row r="116" spans="1:17" s="9" customFormat="1" ht="12.75">
      <c r="A116" s="112"/>
      <c r="B116" s="404"/>
      <c r="C116" s="404"/>
      <c r="D116" s="289"/>
      <c r="I116"/>
      <c r="J116"/>
      <c r="K116"/>
      <c r="L116"/>
      <c r="M116"/>
      <c r="N116"/>
      <c r="O116"/>
      <c r="P116"/>
      <c r="Q116"/>
    </row>
    <row r="117" spans="1:17" s="9" customFormat="1" ht="12.75">
      <c r="A117" s="109" t="s">
        <v>160</v>
      </c>
      <c r="B117" s="405"/>
      <c r="C117" s="406">
        <f>IF(ISERROR($C109/$C113/12),0,$C109/$C113/12)</f>
        <v>0</v>
      </c>
      <c r="D117" s="295"/>
      <c r="I117"/>
      <c r="J117"/>
      <c r="K117"/>
      <c r="L117"/>
      <c r="M117"/>
      <c r="N117"/>
      <c r="O117"/>
      <c r="P117"/>
      <c r="Q117"/>
    </row>
    <row r="118" spans="2:17" s="9" customFormat="1" ht="12.75">
      <c r="B118" s="56"/>
      <c r="C118" s="56"/>
      <c r="D118" s="56"/>
      <c r="I118"/>
      <c r="J118"/>
      <c r="K118"/>
      <c r="L118"/>
      <c r="M118"/>
      <c r="N118"/>
      <c r="O118"/>
      <c r="P118"/>
      <c r="Q118"/>
    </row>
    <row r="119" spans="2:17" s="9" customFormat="1" ht="12.75">
      <c r="B119" s="56"/>
      <c r="C119" s="56"/>
      <c r="D119" s="56"/>
      <c r="I119"/>
      <c r="J119"/>
      <c r="K119"/>
      <c r="L119"/>
      <c r="M119"/>
      <c r="N119"/>
      <c r="O119"/>
      <c r="P119"/>
      <c r="Q119"/>
    </row>
    <row r="120" spans="1:17" s="9" customFormat="1" ht="51.75" thickBot="1">
      <c r="A120" s="132"/>
      <c r="B120" s="283" t="s">
        <v>104</v>
      </c>
      <c r="C120" s="283" t="s">
        <v>188</v>
      </c>
      <c r="D120" s="283" t="s">
        <v>103</v>
      </c>
      <c r="I120"/>
      <c r="J120"/>
      <c r="K120"/>
      <c r="L120"/>
      <c r="M120"/>
      <c r="N120"/>
      <c r="O120"/>
      <c r="P120"/>
      <c r="Q120"/>
    </row>
    <row r="121" spans="1:17" s="9" customFormat="1" ht="15">
      <c r="A121" s="481" t="s">
        <v>213</v>
      </c>
      <c r="B121" s="30"/>
      <c r="C121" s="30"/>
      <c r="I121"/>
      <c r="J121"/>
      <c r="K121"/>
      <c r="L121"/>
      <c r="M121"/>
      <c r="N121"/>
      <c r="O121"/>
      <c r="P121"/>
      <c r="Q121"/>
    </row>
    <row r="122" spans="1:17" s="9" customFormat="1" ht="12.75">
      <c r="A122" s="109" t="s">
        <v>99</v>
      </c>
      <c r="B122" s="290"/>
      <c r="C122" s="290"/>
      <c r="D122" s="407">
        <f>+G42</f>
        <v>613761.9522479988</v>
      </c>
      <c r="I122"/>
      <c r="J122"/>
      <c r="K122"/>
      <c r="L122"/>
      <c r="M122"/>
      <c r="N122"/>
      <c r="O122"/>
      <c r="P122"/>
      <c r="Q122"/>
    </row>
    <row r="123" spans="1:17" s="9" customFormat="1" ht="12.75">
      <c r="A123" s="112"/>
      <c r="B123" s="284"/>
      <c r="C123" s="284"/>
      <c r="D123" s="285"/>
      <c r="I123"/>
      <c r="J123"/>
      <c r="K123"/>
      <c r="L123"/>
      <c r="M123"/>
      <c r="N123"/>
      <c r="O123"/>
      <c r="P123"/>
      <c r="Q123"/>
    </row>
    <row r="124" spans="1:17" s="9" customFormat="1" ht="12.75">
      <c r="A124" s="109" t="s">
        <v>102</v>
      </c>
      <c r="B124" s="479">
        <f>+B107</f>
        <v>1</v>
      </c>
      <c r="C124" s="479">
        <f>+C107</f>
        <v>0</v>
      </c>
      <c r="D124" s="291">
        <f>B124+C124</f>
        <v>1</v>
      </c>
      <c r="I124"/>
      <c r="J124"/>
      <c r="K124"/>
      <c r="L124"/>
      <c r="M124"/>
      <c r="N124"/>
      <c r="O124"/>
      <c r="P124"/>
      <c r="Q124"/>
    </row>
    <row r="125" spans="1:17" s="9" customFormat="1" ht="12.75">
      <c r="A125" s="112"/>
      <c r="B125" s="286"/>
      <c r="C125" s="286"/>
      <c r="D125" s="286"/>
      <c r="I125"/>
      <c r="J125"/>
      <c r="K125"/>
      <c r="L125"/>
      <c r="M125"/>
      <c r="N125"/>
      <c r="O125"/>
      <c r="P125"/>
      <c r="Q125"/>
    </row>
    <row r="126" spans="1:17" s="9" customFormat="1" ht="12.75">
      <c r="A126" s="109" t="s">
        <v>105</v>
      </c>
      <c r="B126" s="402">
        <f>$B124*$D122</f>
        <v>613761.9522479988</v>
      </c>
      <c r="C126" s="402">
        <f>C124*D122</f>
        <v>0</v>
      </c>
      <c r="D126" s="402">
        <f>SUM(B126:C126)</f>
        <v>613761.9522479988</v>
      </c>
      <c r="I126"/>
      <c r="J126"/>
      <c r="K126"/>
      <c r="L126"/>
      <c r="M126"/>
      <c r="N126"/>
      <c r="O126"/>
      <c r="P126"/>
      <c r="Q126"/>
    </row>
    <row r="127" spans="1:17" s="9" customFormat="1" ht="12.75">
      <c r="A127" s="112"/>
      <c r="B127" s="287"/>
      <c r="C127" s="287"/>
      <c r="D127" s="287"/>
      <c r="I127"/>
      <c r="J127"/>
      <c r="K127"/>
      <c r="L127"/>
      <c r="M127"/>
      <c r="N127"/>
      <c r="O127"/>
      <c r="P127"/>
      <c r="Q127"/>
    </row>
    <row r="128" spans="1:17" s="9" customFormat="1" ht="12.75">
      <c r="A128" s="109" t="s">
        <v>100</v>
      </c>
      <c r="B128" s="293">
        <f>+C42</f>
        <v>139169853</v>
      </c>
      <c r="C128" s="292"/>
      <c r="D128" s="292"/>
      <c r="I128"/>
      <c r="J128"/>
      <c r="K128"/>
      <c r="L128"/>
      <c r="M128"/>
      <c r="N128"/>
      <c r="O128"/>
      <c r="P128"/>
      <c r="Q128"/>
    </row>
    <row r="129" spans="1:17" s="9" customFormat="1" ht="12.75">
      <c r="A129" s="112"/>
      <c r="B129" s="288"/>
      <c r="C129" s="287"/>
      <c r="D129" s="287"/>
      <c r="I129"/>
      <c r="J129"/>
      <c r="K129"/>
      <c r="L129"/>
      <c r="M129"/>
      <c r="N129"/>
      <c r="O129"/>
      <c r="P129"/>
      <c r="Q129"/>
    </row>
    <row r="130" spans="1:17" s="9" customFormat="1" ht="12.75">
      <c r="A130" s="109" t="s">
        <v>101</v>
      </c>
      <c r="B130" s="292"/>
      <c r="C130" s="293">
        <f>+D42</f>
        <v>15994</v>
      </c>
      <c r="D130" s="292"/>
      <c r="I130"/>
      <c r="J130"/>
      <c r="K130"/>
      <c r="L130"/>
      <c r="M130"/>
      <c r="N130"/>
      <c r="O130"/>
      <c r="P130"/>
      <c r="Q130"/>
    </row>
    <row r="131" spans="1:17" s="9" customFormat="1" ht="12.75">
      <c r="A131" s="112"/>
      <c r="B131" s="287"/>
      <c r="C131" s="288"/>
      <c r="D131" s="287"/>
      <c r="I131"/>
      <c r="J131"/>
      <c r="K131"/>
      <c r="L131"/>
      <c r="M131"/>
      <c r="N131"/>
      <c r="O131"/>
      <c r="P131"/>
      <c r="Q131"/>
    </row>
    <row r="132" spans="1:17" s="9" customFormat="1" ht="12.75">
      <c r="A132" s="109" t="s">
        <v>159</v>
      </c>
      <c r="B132" s="403">
        <f>IF(ISERROR($B126/$B128),0,$B126/$B128)</f>
        <v>0.004410164550852825</v>
      </c>
      <c r="C132" s="403"/>
      <c r="D132" s="294"/>
      <c r="I132"/>
      <c r="J132"/>
      <c r="K132"/>
      <c r="L132"/>
      <c r="M132"/>
      <c r="N132"/>
      <c r="O132"/>
      <c r="P132"/>
      <c r="Q132"/>
    </row>
    <row r="133" spans="1:17" s="9" customFormat="1" ht="12.75">
      <c r="A133" s="112"/>
      <c r="B133" s="404"/>
      <c r="C133" s="404"/>
      <c r="D133" s="289"/>
      <c r="I133"/>
      <c r="J133"/>
      <c r="K133"/>
      <c r="L133"/>
      <c r="M133"/>
      <c r="N133"/>
      <c r="O133"/>
      <c r="P133"/>
      <c r="Q133"/>
    </row>
    <row r="134" spans="1:17" s="9" customFormat="1" ht="12.75">
      <c r="A134" s="109" t="s">
        <v>160</v>
      </c>
      <c r="B134" s="405"/>
      <c r="C134" s="406">
        <f>IF(ISERROR($C126/$C130/12),0,$C126/$C130/12)</f>
        <v>0</v>
      </c>
      <c r="D134" s="295"/>
      <c r="I134"/>
      <c r="J134"/>
      <c r="K134"/>
      <c r="L134"/>
      <c r="M134"/>
      <c r="N134"/>
      <c r="O134"/>
      <c r="P134"/>
      <c r="Q134"/>
    </row>
    <row r="135" spans="2:17" s="9" customFormat="1" ht="12.75">
      <c r="B135" s="56"/>
      <c r="C135" s="56"/>
      <c r="D135" s="56"/>
      <c r="I135"/>
      <c r="J135"/>
      <c r="K135"/>
      <c r="L135"/>
      <c r="M135"/>
      <c r="N135"/>
      <c r="O135"/>
      <c r="P135"/>
      <c r="Q135"/>
    </row>
    <row r="136" spans="2:17" s="9" customFormat="1" ht="12.75">
      <c r="B136" s="56"/>
      <c r="C136" s="56"/>
      <c r="D136" s="56"/>
      <c r="I136"/>
      <c r="J136"/>
      <c r="K136"/>
      <c r="L136"/>
      <c r="M136"/>
      <c r="N136"/>
      <c r="O136"/>
      <c r="P136"/>
      <c r="Q136"/>
    </row>
    <row r="137" spans="1:17" s="9" customFormat="1" ht="51.75" thickBot="1">
      <c r="A137" s="132"/>
      <c r="B137" s="283" t="s">
        <v>104</v>
      </c>
      <c r="C137" s="283" t="s">
        <v>188</v>
      </c>
      <c r="D137" s="283" t="s">
        <v>103</v>
      </c>
      <c r="I137"/>
      <c r="J137"/>
      <c r="K137"/>
      <c r="L137"/>
      <c r="M137"/>
      <c r="N137"/>
      <c r="O137"/>
      <c r="P137"/>
      <c r="Q137"/>
    </row>
    <row r="138" spans="1:17" s="9" customFormat="1" ht="15">
      <c r="A138" s="481" t="s">
        <v>214</v>
      </c>
      <c r="B138" s="30"/>
      <c r="C138" s="30"/>
      <c r="I138"/>
      <c r="J138"/>
      <c r="K138"/>
      <c r="L138"/>
      <c r="M138"/>
      <c r="N138"/>
      <c r="O138"/>
      <c r="P138"/>
      <c r="Q138"/>
    </row>
    <row r="139" spans="1:17" s="9" customFormat="1" ht="12.75">
      <c r="A139" s="109" t="s">
        <v>99</v>
      </c>
      <c r="B139" s="290"/>
      <c r="C139" s="290"/>
      <c r="D139" s="407">
        <f>+G43</f>
        <v>39412.80037638176</v>
      </c>
      <c r="I139"/>
      <c r="J139"/>
      <c r="K139"/>
      <c r="L139"/>
      <c r="M139"/>
      <c r="N139"/>
      <c r="O139"/>
      <c r="P139"/>
      <c r="Q139"/>
    </row>
    <row r="140" spans="1:17" s="9" customFormat="1" ht="12.75">
      <c r="A140" s="112"/>
      <c r="B140" s="284"/>
      <c r="C140" s="284"/>
      <c r="D140" s="285"/>
      <c r="I140"/>
      <c r="J140"/>
      <c r="K140"/>
      <c r="L140"/>
      <c r="M140"/>
      <c r="N140"/>
      <c r="O140"/>
      <c r="P140"/>
      <c r="Q140"/>
    </row>
    <row r="141" spans="1:17" s="9" customFormat="1" ht="12.75">
      <c r="A141" s="109" t="s">
        <v>102</v>
      </c>
      <c r="B141" s="479">
        <f>+B124</f>
        <v>1</v>
      </c>
      <c r="C141" s="479">
        <f>+C124</f>
        <v>0</v>
      </c>
      <c r="D141" s="291">
        <f>B141+C141</f>
        <v>1</v>
      </c>
      <c r="I141"/>
      <c r="J141"/>
      <c r="K141"/>
      <c r="L141"/>
      <c r="M141"/>
      <c r="N141"/>
      <c r="O141"/>
      <c r="P141"/>
      <c r="Q141"/>
    </row>
    <row r="142" spans="1:17" s="9" customFormat="1" ht="12.75">
      <c r="A142" s="112"/>
      <c r="B142" s="286"/>
      <c r="C142" s="286"/>
      <c r="D142" s="286"/>
      <c r="I142"/>
      <c r="J142"/>
      <c r="K142"/>
      <c r="L142"/>
      <c r="M142"/>
      <c r="N142"/>
      <c r="O142"/>
      <c r="P142"/>
      <c r="Q142"/>
    </row>
    <row r="143" spans="1:17" s="9" customFormat="1" ht="12.75">
      <c r="A143" s="109" t="s">
        <v>105</v>
      </c>
      <c r="B143" s="402">
        <f>$B141*$D139</f>
        <v>39412.80037638176</v>
      </c>
      <c r="C143" s="402">
        <f>C141*D139</f>
        <v>0</v>
      </c>
      <c r="D143" s="402">
        <f>SUM(B143:C143)</f>
        <v>39412.80037638176</v>
      </c>
      <c r="I143"/>
      <c r="J143"/>
      <c r="K143"/>
      <c r="L143"/>
      <c r="M143"/>
      <c r="N143"/>
      <c r="O143"/>
      <c r="P143"/>
      <c r="Q143"/>
    </row>
    <row r="144" spans="1:17" s="9" customFormat="1" ht="12.75">
      <c r="A144" s="112"/>
      <c r="B144" s="287"/>
      <c r="C144" s="287"/>
      <c r="D144" s="287"/>
      <c r="I144"/>
      <c r="J144"/>
      <c r="K144"/>
      <c r="L144"/>
      <c r="M144"/>
      <c r="N144"/>
      <c r="O144"/>
      <c r="P144"/>
      <c r="Q144"/>
    </row>
    <row r="145" spans="1:17" s="9" customFormat="1" ht="12.75">
      <c r="A145" s="109" t="s">
        <v>100</v>
      </c>
      <c r="B145" s="293">
        <f>+C43</f>
        <v>9624043</v>
      </c>
      <c r="C145" s="292"/>
      <c r="D145" s="292"/>
      <c r="I145"/>
      <c r="J145"/>
      <c r="K145"/>
      <c r="L145"/>
      <c r="M145"/>
      <c r="N145"/>
      <c r="O145"/>
      <c r="P145"/>
      <c r="Q145"/>
    </row>
    <row r="146" spans="1:17" s="9" customFormat="1" ht="12.75">
      <c r="A146" s="112"/>
      <c r="B146" s="288"/>
      <c r="C146" s="287"/>
      <c r="D146" s="287"/>
      <c r="I146"/>
      <c r="J146"/>
      <c r="K146"/>
      <c r="L146"/>
      <c r="M146"/>
      <c r="N146"/>
      <c r="O146"/>
      <c r="P146"/>
      <c r="Q146"/>
    </row>
    <row r="147" spans="1:17" s="9" customFormat="1" ht="12.75">
      <c r="A147" s="109" t="s">
        <v>101</v>
      </c>
      <c r="B147" s="292"/>
      <c r="C147" s="293">
        <f>+D43</f>
        <v>1006</v>
      </c>
      <c r="D147" s="292"/>
      <c r="I147"/>
      <c r="J147"/>
      <c r="K147"/>
      <c r="L147"/>
      <c r="M147"/>
      <c r="N147"/>
      <c r="O147"/>
      <c r="P147"/>
      <c r="Q147"/>
    </row>
    <row r="148" spans="1:17" s="9" customFormat="1" ht="12.75">
      <c r="A148" s="112"/>
      <c r="B148" s="287"/>
      <c r="C148" s="288"/>
      <c r="D148" s="287"/>
      <c r="I148"/>
      <c r="J148"/>
      <c r="K148"/>
      <c r="L148"/>
      <c r="M148"/>
      <c r="N148"/>
      <c r="O148"/>
      <c r="P148"/>
      <c r="Q148"/>
    </row>
    <row r="149" spans="1:17" s="9" customFormat="1" ht="12.75">
      <c r="A149" s="109" t="s">
        <v>159</v>
      </c>
      <c r="B149" s="403">
        <f>IF(ISERROR($B143/$B145),0,$B143/$B145)</f>
        <v>0.004095243586960466</v>
      </c>
      <c r="C149" s="403"/>
      <c r="D149" s="294"/>
      <c r="I149"/>
      <c r="J149"/>
      <c r="K149"/>
      <c r="L149"/>
      <c r="M149"/>
      <c r="N149"/>
      <c r="O149"/>
      <c r="P149"/>
      <c r="Q149"/>
    </row>
    <row r="150" spans="1:17" s="9" customFormat="1" ht="12.75">
      <c r="A150" s="112"/>
      <c r="B150" s="404"/>
      <c r="C150" s="404"/>
      <c r="D150" s="289"/>
      <c r="I150"/>
      <c r="J150"/>
      <c r="K150"/>
      <c r="L150"/>
      <c r="M150"/>
      <c r="N150"/>
      <c r="O150"/>
      <c r="P150"/>
      <c r="Q150"/>
    </row>
    <row r="151" spans="1:17" s="9" customFormat="1" ht="12.75">
      <c r="A151" s="109" t="s">
        <v>160</v>
      </c>
      <c r="B151" s="405"/>
      <c r="C151" s="406">
        <f>IF(ISERROR($C143/$C147/12),0,$C143/$C147/12)</f>
        <v>0</v>
      </c>
      <c r="D151" s="295"/>
      <c r="I151"/>
      <c r="J151"/>
      <c r="K151"/>
      <c r="L151"/>
      <c r="M151"/>
      <c r="N151"/>
      <c r="O151"/>
      <c r="P151"/>
      <c r="Q151"/>
    </row>
    <row r="152" spans="2:17" s="9" customFormat="1" ht="12.75">
      <c r="B152" s="56"/>
      <c r="C152" s="56"/>
      <c r="D152" s="56"/>
      <c r="I152"/>
      <c r="J152"/>
      <c r="K152"/>
      <c r="L152"/>
      <c r="M152"/>
      <c r="N152"/>
      <c r="O152"/>
      <c r="P152"/>
      <c r="Q152"/>
    </row>
    <row r="153" spans="2:17" s="9" customFormat="1" ht="12.75">
      <c r="B153" s="56"/>
      <c r="C153" s="56"/>
      <c r="D153" s="56"/>
      <c r="I153"/>
      <c r="J153"/>
      <c r="K153"/>
      <c r="L153"/>
      <c r="M153"/>
      <c r="N153"/>
      <c r="O153"/>
      <c r="P153"/>
      <c r="Q153"/>
    </row>
    <row r="154" spans="1:17" s="9" customFormat="1" ht="51.75" thickBot="1">
      <c r="A154" s="132"/>
      <c r="B154" s="283" t="s">
        <v>104</v>
      </c>
      <c r="C154" s="283" t="s">
        <v>188</v>
      </c>
      <c r="D154" s="283" t="s">
        <v>103</v>
      </c>
      <c r="I154"/>
      <c r="J154"/>
      <c r="K154"/>
      <c r="L154"/>
      <c r="M154"/>
      <c r="N154"/>
      <c r="O154"/>
      <c r="P154"/>
      <c r="Q154"/>
    </row>
    <row r="155" spans="1:17" s="9" customFormat="1" ht="15">
      <c r="A155" s="481" t="s">
        <v>215</v>
      </c>
      <c r="B155" s="30"/>
      <c r="C155" s="30"/>
      <c r="I155"/>
      <c r="J155"/>
      <c r="K155"/>
      <c r="L155"/>
      <c r="M155"/>
      <c r="N155"/>
      <c r="O155"/>
      <c r="P155"/>
      <c r="Q155"/>
    </row>
    <row r="156" spans="1:17" s="9" customFormat="1" ht="12.75">
      <c r="A156" s="109" t="s">
        <v>99</v>
      </c>
      <c r="B156" s="290"/>
      <c r="C156" s="290"/>
      <c r="D156" s="407">
        <f>+G44</f>
        <v>9822.462154914658</v>
      </c>
      <c r="I156"/>
      <c r="J156"/>
      <c r="K156"/>
      <c r="L156"/>
      <c r="M156"/>
      <c r="N156"/>
      <c r="O156"/>
      <c r="P156"/>
      <c r="Q156"/>
    </row>
    <row r="157" spans="1:17" s="9" customFormat="1" ht="12.75">
      <c r="A157" s="112"/>
      <c r="B157" s="284"/>
      <c r="C157" s="284"/>
      <c r="D157" s="285"/>
      <c r="I157"/>
      <c r="J157"/>
      <c r="K157"/>
      <c r="L157"/>
      <c r="M157"/>
      <c r="N157"/>
      <c r="O157"/>
      <c r="P157"/>
      <c r="Q157"/>
    </row>
    <row r="158" spans="1:17" s="9" customFormat="1" ht="12.75">
      <c r="A158" s="109" t="s">
        <v>102</v>
      </c>
      <c r="B158" s="479">
        <f>+B141</f>
        <v>1</v>
      </c>
      <c r="C158" s="479">
        <f>+C141</f>
        <v>0</v>
      </c>
      <c r="D158" s="291">
        <f>B158+C158</f>
        <v>1</v>
      </c>
      <c r="I158"/>
      <c r="J158"/>
      <c r="K158"/>
      <c r="L158"/>
      <c r="M158"/>
      <c r="N158"/>
      <c r="O158"/>
      <c r="P158"/>
      <c r="Q158"/>
    </row>
    <row r="159" spans="1:17" s="9" customFormat="1" ht="12.75">
      <c r="A159" s="112"/>
      <c r="B159" s="286"/>
      <c r="C159" s="286"/>
      <c r="D159" s="286"/>
      <c r="I159"/>
      <c r="J159"/>
      <c r="K159"/>
      <c r="L159"/>
      <c r="M159"/>
      <c r="N159"/>
      <c r="O159"/>
      <c r="P159"/>
      <c r="Q159"/>
    </row>
    <row r="160" spans="1:17" s="9" customFormat="1" ht="12.75">
      <c r="A160" s="109" t="s">
        <v>105</v>
      </c>
      <c r="B160" s="402">
        <f>$B158*$D156</f>
        <v>9822.462154914658</v>
      </c>
      <c r="C160" s="402">
        <f>C158*D156</f>
        <v>0</v>
      </c>
      <c r="D160" s="402">
        <f>SUM(B160:C160)</f>
        <v>9822.462154914658</v>
      </c>
      <c r="I160"/>
      <c r="J160"/>
      <c r="K160"/>
      <c r="L160"/>
      <c r="M160"/>
      <c r="N160"/>
      <c r="O160"/>
      <c r="P160"/>
      <c r="Q160"/>
    </row>
    <row r="161" spans="1:17" s="9" customFormat="1" ht="12.75">
      <c r="A161" s="112"/>
      <c r="B161" s="287"/>
      <c r="C161" s="287"/>
      <c r="D161" s="287"/>
      <c r="I161"/>
      <c r="J161"/>
      <c r="K161"/>
      <c r="L161"/>
      <c r="M161"/>
      <c r="N161"/>
      <c r="O161"/>
      <c r="P161"/>
      <c r="Q161"/>
    </row>
    <row r="162" spans="1:17" s="9" customFormat="1" ht="12.75">
      <c r="A162" s="109" t="s">
        <v>100</v>
      </c>
      <c r="B162" s="293">
        <f>+C44</f>
        <v>2597275</v>
      </c>
      <c r="C162" s="292"/>
      <c r="D162" s="292"/>
      <c r="I162"/>
      <c r="J162"/>
      <c r="K162"/>
      <c r="L162"/>
      <c r="M162"/>
      <c r="N162"/>
      <c r="O162"/>
      <c r="P162"/>
      <c r="Q162"/>
    </row>
    <row r="163" spans="1:17" s="9" customFormat="1" ht="12.75">
      <c r="A163" s="112"/>
      <c r="B163" s="288"/>
      <c r="C163" s="287"/>
      <c r="D163" s="287"/>
      <c r="I163"/>
      <c r="J163"/>
      <c r="K163"/>
      <c r="L163"/>
      <c r="M163"/>
      <c r="N163"/>
      <c r="O163"/>
      <c r="P163"/>
      <c r="Q163"/>
    </row>
    <row r="164" spans="1:17" s="9" customFormat="1" ht="12.75">
      <c r="A164" s="109" t="s">
        <v>101</v>
      </c>
      <c r="B164" s="292"/>
      <c r="C164" s="293">
        <f>+D44</f>
        <v>335</v>
      </c>
      <c r="D164" s="292"/>
      <c r="I164"/>
      <c r="J164"/>
      <c r="K164"/>
      <c r="L164"/>
      <c r="M164"/>
      <c r="N164"/>
      <c r="O164"/>
      <c r="P164"/>
      <c r="Q164"/>
    </row>
    <row r="165" spans="1:17" s="9" customFormat="1" ht="12.75">
      <c r="A165" s="112"/>
      <c r="B165" s="287"/>
      <c r="C165" s="288"/>
      <c r="D165" s="287"/>
      <c r="I165"/>
      <c r="J165"/>
      <c r="K165"/>
      <c r="L165"/>
      <c r="M165"/>
      <c r="N165"/>
      <c r="O165"/>
      <c r="P165"/>
      <c r="Q165"/>
    </row>
    <row r="166" spans="1:17" s="9" customFormat="1" ht="12.75">
      <c r="A166" s="109" t="s">
        <v>159</v>
      </c>
      <c r="B166" s="403">
        <f>IF(ISERROR($B160/$B162),0,$B160/$B162)</f>
        <v>0.003781833712223256</v>
      </c>
      <c r="C166" s="403"/>
      <c r="D166" s="294"/>
      <c r="I166"/>
      <c r="J166"/>
      <c r="K166"/>
      <c r="L166"/>
      <c r="M166"/>
      <c r="N166"/>
      <c r="O166"/>
      <c r="P166"/>
      <c r="Q166"/>
    </row>
    <row r="167" spans="1:17" s="9" customFormat="1" ht="12.75">
      <c r="A167" s="112"/>
      <c r="B167" s="404"/>
      <c r="C167" s="404"/>
      <c r="D167" s="289"/>
      <c r="I167"/>
      <c r="J167"/>
      <c r="K167"/>
      <c r="L167"/>
      <c r="M167"/>
      <c r="N167"/>
      <c r="O167"/>
      <c r="P167"/>
      <c r="Q167"/>
    </row>
    <row r="168" spans="1:17" s="9" customFormat="1" ht="12.75">
      <c r="A168" s="109" t="s">
        <v>160</v>
      </c>
      <c r="B168" s="405"/>
      <c r="C168" s="406">
        <f>IF(ISERROR($C160/$C164/12),0,$C160/$C164/12)</f>
        <v>0</v>
      </c>
      <c r="D168" s="295"/>
      <c r="I168"/>
      <c r="J168"/>
      <c r="K168"/>
      <c r="L168"/>
      <c r="M168"/>
      <c r="N168"/>
      <c r="O168"/>
      <c r="P168"/>
      <c r="Q168"/>
    </row>
    <row r="169" spans="2:17" s="9" customFormat="1" ht="12.75">
      <c r="B169" s="56"/>
      <c r="C169" s="56"/>
      <c r="D169" s="56"/>
      <c r="I169"/>
      <c r="J169"/>
      <c r="K169"/>
      <c r="L169"/>
      <c r="M169"/>
      <c r="N169"/>
      <c r="O169"/>
      <c r="P169"/>
      <c r="Q169"/>
    </row>
    <row r="170" spans="2:17" s="9" customFormat="1" ht="12.75">
      <c r="B170" s="56"/>
      <c r="C170" s="56"/>
      <c r="D170" s="56"/>
      <c r="I170"/>
      <c r="J170"/>
      <c r="K170"/>
      <c r="L170"/>
      <c r="M170"/>
      <c r="N170"/>
      <c r="O170"/>
      <c r="P170"/>
      <c r="Q170"/>
    </row>
    <row r="171" spans="1:17" s="9" customFormat="1" ht="51.75" thickBot="1">
      <c r="A171" s="132"/>
      <c r="B171" s="283" t="s">
        <v>104</v>
      </c>
      <c r="C171" s="283" t="s">
        <v>188</v>
      </c>
      <c r="D171" s="283" t="s">
        <v>103</v>
      </c>
      <c r="I171"/>
      <c r="J171"/>
      <c r="K171"/>
      <c r="L171"/>
      <c r="M171"/>
      <c r="N171"/>
      <c r="O171"/>
      <c r="P171"/>
      <c r="Q171"/>
    </row>
    <row r="172" spans="1:17" s="9" customFormat="1" ht="15">
      <c r="A172" s="481" t="s">
        <v>216</v>
      </c>
      <c r="B172" s="30"/>
      <c r="C172" s="30"/>
      <c r="I172"/>
      <c r="J172"/>
      <c r="K172"/>
      <c r="L172"/>
      <c r="M172"/>
      <c r="N172"/>
      <c r="O172"/>
      <c r="P172"/>
      <c r="Q172"/>
    </row>
    <row r="173" spans="1:17" s="9" customFormat="1" ht="12.75">
      <c r="A173" s="109" t="s">
        <v>99</v>
      </c>
      <c r="B173" s="290"/>
      <c r="C173" s="290"/>
      <c r="D173" s="407">
        <f>+G45</f>
        <v>9901.151279217458</v>
      </c>
      <c r="I173"/>
      <c r="J173"/>
      <c r="K173"/>
      <c r="L173"/>
      <c r="M173"/>
      <c r="N173"/>
      <c r="O173"/>
      <c r="P173"/>
      <c r="Q173"/>
    </row>
    <row r="174" spans="1:17" s="9" customFormat="1" ht="12.75">
      <c r="A174" s="112"/>
      <c r="B174" s="284"/>
      <c r="C174" s="284"/>
      <c r="D174" s="285"/>
      <c r="I174"/>
      <c r="J174"/>
      <c r="K174"/>
      <c r="L174"/>
      <c r="M174"/>
      <c r="N174"/>
      <c r="O174"/>
      <c r="P174"/>
      <c r="Q174"/>
    </row>
    <row r="175" spans="1:17" s="9" customFormat="1" ht="12.75">
      <c r="A175" s="109" t="s">
        <v>102</v>
      </c>
      <c r="B175" s="479">
        <f>+B158</f>
        <v>1</v>
      </c>
      <c r="C175" s="479">
        <f>+C158</f>
        <v>0</v>
      </c>
      <c r="D175" s="291">
        <f>B175+C175</f>
        <v>1</v>
      </c>
      <c r="I175"/>
      <c r="J175"/>
      <c r="K175"/>
      <c r="L175"/>
      <c r="M175"/>
      <c r="N175"/>
      <c r="O175"/>
      <c r="P175"/>
      <c r="Q175"/>
    </row>
    <row r="176" spans="1:17" s="9" customFormat="1" ht="12.75">
      <c r="A176" s="112"/>
      <c r="B176" s="286"/>
      <c r="C176" s="286"/>
      <c r="D176" s="286"/>
      <c r="I176"/>
      <c r="J176"/>
      <c r="K176"/>
      <c r="L176"/>
      <c r="M176"/>
      <c r="N176"/>
      <c r="O176"/>
      <c r="P176"/>
      <c r="Q176"/>
    </row>
    <row r="177" spans="1:17" s="9" customFormat="1" ht="12.75">
      <c r="A177" s="109" t="s">
        <v>105</v>
      </c>
      <c r="B177" s="402">
        <f>$B175*$D173</f>
        <v>9901.151279217458</v>
      </c>
      <c r="C177" s="402">
        <f>C175*D173</f>
        <v>0</v>
      </c>
      <c r="D177" s="402">
        <f>SUM(B177:C177)</f>
        <v>9901.151279217458</v>
      </c>
      <c r="I177"/>
      <c r="J177"/>
      <c r="K177"/>
      <c r="L177"/>
      <c r="M177"/>
      <c r="N177"/>
      <c r="O177"/>
      <c r="P177"/>
      <c r="Q177"/>
    </row>
    <row r="178" spans="1:17" s="9" customFormat="1" ht="12.75">
      <c r="A178" s="112"/>
      <c r="B178" s="287"/>
      <c r="C178" s="287"/>
      <c r="D178" s="287"/>
      <c r="I178"/>
      <c r="J178"/>
      <c r="K178"/>
      <c r="L178"/>
      <c r="M178"/>
      <c r="N178"/>
      <c r="O178"/>
      <c r="P178"/>
      <c r="Q178"/>
    </row>
    <row r="179" spans="1:17" s="9" customFormat="1" ht="12.75">
      <c r="A179" s="109" t="s">
        <v>100</v>
      </c>
      <c r="B179" s="293">
        <f>+C45</f>
        <v>2237409</v>
      </c>
      <c r="C179" s="292"/>
      <c r="D179" s="292"/>
      <c r="I179"/>
      <c r="J179"/>
      <c r="K179"/>
      <c r="L179"/>
      <c r="M179"/>
      <c r="N179"/>
      <c r="O179"/>
      <c r="P179"/>
      <c r="Q179"/>
    </row>
    <row r="180" spans="1:17" s="9" customFormat="1" ht="12.75">
      <c r="A180" s="112"/>
      <c r="B180" s="288"/>
      <c r="C180" s="287"/>
      <c r="D180" s="287"/>
      <c r="I180"/>
      <c r="J180"/>
      <c r="K180"/>
      <c r="L180"/>
      <c r="M180"/>
      <c r="N180"/>
      <c r="O180"/>
      <c r="P180"/>
      <c r="Q180"/>
    </row>
    <row r="181" spans="1:17" s="9" customFormat="1" ht="12.75">
      <c r="A181" s="109" t="s">
        <v>101</v>
      </c>
      <c r="B181" s="292"/>
      <c r="C181" s="293">
        <f>+D45</f>
        <v>282</v>
      </c>
      <c r="D181" s="292"/>
      <c r="I181"/>
      <c r="J181"/>
      <c r="K181"/>
      <c r="L181"/>
      <c r="M181"/>
      <c r="N181"/>
      <c r="O181"/>
      <c r="P181"/>
      <c r="Q181"/>
    </row>
    <row r="182" spans="1:17" s="9" customFormat="1" ht="12.75">
      <c r="A182" s="112"/>
      <c r="B182" s="287"/>
      <c r="C182" s="288"/>
      <c r="D182" s="287"/>
      <c r="I182"/>
      <c r="J182"/>
      <c r="K182"/>
      <c r="L182"/>
      <c r="M182"/>
      <c r="N182"/>
      <c r="O182"/>
      <c r="P182"/>
      <c r="Q182"/>
    </row>
    <row r="183" spans="1:17" s="9" customFormat="1" ht="12.75">
      <c r="A183" s="109" t="s">
        <v>159</v>
      </c>
      <c r="B183" s="403">
        <f>IF(ISERROR($B177/$B179),0,$B177/$B179)</f>
        <v>0.0044252755214703515</v>
      </c>
      <c r="C183" s="403"/>
      <c r="D183" s="294"/>
      <c r="I183"/>
      <c r="J183"/>
      <c r="K183"/>
      <c r="L183"/>
      <c r="M183"/>
      <c r="N183"/>
      <c r="O183"/>
      <c r="P183"/>
      <c r="Q183"/>
    </row>
    <row r="184" spans="1:17" s="9" customFormat="1" ht="12.75">
      <c r="A184" s="112"/>
      <c r="B184" s="404"/>
      <c r="C184" s="404"/>
      <c r="D184" s="289"/>
      <c r="I184"/>
      <c r="J184"/>
      <c r="K184"/>
      <c r="L184"/>
      <c r="M184"/>
      <c r="N184"/>
      <c r="O184"/>
      <c r="P184"/>
      <c r="Q184"/>
    </row>
    <row r="185" spans="1:17" s="9" customFormat="1" ht="12.75">
      <c r="A185" s="109" t="s">
        <v>160</v>
      </c>
      <c r="B185" s="405"/>
      <c r="C185" s="406">
        <f>IF(ISERROR($C177/$C181/12),0,$C177/$C181/12)</f>
        <v>0</v>
      </c>
      <c r="D185" s="295"/>
      <c r="I185"/>
      <c r="J185"/>
      <c r="K185"/>
      <c r="L185"/>
      <c r="M185"/>
      <c r="N185"/>
      <c r="O185"/>
      <c r="P185"/>
      <c r="Q185"/>
    </row>
    <row r="186" spans="2:17" s="9" customFormat="1" ht="12.75">
      <c r="B186" s="56"/>
      <c r="C186" s="56"/>
      <c r="D186" s="56"/>
      <c r="I186"/>
      <c r="J186"/>
      <c r="K186"/>
      <c r="L186"/>
      <c r="M186"/>
      <c r="N186"/>
      <c r="O186"/>
      <c r="P186"/>
      <c r="Q186"/>
    </row>
    <row r="187" spans="2:17" s="9" customFormat="1" ht="12.75">
      <c r="B187" s="56"/>
      <c r="C187" s="56"/>
      <c r="D187" s="56"/>
      <c r="I187"/>
      <c r="J187"/>
      <c r="K187"/>
      <c r="L187"/>
      <c r="M187"/>
      <c r="N187"/>
      <c r="O187"/>
      <c r="P187"/>
      <c r="Q187"/>
    </row>
    <row r="188" spans="1:17" s="9" customFormat="1" ht="51.75" thickBot="1">
      <c r="A188" s="132"/>
      <c r="B188" s="283" t="s">
        <v>104</v>
      </c>
      <c r="C188" s="283" t="s">
        <v>188</v>
      </c>
      <c r="D188" s="283" t="s">
        <v>103</v>
      </c>
      <c r="I188"/>
      <c r="J188"/>
      <c r="K188"/>
      <c r="L188"/>
      <c r="M188"/>
      <c r="N188"/>
      <c r="O188"/>
      <c r="P188"/>
      <c r="Q188"/>
    </row>
    <row r="189" spans="1:17" s="9" customFormat="1" ht="15">
      <c r="A189" s="481" t="s">
        <v>217</v>
      </c>
      <c r="B189" s="30"/>
      <c r="C189" s="30"/>
      <c r="I189"/>
      <c r="J189"/>
      <c r="K189"/>
      <c r="L189"/>
      <c r="M189"/>
      <c r="N189"/>
      <c r="O189"/>
      <c r="P189"/>
      <c r="Q189"/>
    </row>
    <row r="190" spans="1:17" s="9" customFormat="1" ht="12.75">
      <c r="A190" s="109" t="s">
        <v>99</v>
      </c>
      <c r="B190" s="290"/>
      <c r="C190" s="290"/>
      <c r="D190" s="407">
        <f>+G46</f>
        <v>54519.88272495229</v>
      </c>
      <c r="I190"/>
      <c r="J190"/>
      <c r="K190"/>
      <c r="L190"/>
      <c r="M190"/>
      <c r="N190"/>
      <c r="O190"/>
      <c r="P190"/>
      <c r="Q190"/>
    </row>
    <row r="191" spans="1:17" s="9" customFormat="1" ht="12.75">
      <c r="A191" s="112"/>
      <c r="B191" s="284"/>
      <c r="C191" s="284"/>
      <c r="D191" s="285"/>
      <c r="I191"/>
      <c r="J191"/>
      <c r="K191"/>
      <c r="L191"/>
      <c r="M191"/>
      <c r="N191"/>
      <c r="O191"/>
      <c r="P191"/>
      <c r="Q191"/>
    </row>
    <row r="192" spans="1:17" s="9" customFormat="1" ht="12.75">
      <c r="A192" s="109" t="s">
        <v>102</v>
      </c>
      <c r="B192" s="479">
        <f>+B175</f>
        <v>1</v>
      </c>
      <c r="C192" s="479">
        <f>+C175</f>
        <v>0</v>
      </c>
      <c r="D192" s="291">
        <f>B192+C192</f>
        <v>1</v>
      </c>
      <c r="I192"/>
      <c r="J192"/>
      <c r="K192"/>
      <c r="L192"/>
      <c r="M192"/>
      <c r="N192"/>
      <c r="O192"/>
      <c r="P192"/>
      <c r="Q192"/>
    </row>
    <row r="193" spans="1:17" s="9" customFormat="1" ht="12.75">
      <c r="A193" s="112"/>
      <c r="B193" s="286"/>
      <c r="C193" s="286"/>
      <c r="D193" s="286"/>
      <c r="I193"/>
      <c r="J193"/>
      <c r="K193"/>
      <c r="L193"/>
      <c r="M193"/>
      <c r="N193"/>
      <c r="O193"/>
      <c r="P193"/>
      <c r="Q193"/>
    </row>
    <row r="194" spans="1:17" s="9" customFormat="1" ht="12.75">
      <c r="A194" s="109" t="s">
        <v>105</v>
      </c>
      <c r="B194" s="402">
        <f>$B192*$D190</f>
        <v>54519.88272495229</v>
      </c>
      <c r="C194" s="402">
        <f>C192*D190</f>
        <v>0</v>
      </c>
      <c r="D194" s="402">
        <f>SUM(B194:C194)</f>
        <v>54519.88272495229</v>
      </c>
      <c r="I194"/>
      <c r="J194"/>
      <c r="K194"/>
      <c r="L194"/>
      <c r="M194"/>
      <c r="N194"/>
      <c r="O194"/>
      <c r="P194"/>
      <c r="Q194"/>
    </row>
    <row r="195" spans="1:17" s="9" customFormat="1" ht="12.75">
      <c r="A195" s="112"/>
      <c r="B195" s="287"/>
      <c r="C195" s="287"/>
      <c r="D195" s="287"/>
      <c r="I195"/>
      <c r="J195"/>
      <c r="K195"/>
      <c r="L195"/>
      <c r="M195"/>
      <c r="N195"/>
      <c r="O195"/>
      <c r="P195"/>
      <c r="Q195"/>
    </row>
    <row r="196" spans="1:17" s="9" customFormat="1" ht="12.75">
      <c r="A196" s="109" t="s">
        <v>100</v>
      </c>
      <c r="B196" s="293">
        <f>+C46</f>
        <v>10742282</v>
      </c>
      <c r="C196" s="292"/>
      <c r="D196" s="292"/>
      <c r="I196"/>
      <c r="J196"/>
      <c r="K196"/>
      <c r="L196"/>
      <c r="M196"/>
      <c r="N196"/>
      <c r="O196"/>
      <c r="P196"/>
      <c r="Q196"/>
    </row>
    <row r="197" spans="1:17" s="9" customFormat="1" ht="12.75">
      <c r="A197" s="112"/>
      <c r="B197" s="288"/>
      <c r="C197" s="287"/>
      <c r="D197" s="287"/>
      <c r="I197"/>
      <c r="J197"/>
      <c r="K197"/>
      <c r="L197"/>
      <c r="M197"/>
      <c r="N197"/>
      <c r="O197"/>
      <c r="P197"/>
      <c r="Q197"/>
    </row>
    <row r="198" spans="1:17" s="9" customFormat="1" ht="12.75">
      <c r="A198" s="109" t="s">
        <v>101</v>
      </c>
      <c r="B198" s="292"/>
      <c r="C198" s="293">
        <f>+D46</f>
        <v>1345</v>
      </c>
      <c r="D198" s="292"/>
      <c r="I198"/>
      <c r="J198"/>
      <c r="K198"/>
      <c r="L198"/>
      <c r="M198"/>
      <c r="N198"/>
      <c r="O198"/>
      <c r="P198"/>
      <c r="Q198"/>
    </row>
    <row r="199" spans="1:17" s="9" customFormat="1" ht="12.75">
      <c r="A199" s="112"/>
      <c r="B199" s="287"/>
      <c r="C199" s="288"/>
      <c r="D199" s="287"/>
      <c r="I199"/>
      <c r="J199"/>
      <c r="K199"/>
      <c r="L199"/>
      <c r="M199"/>
      <c r="N199"/>
      <c r="O199"/>
      <c r="P199"/>
      <c r="Q199"/>
    </row>
    <row r="200" spans="1:17" s="9" customFormat="1" ht="12.75">
      <c r="A200" s="109" t="s">
        <v>159</v>
      </c>
      <c r="B200" s="403">
        <f>IF(ISERROR($B194/$B196),0,$B194/$B196)</f>
        <v>0.005075260798864924</v>
      </c>
      <c r="C200" s="403"/>
      <c r="D200" s="294"/>
      <c r="I200"/>
      <c r="J200"/>
      <c r="K200"/>
      <c r="L200"/>
      <c r="M200"/>
      <c r="N200"/>
      <c r="O200"/>
      <c r="P200"/>
      <c r="Q200"/>
    </row>
    <row r="201" spans="1:17" s="9" customFormat="1" ht="12.75">
      <c r="A201" s="112"/>
      <c r="B201" s="404"/>
      <c r="C201" s="404"/>
      <c r="D201" s="289"/>
      <c r="I201"/>
      <c r="J201"/>
      <c r="K201"/>
      <c r="L201"/>
      <c r="M201"/>
      <c r="N201"/>
      <c r="O201"/>
      <c r="P201"/>
      <c r="Q201"/>
    </row>
    <row r="202" spans="1:17" s="9" customFormat="1" ht="12.75">
      <c r="A202" s="109" t="s">
        <v>160</v>
      </c>
      <c r="B202" s="405"/>
      <c r="C202" s="406">
        <f>IF(ISERROR($C194/$C198/12),0,$C194/$C198/12)</f>
        <v>0</v>
      </c>
      <c r="D202" s="295"/>
      <c r="I202"/>
      <c r="J202"/>
      <c r="K202"/>
      <c r="L202"/>
      <c r="M202"/>
      <c r="N202"/>
      <c r="O202"/>
      <c r="P202"/>
      <c r="Q202"/>
    </row>
    <row r="203" spans="2:17" s="9" customFormat="1" ht="12.75">
      <c r="B203" s="56"/>
      <c r="C203" s="56"/>
      <c r="D203" s="56"/>
      <c r="I203"/>
      <c r="J203"/>
      <c r="K203"/>
      <c r="L203"/>
      <c r="M203"/>
      <c r="N203"/>
      <c r="O203"/>
      <c r="P203"/>
      <c r="Q203"/>
    </row>
    <row r="204" spans="2:17" s="9" customFormat="1" ht="12.75">
      <c r="B204" s="56"/>
      <c r="C204" s="56"/>
      <c r="D204" s="56"/>
      <c r="I204"/>
      <c r="J204"/>
      <c r="K204"/>
      <c r="L204"/>
      <c r="M204"/>
      <c r="N204"/>
      <c r="O204"/>
      <c r="P204"/>
      <c r="Q204"/>
    </row>
    <row r="205" spans="1:17" s="9" customFormat="1" ht="51.75" thickBot="1">
      <c r="A205" s="132"/>
      <c r="B205" s="283" t="s">
        <v>104</v>
      </c>
      <c r="C205" s="283" t="s">
        <v>188</v>
      </c>
      <c r="D205" s="283" t="s">
        <v>103</v>
      </c>
      <c r="I205"/>
      <c r="J205"/>
      <c r="K205"/>
      <c r="L205"/>
      <c r="M205"/>
      <c r="N205"/>
      <c r="O205"/>
      <c r="P205"/>
      <c r="Q205"/>
    </row>
    <row r="206" spans="1:17" s="9" customFormat="1" ht="15">
      <c r="A206" s="481" t="s">
        <v>218</v>
      </c>
      <c r="B206" s="30"/>
      <c r="C206" s="30"/>
      <c r="D206" s="494"/>
      <c r="I206"/>
      <c r="J206"/>
      <c r="K206"/>
      <c r="L206"/>
      <c r="M206"/>
      <c r="N206"/>
      <c r="O206"/>
      <c r="P206"/>
      <c r="Q206"/>
    </row>
    <row r="207" spans="1:17" s="9" customFormat="1" ht="12.75">
      <c r="A207" s="109" t="s">
        <v>99</v>
      </c>
      <c r="B207" s="290"/>
      <c r="C207" s="290"/>
      <c r="D207" s="407">
        <f>+G47</f>
        <v>8422.041645838248</v>
      </c>
      <c r="I207"/>
      <c r="J207"/>
      <c r="K207"/>
      <c r="L207"/>
      <c r="M207"/>
      <c r="N207"/>
      <c r="O207"/>
      <c r="P207"/>
      <c r="Q207"/>
    </row>
    <row r="208" spans="1:17" s="9" customFormat="1" ht="12.75">
      <c r="A208" s="112"/>
      <c r="B208" s="284"/>
      <c r="C208" s="284"/>
      <c r="D208" s="285"/>
      <c r="I208"/>
      <c r="J208"/>
      <c r="K208"/>
      <c r="L208"/>
      <c r="M208"/>
      <c r="N208"/>
      <c r="O208"/>
      <c r="P208"/>
      <c r="Q208"/>
    </row>
    <row r="209" spans="1:17" s="9" customFormat="1" ht="12.75">
      <c r="A209" s="109" t="s">
        <v>102</v>
      </c>
      <c r="B209" s="479">
        <f>+B192</f>
        <v>1</v>
      </c>
      <c r="C209" s="479">
        <f>+C192</f>
        <v>0</v>
      </c>
      <c r="D209" s="291">
        <f>B209+C209</f>
        <v>1</v>
      </c>
      <c r="I209"/>
      <c r="J209"/>
      <c r="K209"/>
      <c r="L209"/>
      <c r="M209"/>
      <c r="N209"/>
      <c r="O209"/>
      <c r="P209"/>
      <c r="Q209"/>
    </row>
    <row r="210" spans="1:17" s="9" customFormat="1" ht="12.75">
      <c r="A210" s="112"/>
      <c r="B210" s="286"/>
      <c r="C210" s="286"/>
      <c r="D210" s="286"/>
      <c r="I210"/>
      <c r="J210"/>
      <c r="K210"/>
      <c r="L210"/>
      <c r="M210"/>
      <c r="N210"/>
      <c r="O210"/>
      <c r="P210"/>
      <c r="Q210"/>
    </row>
    <row r="211" spans="1:17" s="9" customFormat="1" ht="12.75">
      <c r="A211" s="109" t="s">
        <v>105</v>
      </c>
      <c r="B211" s="402">
        <f>$B209*$D207</f>
        <v>8422.041645838248</v>
      </c>
      <c r="C211" s="402">
        <f>C209*D207</f>
        <v>0</v>
      </c>
      <c r="D211" s="402">
        <f>SUM(B211:C211)</f>
        <v>8422.041645838248</v>
      </c>
      <c r="I211"/>
      <c r="J211"/>
      <c r="K211"/>
      <c r="L211"/>
      <c r="M211"/>
      <c r="N211"/>
      <c r="O211"/>
      <c r="P211"/>
      <c r="Q211"/>
    </row>
    <row r="212" spans="1:17" s="9" customFormat="1" ht="12.75">
      <c r="A212" s="112"/>
      <c r="B212" s="496"/>
      <c r="C212" s="287"/>
      <c r="D212" s="287"/>
      <c r="I212"/>
      <c r="J212"/>
      <c r="K212"/>
      <c r="L212"/>
      <c r="M212"/>
      <c r="N212"/>
      <c r="O212"/>
      <c r="P212"/>
      <c r="Q212"/>
    </row>
    <row r="213" spans="1:17" s="9" customFormat="1" ht="12.75">
      <c r="A213" s="109" t="s">
        <v>100</v>
      </c>
      <c r="B213" s="293">
        <f>+C47</f>
        <v>3373917</v>
      </c>
      <c r="C213" s="292"/>
      <c r="D213" s="292"/>
      <c r="I213"/>
      <c r="J213"/>
      <c r="K213"/>
      <c r="L213"/>
      <c r="M213"/>
      <c r="N213"/>
      <c r="O213"/>
      <c r="P213"/>
      <c r="Q213"/>
    </row>
    <row r="214" spans="1:17" s="9" customFormat="1" ht="12.75">
      <c r="A214" s="112"/>
      <c r="B214" s="288"/>
      <c r="C214" s="287"/>
      <c r="D214" s="287"/>
      <c r="I214"/>
      <c r="J214"/>
      <c r="K214"/>
      <c r="L214"/>
      <c r="M214"/>
      <c r="N214"/>
      <c r="O214"/>
      <c r="P214"/>
      <c r="Q214"/>
    </row>
    <row r="215" spans="1:17" s="9" customFormat="1" ht="12.75">
      <c r="A215" s="109" t="s">
        <v>101</v>
      </c>
      <c r="B215" s="292"/>
      <c r="C215" s="293">
        <f>+D47</f>
        <v>361</v>
      </c>
      <c r="D215" s="292"/>
      <c r="I215"/>
      <c r="J215"/>
      <c r="K215"/>
      <c r="L215"/>
      <c r="M215"/>
      <c r="N215"/>
      <c r="O215"/>
      <c r="P215"/>
      <c r="Q215"/>
    </row>
    <row r="216" spans="1:17" s="9" customFormat="1" ht="12.75">
      <c r="A216" s="112"/>
      <c r="B216" s="287"/>
      <c r="C216" s="288"/>
      <c r="D216" s="287"/>
      <c r="I216"/>
      <c r="J216"/>
      <c r="K216"/>
      <c r="L216"/>
      <c r="M216"/>
      <c r="N216"/>
      <c r="O216"/>
      <c r="P216"/>
      <c r="Q216"/>
    </row>
    <row r="217" spans="1:17" s="9" customFormat="1" ht="12.75">
      <c r="A217" s="109" t="s">
        <v>159</v>
      </c>
      <c r="B217" s="403">
        <f>IF(ISERROR($B211/$B213),0,$B211/$B213)</f>
        <v>0.002496220756419985</v>
      </c>
      <c r="C217" s="403"/>
      <c r="D217" s="294"/>
      <c r="I217"/>
      <c r="J217"/>
      <c r="K217"/>
      <c r="L217"/>
      <c r="M217"/>
      <c r="N217"/>
      <c r="O217"/>
      <c r="P217"/>
      <c r="Q217"/>
    </row>
    <row r="218" spans="1:17" s="9" customFormat="1" ht="12.75">
      <c r="A218" s="112"/>
      <c r="B218" s="404"/>
      <c r="C218" s="404"/>
      <c r="D218" s="289"/>
      <c r="I218"/>
      <c r="J218"/>
      <c r="K218"/>
      <c r="L218"/>
      <c r="M218"/>
      <c r="N218"/>
      <c r="O218"/>
      <c r="P218"/>
      <c r="Q218"/>
    </row>
    <row r="219" spans="1:17" s="9" customFormat="1" ht="12.75">
      <c r="A219" s="109" t="s">
        <v>160</v>
      </c>
      <c r="B219" s="405"/>
      <c r="C219" s="406">
        <f>IF(ISERROR($C211/$C215/12),0,$C211/$C215/12)</f>
        <v>0</v>
      </c>
      <c r="D219" s="295"/>
      <c r="I219"/>
      <c r="J219"/>
      <c r="K219"/>
      <c r="L219"/>
      <c r="M219"/>
      <c r="N219"/>
      <c r="O219"/>
      <c r="P219"/>
      <c r="Q219"/>
    </row>
    <row r="220" spans="2:17" s="9" customFormat="1" ht="12.75">
      <c r="B220" s="56"/>
      <c r="C220" s="56"/>
      <c r="D220" s="56"/>
      <c r="I220"/>
      <c r="J220"/>
      <c r="K220"/>
      <c r="L220"/>
      <c r="M220"/>
      <c r="N220"/>
      <c r="O220"/>
      <c r="P220"/>
      <c r="Q220"/>
    </row>
    <row r="221" spans="2:17" s="9" customFormat="1" ht="12.75">
      <c r="B221" s="56"/>
      <c r="C221" s="56"/>
      <c r="D221" s="56"/>
      <c r="I221"/>
      <c r="J221"/>
      <c r="K221"/>
      <c r="L221"/>
      <c r="M221"/>
      <c r="N221"/>
      <c r="O221"/>
      <c r="P221"/>
      <c r="Q221"/>
    </row>
    <row r="222" spans="1:17" s="9" customFormat="1" ht="51.75" thickBot="1">
      <c r="A222" s="132"/>
      <c r="B222" s="283" t="s">
        <v>104</v>
      </c>
      <c r="C222" s="283" t="s">
        <v>188</v>
      </c>
      <c r="D222" s="283" t="s">
        <v>103</v>
      </c>
      <c r="I222"/>
      <c r="J222"/>
      <c r="K222"/>
      <c r="L222"/>
      <c r="M222"/>
      <c r="N222"/>
      <c r="O222"/>
      <c r="P222"/>
      <c r="Q222"/>
    </row>
    <row r="223" spans="1:17" s="9" customFormat="1" ht="15">
      <c r="A223" s="481" t="s">
        <v>219</v>
      </c>
      <c r="B223" s="30"/>
      <c r="C223" s="30"/>
      <c r="I223"/>
      <c r="J223"/>
      <c r="K223"/>
      <c r="L223"/>
      <c r="M223"/>
      <c r="N223"/>
      <c r="O223"/>
      <c r="P223"/>
      <c r="Q223"/>
    </row>
    <row r="224" spans="1:17" s="9" customFormat="1" ht="12.75">
      <c r="A224" s="109" t="s">
        <v>99</v>
      </c>
      <c r="B224" s="290"/>
      <c r="C224" s="290"/>
      <c r="D224" s="407">
        <f>+G48</f>
        <v>63283.11549569722</v>
      </c>
      <c r="I224"/>
      <c r="J224"/>
      <c r="K224"/>
      <c r="L224"/>
      <c r="M224"/>
      <c r="N224"/>
      <c r="O224"/>
      <c r="P224"/>
      <c r="Q224"/>
    </row>
    <row r="225" spans="1:17" s="9" customFormat="1" ht="12.75">
      <c r="A225" s="112"/>
      <c r="B225" s="284"/>
      <c r="C225" s="284"/>
      <c r="D225" s="285"/>
      <c r="I225"/>
      <c r="J225"/>
      <c r="K225"/>
      <c r="L225"/>
      <c r="M225"/>
      <c r="N225"/>
      <c r="O225"/>
      <c r="P225"/>
      <c r="Q225"/>
    </row>
    <row r="226" spans="1:17" s="9" customFormat="1" ht="12.75">
      <c r="A226" s="109" t="s">
        <v>102</v>
      </c>
      <c r="B226" s="479">
        <f>+B209</f>
        <v>1</v>
      </c>
      <c r="C226" s="479">
        <f>+C209</f>
        <v>0</v>
      </c>
      <c r="D226" s="291">
        <f>B226+C226</f>
        <v>1</v>
      </c>
      <c r="I226"/>
      <c r="J226"/>
      <c r="K226"/>
      <c r="L226"/>
      <c r="M226"/>
      <c r="N226"/>
      <c r="O226"/>
      <c r="P226"/>
      <c r="Q226"/>
    </row>
    <row r="227" spans="1:17" s="9" customFormat="1" ht="12.75">
      <c r="A227" s="112"/>
      <c r="B227" s="286"/>
      <c r="C227" s="286"/>
      <c r="D227" s="286"/>
      <c r="I227"/>
      <c r="J227"/>
      <c r="K227"/>
      <c r="L227"/>
      <c r="M227"/>
      <c r="N227"/>
      <c r="O227"/>
      <c r="P227"/>
      <c r="Q227"/>
    </row>
    <row r="228" spans="1:17" s="9" customFormat="1" ht="12.75">
      <c r="A228" s="109" t="s">
        <v>105</v>
      </c>
      <c r="B228" s="402">
        <f>$B226*$D224</f>
        <v>63283.11549569722</v>
      </c>
      <c r="C228" s="402">
        <f>C226*D224</f>
        <v>0</v>
      </c>
      <c r="D228" s="402">
        <f>SUM(B228:C228)</f>
        <v>63283.11549569722</v>
      </c>
      <c r="I228"/>
      <c r="J228"/>
      <c r="K228"/>
      <c r="L228"/>
      <c r="M228"/>
      <c r="N228"/>
      <c r="O228"/>
      <c r="P228"/>
      <c r="Q228"/>
    </row>
    <row r="229" spans="1:17" s="9" customFormat="1" ht="12.75">
      <c r="A229" s="112"/>
      <c r="B229" s="287"/>
      <c r="C229" s="287"/>
      <c r="D229" s="287"/>
      <c r="I229"/>
      <c r="J229"/>
      <c r="K229"/>
      <c r="L229"/>
      <c r="M229"/>
      <c r="N229"/>
      <c r="O229"/>
      <c r="P229"/>
      <c r="Q229"/>
    </row>
    <row r="230" spans="1:17" s="9" customFormat="1" ht="12.75">
      <c r="A230" s="109" t="s">
        <v>100</v>
      </c>
      <c r="B230" s="293">
        <f>+C48</f>
        <v>17653441</v>
      </c>
      <c r="C230" s="292"/>
      <c r="D230" s="292"/>
      <c r="I230"/>
      <c r="J230"/>
      <c r="K230"/>
      <c r="L230"/>
      <c r="M230"/>
      <c r="N230"/>
      <c r="O230"/>
      <c r="P230"/>
      <c r="Q230"/>
    </row>
    <row r="231" spans="1:17" s="9" customFormat="1" ht="12.75">
      <c r="A231" s="112"/>
      <c r="B231" s="288"/>
      <c r="C231" s="287"/>
      <c r="D231" s="287"/>
      <c r="I231"/>
      <c r="J231"/>
      <c r="K231"/>
      <c r="L231"/>
      <c r="M231"/>
      <c r="N231"/>
      <c r="O231"/>
      <c r="P231"/>
      <c r="Q231"/>
    </row>
    <row r="232" spans="1:17" s="9" customFormat="1" ht="12.75">
      <c r="A232" s="109" t="s">
        <v>101</v>
      </c>
      <c r="B232" s="292"/>
      <c r="C232" s="293">
        <f>+D48</f>
        <v>1839</v>
      </c>
      <c r="D232" s="292"/>
      <c r="I232"/>
      <c r="J232"/>
      <c r="K232"/>
      <c r="L232"/>
      <c r="M232"/>
      <c r="N232"/>
      <c r="O232"/>
      <c r="P232"/>
      <c r="Q232"/>
    </row>
    <row r="233" spans="1:17" s="9" customFormat="1" ht="12.75">
      <c r="A233" s="112"/>
      <c r="B233" s="287"/>
      <c r="C233" s="288"/>
      <c r="D233" s="287"/>
      <c r="I233"/>
      <c r="J233"/>
      <c r="K233"/>
      <c r="L233"/>
      <c r="M233"/>
      <c r="N233"/>
      <c r="O233"/>
      <c r="P233"/>
      <c r="Q233"/>
    </row>
    <row r="234" spans="1:17" s="9" customFormat="1" ht="12.75">
      <c r="A234" s="109" t="s">
        <v>159</v>
      </c>
      <c r="B234" s="403">
        <f>IF(ISERROR($B228/$B230),0,$B228/$B230)</f>
        <v>0.0035847467638573816</v>
      </c>
      <c r="C234" s="403"/>
      <c r="D234" s="294"/>
      <c r="I234"/>
      <c r="J234"/>
      <c r="K234"/>
      <c r="L234"/>
      <c r="M234"/>
      <c r="N234"/>
      <c r="O234"/>
      <c r="P234"/>
      <c r="Q234"/>
    </row>
    <row r="235" spans="1:17" s="9" customFormat="1" ht="12.75">
      <c r="A235" s="112"/>
      <c r="B235" s="404"/>
      <c r="C235" s="404"/>
      <c r="D235" s="289"/>
      <c r="I235"/>
      <c r="J235"/>
      <c r="K235"/>
      <c r="L235"/>
      <c r="M235"/>
      <c r="N235"/>
      <c r="O235"/>
      <c r="P235"/>
      <c r="Q235"/>
    </row>
    <row r="236" spans="1:17" s="9" customFormat="1" ht="12.75">
      <c r="A236" s="109" t="s">
        <v>160</v>
      </c>
      <c r="B236" s="405"/>
      <c r="C236" s="406">
        <f>IF(ISERROR($C228/$C232/12),0,$C228/$C232/12)</f>
        <v>0</v>
      </c>
      <c r="D236" s="295"/>
      <c r="I236"/>
      <c r="J236"/>
      <c r="K236"/>
      <c r="L236"/>
      <c r="M236"/>
      <c r="N236"/>
      <c r="O236"/>
      <c r="P236"/>
      <c r="Q236"/>
    </row>
    <row r="237" spans="2:17" s="9" customFormat="1" ht="12.75">
      <c r="B237" s="56"/>
      <c r="C237" s="56"/>
      <c r="D237" s="56"/>
      <c r="I237"/>
      <c r="J237"/>
      <c r="K237"/>
      <c r="L237"/>
      <c r="M237"/>
      <c r="N237"/>
      <c r="O237"/>
      <c r="P237"/>
      <c r="Q237"/>
    </row>
    <row r="238" spans="2:17" s="9" customFormat="1" ht="12.75">
      <c r="B238" s="56"/>
      <c r="C238" s="56"/>
      <c r="D238" s="56"/>
      <c r="I238"/>
      <c r="J238"/>
      <c r="K238"/>
      <c r="L238"/>
      <c r="M238"/>
      <c r="N238"/>
      <c r="O238"/>
      <c r="P238"/>
      <c r="Q238"/>
    </row>
    <row r="239" spans="1:17" s="9" customFormat="1" ht="51.75" thickBot="1">
      <c r="A239" s="132"/>
      <c r="B239" s="283" t="s">
        <v>104</v>
      </c>
      <c r="C239" s="283" t="s">
        <v>188</v>
      </c>
      <c r="D239" s="283" t="s">
        <v>103</v>
      </c>
      <c r="I239"/>
      <c r="J239"/>
      <c r="K239"/>
      <c r="L239"/>
      <c r="M239"/>
      <c r="N239"/>
      <c r="O239"/>
      <c r="P239"/>
      <c r="Q239"/>
    </row>
    <row r="240" spans="1:17" s="9" customFormat="1" ht="15">
      <c r="A240" s="481" t="s">
        <v>220</v>
      </c>
      <c r="B240" s="30"/>
      <c r="C240" s="30"/>
      <c r="I240"/>
      <c r="J240"/>
      <c r="K240"/>
      <c r="L240"/>
      <c r="M240"/>
      <c r="N240"/>
      <c r="O240"/>
      <c r="P240"/>
      <c r="Q240"/>
    </row>
    <row r="241" spans="1:17" s="9" customFormat="1" ht="12.75">
      <c r="A241" s="109" t="s">
        <v>99</v>
      </c>
      <c r="B241" s="290"/>
      <c r="C241" s="290"/>
      <c r="D241" s="407">
        <f>+G49</f>
        <v>186745.5830783122</v>
      </c>
      <c r="I241"/>
      <c r="J241"/>
      <c r="K241"/>
      <c r="L241"/>
      <c r="M241"/>
      <c r="N241"/>
      <c r="O241"/>
      <c r="P241"/>
      <c r="Q241"/>
    </row>
    <row r="242" spans="1:17" s="9" customFormat="1" ht="12.75">
      <c r="A242" s="112"/>
      <c r="B242" s="284"/>
      <c r="C242" s="284"/>
      <c r="D242" s="285"/>
      <c r="I242"/>
      <c r="J242"/>
      <c r="K242"/>
      <c r="L242"/>
      <c r="M242"/>
      <c r="N242"/>
      <c r="O242"/>
      <c r="P242"/>
      <c r="Q242"/>
    </row>
    <row r="243" spans="1:17" s="9" customFormat="1" ht="12.75">
      <c r="A243" s="109" t="s">
        <v>102</v>
      </c>
      <c r="B243" s="479">
        <f>+B226</f>
        <v>1</v>
      </c>
      <c r="C243" s="479">
        <f>+C226</f>
        <v>0</v>
      </c>
      <c r="D243" s="291">
        <f>B243+C243</f>
        <v>1</v>
      </c>
      <c r="I243"/>
      <c r="J243"/>
      <c r="K243"/>
      <c r="L243"/>
      <c r="M243"/>
      <c r="N243"/>
      <c r="O243"/>
      <c r="P243"/>
      <c r="Q243"/>
    </row>
    <row r="244" spans="1:17" s="9" customFormat="1" ht="12.75">
      <c r="A244" s="112"/>
      <c r="B244" s="286"/>
      <c r="C244" s="286"/>
      <c r="D244" s="286"/>
      <c r="I244"/>
      <c r="J244"/>
      <c r="K244"/>
      <c r="L244"/>
      <c r="M244"/>
      <c r="N244"/>
      <c r="O244"/>
      <c r="P244"/>
      <c r="Q244"/>
    </row>
    <row r="245" spans="1:17" s="9" customFormat="1" ht="12.75">
      <c r="A245" s="109" t="s">
        <v>105</v>
      </c>
      <c r="B245" s="402">
        <f>$B243*$D241</f>
        <v>186745.5830783122</v>
      </c>
      <c r="C245" s="402">
        <f>C243*D241</f>
        <v>0</v>
      </c>
      <c r="D245" s="402">
        <f>SUM(B245:C245)</f>
        <v>186745.5830783122</v>
      </c>
      <c r="I245"/>
      <c r="J245"/>
      <c r="K245"/>
      <c r="L245"/>
      <c r="M245"/>
      <c r="N245"/>
      <c r="O245"/>
      <c r="P245"/>
      <c r="Q245"/>
    </row>
    <row r="246" spans="1:17" s="9" customFormat="1" ht="12.75">
      <c r="A246" s="112"/>
      <c r="B246" s="287"/>
      <c r="C246" s="287"/>
      <c r="D246" s="287"/>
      <c r="I246"/>
      <c r="J246"/>
      <c r="K246"/>
      <c r="L246"/>
      <c r="M246"/>
      <c r="N246"/>
      <c r="O246"/>
      <c r="P246"/>
      <c r="Q246"/>
    </row>
    <row r="247" spans="1:17" s="9" customFormat="1" ht="12.75">
      <c r="A247" s="109" t="s">
        <v>100</v>
      </c>
      <c r="B247" s="293">
        <f>+C49</f>
        <v>37331183</v>
      </c>
      <c r="C247" s="292"/>
      <c r="D247" s="292"/>
      <c r="I247"/>
      <c r="J247"/>
      <c r="K247"/>
      <c r="L247"/>
      <c r="M247"/>
      <c r="N247"/>
      <c r="O247"/>
      <c r="P247"/>
      <c r="Q247"/>
    </row>
    <row r="248" spans="1:17" s="9" customFormat="1" ht="12.75">
      <c r="A248" s="112"/>
      <c r="B248" s="288"/>
      <c r="C248" s="287"/>
      <c r="D248" s="287"/>
      <c r="I248"/>
      <c r="J248"/>
      <c r="K248"/>
      <c r="L248"/>
      <c r="M248"/>
      <c r="N248"/>
      <c r="O248"/>
      <c r="P248"/>
      <c r="Q248"/>
    </row>
    <row r="249" spans="1:17" s="9" customFormat="1" ht="12.75">
      <c r="A249" s="109" t="s">
        <v>101</v>
      </c>
      <c r="B249" s="292"/>
      <c r="C249" s="293">
        <f>+D49</f>
        <v>4348</v>
      </c>
      <c r="D249" s="292"/>
      <c r="I249"/>
      <c r="J249"/>
      <c r="K249"/>
      <c r="L249"/>
      <c r="M249"/>
      <c r="N249"/>
      <c r="O249"/>
      <c r="P249"/>
      <c r="Q249"/>
    </row>
    <row r="250" spans="1:17" s="9" customFormat="1" ht="12.75">
      <c r="A250" s="112"/>
      <c r="B250" s="287"/>
      <c r="C250" s="288"/>
      <c r="D250" s="287"/>
      <c r="I250"/>
      <c r="J250"/>
      <c r="K250"/>
      <c r="L250"/>
      <c r="M250"/>
      <c r="N250"/>
      <c r="O250"/>
      <c r="P250"/>
      <c r="Q250"/>
    </row>
    <row r="251" spans="1:17" s="9" customFormat="1" ht="12.75">
      <c r="A251" s="109" t="s">
        <v>159</v>
      </c>
      <c r="B251" s="403">
        <f>IF(ISERROR($B245/$B247),0,$B245/$B247)</f>
        <v>0.005002401961874934</v>
      </c>
      <c r="C251" s="403"/>
      <c r="D251" s="294"/>
      <c r="I251"/>
      <c r="J251"/>
      <c r="K251"/>
      <c r="L251"/>
      <c r="M251"/>
      <c r="N251"/>
      <c r="O251"/>
      <c r="P251"/>
      <c r="Q251"/>
    </row>
    <row r="252" spans="1:17" s="9" customFormat="1" ht="12.75">
      <c r="A252" s="112"/>
      <c r="B252" s="404"/>
      <c r="C252" s="404"/>
      <c r="D252" s="289"/>
      <c r="I252"/>
      <c r="J252"/>
      <c r="K252"/>
      <c r="L252"/>
      <c r="M252"/>
      <c r="N252"/>
      <c r="O252"/>
      <c r="P252"/>
      <c r="Q252"/>
    </row>
    <row r="253" spans="1:17" s="9" customFormat="1" ht="12.75">
      <c r="A253" s="109" t="s">
        <v>160</v>
      </c>
      <c r="B253" s="405"/>
      <c r="C253" s="406">
        <f>IF(ISERROR($C245/$C249/12),0,$C245/$C249/12)</f>
        <v>0</v>
      </c>
      <c r="D253" s="295"/>
      <c r="I253"/>
      <c r="J253"/>
      <c r="K253"/>
      <c r="L253"/>
      <c r="M253"/>
      <c r="N253"/>
      <c r="O253"/>
      <c r="P253"/>
      <c r="Q253"/>
    </row>
    <row r="254" spans="2:17" s="9" customFormat="1" ht="12.75">
      <c r="B254" s="56"/>
      <c r="C254" s="56"/>
      <c r="D254" s="56"/>
      <c r="I254"/>
      <c r="J254"/>
      <c r="K254"/>
      <c r="L254"/>
      <c r="M254"/>
      <c r="N254"/>
      <c r="O254"/>
      <c r="P254"/>
      <c r="Q254"/>
    </row>
    <row r="255" spans="2:17" s="9" customFormat="1" ht="12.75">
      <c r="B255" s="56"/>
      <c r="C255" s="56"/>
      <c r="D255" s="56"/>
      <c r="I255"/>
      <c r="J255"/>
      <c r="K255"/>
      <c r="L255"/>
      <c r="M255"/>
      <c r="N255"/>
      <c r="O255"/>
      <c r="P255"/>
      <c r="Q255"/>
    </row>
    <row r="256" spans="1:17" s="9" customFormat="1" ht="51.75" thickBot="1">
      <c r="A256" s="132"/>
      <c r="B256" s="283" t="s">
        <v>104</v>
      </c>
      <c r="C256" s="283" t="s">
        <v>188</v>
      </c>
      <c r="D256" s="283" t="s">
        <v>103</v>
      </c>
      <c r="I256"/>
      <c r="J256"/>
      <c r="K256"/>
      <c r="L256"/>
      <c r="M256"/>
      <c r="N256"/>
      <c r="O256"/>
      <c r="P256"/>
      <c r="Q256"/>
    </row>
    <row r="257" spans="1:17" s="9" customFormat="1" ht="15">
      <c r="A257" s="481" t="s">
        <v>221</v>
      </c>
      <c r="B257" s="30"/>
      <c r="C257" s="30"/>
      <c r="I257"/>
      <c r="J257"/>
      <c r="K257"/>
      <c r="L257"/>
      <c r="M257"/>
      <c r="N257"/>
      <c r="O257"/>
      <c r="P257"/>
      <c r="Q257"/>
    </row>
    <row r="258" spans="1:17" s="9" customFormat="1" ht="12.75">
      <c r="A258" s="109" t="s">
        <v>99</v>
      </c>
      <c r="B258" s="290"/>
      <c r="C258" s="290"/>
      <c r="D258" s="407">
        <f>+G50</f>
        <v>19069.510088365085</v>
      </c>
      <c r="I258"/>
      <c r="J258"/>
      <c r="K258"/>
      <c r="L258"/>
      <c r="M258"/>
      <c r="N258"/>
      <c r="O258"/>
      <c r="P258"/>
      <c r="Q258"/>
    </row>
    <row r="259" spans="1:17" s="9" customFormat="1" ht="12.75">
      <c r="A259" s="112"/>
      <c r="B259" s="284"/>
      <c r="C259" s="284"/>
      <c r="D259" s="285"/>
      <c r="I259"/>
      <c r="J259"/>
      <c r="K259"/>
      <c r="L259"/>
      <c r="M259"/>
      <c r="N259"/>
      <c r="O259"/>
      <c r="P259"/>
      <c r="Q259"/>
    </row>
    <row r="260" spans="1:17" s="9" customFormat="1" ht="12.75">
      <c r="A260" s="109" t="s">
        <v>102</v>
      </c>
      <c r="B260" s="479">
        <f>+B243</f>
        <v>1</v>
      </c>
      <c r="C260" s="479">
        <f>+C243</f>
        <v>0</v>
      </c>
      <c r="D260" s="291">
        <f>B260+C260</f>
        <v>1</v>
      </c>
      <c r="I260"/>
      <c r="J260"/>
      <c r="K260"/>
      <c r="L260"/>
      <c r="M260"/>
      <c r="N260"/>
      <c r="O260"/>
      <c r="P260"/>
      <c r="Q260"/>
    </row>
    <row r="261" spans="1:17" s="9" customFormat="1" ht="12.75">
      <c r="A261" s="112"/>
      <c r="B261" s="286"/>
      <c r="C261" s="286"/>
      <c r="D261" s="286"/>
      <c r="I261"/>
      <c r="J261"/>
      <c r="K261"/>
      <c r="L261"/>
      <c r="M261"/>
      <c r="N261"/>
      <c r="O261"/>
      <c r="P261"/>
      <c r="Q261"/>
    </row>
    <row r="262" spans="1:17" s="9" customFormat="1" ht="12.75">
      <c r="A262" s="109" t="s">
        <v>105</v>
      </c>
      <c r="B262" s="402">
        <f>$B260*$D258</f>
        <v>19069.510088365085</v>
      </c>
      <c r="C262" s="402">
        <f>C260*D258</f>
        <v>0</v>
      </c>
      <c r="D262" s="402">
        <f>SUM(B262:C262)</f>
        <v>19069.510088365085</v>
      </c>
      <c r="I262"/>
      <c r="J262"/>
      <c r="K262"/>
      <c r="L262"/>
      <c r="M262"/>
      <c r="N262"/>
      <c r="O262"/>
      <c r="P262"/>
      <c r="Q262"/>
    </row>
    <row r="263" spans="1:17" s="9" customFormat="1" ht="12.75">
      <c r="A263" s="112"/>
      <c r="B263" s="287"/>
      <c r="C263" s="287"/>
      <c r="D263" s="287"/>
      <c r="I263"/>
      <c r="J263"/>
      <c r="K263"/>
      <c r="L263"/>
      <c r="M263"/>
      <c r="N263"/>
      <c r="O263"/>
      <c r="P263"/>
      <c r="Q263"/>
    </row>
    <row r="264" spans="1:17" s="9" customFormat="1" ht="12.75">
      <c r="A264" s="109" t="s">
        <v>100</v>
      </c>
      <c r="B264" s="293">
        <f>+C50</f>
        <v>6095691</v>
      </c>
      <c r="C264" s="292"/>
      <c r="D264" s="292"/>
      <c r="I264"/>
      <c r="J264"/>
      <c r="K264"/>
      <c r="L264"/>
      <c r="M264"/>
      <c r="N264"/>
      <c r="O264"/>
      <c r="P264"/>
      <c r="Q264"/>
    </row>
    <row r="265" spans="1:17" s="9" customFormat="1" ht="12.75">
      <c r="A265" s="112"/>
      <c r="B265" s="288"/>
      <c r="C265" s="287"/>
      <c r="D265" s="287"/>
      <c r="I265"/>
      <c r="J265"/>
      <c r="K265"/>
      <c r="L265"/>
      <c r="M265"/>
      <c r="N265"/>
      <c r="O265"/>
      <c r="P265"/>
      <c r="Q265"/>
    </row>
    <row r="266" spans="1:17" s="9" customFormat="1" ht="12.75">
      <c r="A266" s="109" t="s">
        <v>101</v>
      </c>
      <c r="B266" s="292"/>
      <c r="C266" s="293">
        <f>+D50</f>
        <v>619</v>
      </c>
      <c r="D266" s="292"/>
      <c r="I266"/>
      <c r="J266"/>
      <c r="K266"/>
      <c r="L266"/>
      <c r="M266"/>
      <c r="N266"/>
      <c r="O266"/>
      <c r="P266"/>
      <c r="Q266"/>
    </row>
    <row r="267" spans="1:17" s="9" customFormat="1" ht="12.75">
      <c r="A267" s="112"/>
      <c r="B267" s="287"/>
      <c r="C267" s="288"/>
      <c r="D267" s="287"/>
      <c r="I267"/>
      <c r="J267"/>
      <c r="K267"/>
      <c r="L267"/>
      <c r="M267"/>
      <c r="N267"/>
      <c r="O267"/>
      <c r="P267"/>
      <c r="Q267"/>
    </row>
    <row r="268" spans="1:17" s="9" customFormat="1" ht="12.75">
      <c r="A268" s="109" t="s">
        <v>159</v>
      </c>
      <c r="B268" s="403">
        <f>IF(ISERROR($B262/$B264),0,$B262/$B264)</f>
        <v>0.003128359047131012</v>
      </c>
      <c r="C268" s="403"/>
      <c r="D268" s="294"/>
      <c r="I268"/>
      <c r="J268"/>
      <c r="K268"/>
      <c r="L268"/>
      <c r="M268"/>
      <c r="N268"/>
      <c r="O268"/>
      <c r="P268"/>
      <c r="Q268"/>
    </row>
    <row r="269" spans="1:17" s="9" customFormat="1" ht="12.75">
      <c r="A269" s="112"/>
      <c r="B269" s="404"/>
      <c r="C269" s="404"/>
      <c r="D269" s="289"/>
      <c r="I269"/>
      <c r="J269"/>
      <c r="K269"/>
      <c r="L269"/>
      <c r="M269"/>
      <c r="N269"/>
      <c r="O269"/>
      <c r="P269"/>
      <c r="Q269"/>
    </row>
    <row r="270" spans="1:17" s="9" customFormat="1" ht="12.75">
      <c r="A270" s="109" t="s">
        <v>160</v>
      </c>
      <c r="B270" s="405"/>
      <c r="C270" s="406">
        <f>IF(ISERROR($C262/$C266/12),0,$C262/$C266/12)</f>
        <v>0</v>
      </c>
      <c r="D270" s="295"/>
      <c r="I270"/>
      <c r="J270"/>
      <c r="K270"/>
      <c r="L270"/>
      <c r="M270"/>
      <c r="N270"/>
      <c r="O270"/>
      <c r="P270"/>
      <c r="Q270"/>
    </row>
    <row r="271" spans="2:17" s="9" customFormat="1" ht="12.75">
      <c r="B271" s="56"/>
      <c r="C271" s="56"/>
      <c r="D271" s="56"/>
      <c r="I271"/>
      <c r="J271"/>
      <c r="K271"/>
      <c r="L271"/>
      <c r="M271"/>
      <c r="N271"/>
      <c r="O271"/>
      <c r="P271"/>
      <c r="Q271"/>
    </row>
    <row r="272" spans="2:17" s="9" customFormat="1" ht="12.75">
      <c r="B272" s="56"/>
      <c r="C272" s="56"/>
      <c r="D272" s="56"/>
      <c r="I272"/>
      <c r="J272"/>
      <c r="K272"/>
      <c r="L272"/>
      <c r="M272"/>
      <c r="N272"/>
      <c r="O272"/>
      <c r="P272"/>
      <c r="Q272"/>
    </row>
    <row r="273" spans="1:17" s="9" customFormat="1" ht="15.75">
      <c r="A273" s="54" t="s">
        <v>106</v>
      </c>
      <c r="I273"/>
      <c r="J273"/>
      <c r="K273"/>
      <c r="L273"/>
      <c r="M273"/>
      <c r="N273"/>
      <c r="O273"/>
      <c r="P273"/>
      <c r="Q273"/>
    </row>
    <row r="274" spans="1:17" s="9" customFormat="1" ht="10.5" customHeight="1">
      <c r="A274" s="131"/>
      <c r="I274"/>
      <c r="J274"/>
      <c r="K274"/>
      <c r="L274"/>
      <c r="M274"/>
      <c r="N274"/>
      <c r="O274"/>
      <c r="P274"/>
      <c r="Q274"/>
    </row>
    <row r="275" spans="1:17" s="9" customFormat="1" ht="9" customHeight="1">
      <c r="A275" s="132"/>
      <c r="I275"/>
      <c r="J275"/>
      <c r="K275"/>
      <c r="L275"/>
      <c r="M275"/>
      <c r="N275"/>
      <c r="O275"/>
      <c r="P275"/>
      <c r="Q275"/>
    </row>
    <row r="276" spans="1:17" s="9" customFormat="1" ht="51.75" thickBot="1">
      <c r="A276" s="132"/>
      <c r="B276" s="283" t="s">
        <v>104</v>
      </c>
      <c r="C276" s="283" t="s">
        <v>188</v>
      </c>
      <c r="D276" s="283" t="s">
        <v>103</v>
      </c>
      <c r="E276" s="280"/>
      <c r="F276" s="280"/>
      <c r="G276" s="280"/>
      <c r="I276"/>
      <c r="J276"/>
      <c r="K276"/>
      <c r="L276"/>
      <c r="M276"/>
      <c r="N276"/>
      <c r="O276"/>
      <c r="P276"/>
      <c r="Q276"/>
    </row>
    <row r="277" spans="1:17" s="9" customFormat="1" ht="15">
      <c r="A277" s="132"/>
      <c r="B277" s="30"/>
      <c r="C277" s="30"/>
      <c r="I277"/>
      <c r="J277"/>
      <c r="K277"/>
      <c r="L277"/>
      <c r="M277"/>
      <c r="N277"/>
      <c r="O277"/>
      <c r="P277"/>
      <c r="Q277"/>
    </row>
    <row r="278" spans="1:17" s="9" customFormat="1" ht="12.75">
      <c r="A278" s="109" t="s">
        <v>99</v>
      </c>
      <c r="B278" s="290"/>
      <c r="C278" s="290"/>
      <c r="D278" s="407">
        <f>+G23</f>
        <v>315515.41692957684</v>
      </c>
      <c r="E278" s="112"/>
      <c r="I278"/>
      <c r="J278"/>
      <c r="K278"/>
      <c r="L278"/>
      <c r="M278"/>
      <c r="N278"/>
      <c r="O278"/>
      <c r="P278"/>
      <c r="Q278"/>
    </row>
    <row r="279" spans="1:17" s="9" customFormat="1" ht="7.5" customHeight="1">
      <c r="A279" s="112"/>
      <c r="B279" s="284"/>
      <c r="C279" s="284"/>
      <c r="D279" s="285"/>
      <c r="E279" s="112"/>
      <c r="I279"/>
      <c r="J279"/>
      <c r="K279"/>
      <c r="L279"/>
      <c r="M279"/>
      <c r="N279"/>
      <c r="O279"/>
      <c r="P279"/>
      <c r="Q279"/>
    </row>
    <row r="280" spans="1:17" s="9" customFormat="1" ht="12.75">
      <c r="A280" s="109" t="s">
        <v>102</v>
      </c>
      <c r="B280" s="479">
        <v>1</v>
      </c>
      <c r="C280" s="479">
        <f>1-B280</f>
        <v>0</v>
      </c>
      <c r="D280" s="291">
        <f>B280+C280</f>
        <v>1</v>
      </c>
      <c r="E280" s="112"/>
      <c r="I280"/>
      <c r="J280"/>
      <c r="K280"/>
      <c r="L280"/>
      <c r="M280"/>
      <c r="N280"/>
      <c r="O280"/>
      <c r="P280"/>
      <c r="Q280"/>
    </row>
    <row r="281" spans="1:17" s="9" customFormat="1" ht="7.5" customHeight="1">
      <c r="A281" s="112"/>
      <c r="B281" s="286"/>
      <c r="C281" s="286"/>
      <c r="D281" s="286"/>
      <c r="E281" s="112"/>
      <c r="I281"/>
      <c r="J281"/>
      <c r="K281"/>
      <c r="L281"/>
      <c r="M281"/>
      <c r="N281"/>
      <c r="O281"/>
      <c r="P281"/>
      <c r="Q281"/>
    </row>
    <row r="282" spans="1:17" s="9" customFormat="1" ht="13.5" customHeight="1">
      <c r="A282" s="109" t="s">
        <v>105</v>
      </c>
      <c r="B282" s="402">
        <f>$B280*$D278</f>
        <v>315515.41692957684</v>
      </c>
      <c r="C282" s="402">
        <f>C280*D278</f>
        <v>0</v>
      </c>
      <c r="D282" s="402">
        <f>SUM(B282:C282)</f>
        <v>315515.41692957684</v>
      </c>
      <c r="E282" s="112"/>
      <c r="I282"/>
      <c r="J282"/>
      <c r="K282"/>
      <c r="L282"/>
      <c r="M282"/>
      <c r="N282"/>
      <c r="O282"/>
      <c r="P282"/>
      <c r="Q282"/>
    </row>
    <row r="283" spans="1:17" s="9" customFormat="1" ht="7.5" customHeight="1">
      <c r="A283" s="112"/>
      <c r="B283" s="287"/>
      <c r="C283" s="287"/>
      <c r="D283" s="287"/>
      <c r="E283" s="112"/>
      <c r="I283"/>
      <c r="J283"/>
      <c r="K283"/>
      <c r="L283"/>
      <c r="M283"/>
      <c r="N283"/>
      <c r="O283"/>
      <c r="P283"/>
      <c r="Q283"/>
    </row>
    <row r="284" spans="1:17" s="9" customFormat="1" ht="13.5" customHeight="1">
      <c r="A284" s="109" t="s">
        <v>100</v>
      </c>
      <c r="B284" s="293">
        <f>+C23</f>
        <v>107128527</v>
      </c>
      <c r="C284" s="292"/>
      <c r="D284" s="292"/>
      <c r="E284" s="112"/>
      <c r="I284"/>
      <c r="J284"/>
      <c r="K284"/>
      <c r="L284"/>
      <c r="M284"/>
      <c r="N284"/>
      <c r="O284"/>
      <c r="P284"/>
      <c r="Q284"/>
    </row>
    <row r="285" spans="1:17" s="9" customFormat="1" ht="7.5" customHeight="1">
      <c r="A285" s="112"/>
      <c r="B285" s="288"/>
      <c r="C285" s="287"/>
      <c r="D285" s="287"/>
      <c r="E285" s="112"/>
      <c r="I285"/>
      <c r="J285"/>
      <c r="K285"/>
      <c r="L285"/>
      <c r="M285"/>
      <c r="N285"/>
      <c r="O285"/>
      <c r="P285"/>
      <c r="Q285"/>
    </row>
    <row r="286" spans="1:17" s="9" customFormat="1" ht="13.5" customHeight="1">
      <c r="A286" s="109" t="s">
        <v>101</v>
      </c>
      <c r="B286" s="292"/>
      <c r="C286" s="293">
        <f>+D23</f>
        <v>3273</v>
      </c>
      <c r="D286" s="292"/>
      <c r="E286" s="112"/>
      <c r="I286"/>
      <c r="J286"/>
      <c r="K286"/>
      <c r="L286"/>
      <c r="M286"/>
      <c r="N286"/>
      <c r="O286"/>
      <c r="P286"/>
      <c r="Q286"/>
    </row>
    <row r="287" spans="1:17" s="9" customFormat="1" ht="7.5" customHeight="1">
      <c r="A287" s="112"/>
      <c r="B287" s="287"/>
      <c r="C287" s="288"/>
      <c r="D287" s="287"/>
      <c r="E287" s="112"/>
      <c r="I287"/>
      <c r="J287"/>
      <c r="K287"/>
      <c r="L287"/>
      <c r="M287"/>
      <c r="N287"/>
      <c r="O287"/>
      <c r="P287"/>
      <c r="Q287"/>
    </row>
    <row r="288" spans="1:17" s="9" customFormat="1" ht="13.5" customHeight="1">
      <c r="A288" s="109" t="s">
        <v>159</v>
      </c>
      <c r="B288" s="403">
        <f>IF(ISERROR($B282/$B284),0,$B282/$B284)</f>
        <v>0.0029452044732172678</v>
      </c>
      <c r="C288" s="403"/>
      <c r="D288" s="294"/>
      <c r="E288" s="112"/>
      <c r="I288"/>
      <c r="J288"/>
      <c r="K288"/>
      <c r="L288"/>
      <c r="M288"/>
      <c r="N288"/>
      <c r="O288"/>
      <c r="P288"/>
      <c r="Q288"/>
    </row>
    <row r="289" spans="1:17" s="9" customFormat="1" ht="7.5" customHeight="1">
      <c r="A289" s="112"/>
      <c r="B289" s="404"/>
      <c r="C289" s="404"/>
      <c r="D289" s="289"/>
      <c r="E289" s="112"/>
      <c r="I289"/>
      <c r="J289"/>
      <c r="K289"/>
      <c r="L289"/>
      <c r="M289"/>
      <c r="N289"/>
      <c r="O289"/>
      <c r="P289"/>
      <c r="Q289"/>
    </row>
    <row r="290" spans="1:17" s="9" customFormat="1" ht="12.75">
      <c r="A290" s="109" t="s">
        <v>160</v>
      </c>
      <c r="B290" s="405"/>
      <c r="C290" s="406">
        <f>IF(ISERROR($C282/$C286/12),0,$C282/$C286/12)</f>
        <v>0</v>
      </c>
      <c r="D290" s="295"/>
      <c r="E290" s="112"/>
      <c r="I290"/>
      <c r="J290"/>
      <c r="K290"/>
      <c r="L290"/>
      <c r="M290"/>
      <c r="N290"/>
      <c r="O290"/>
      <c r="P290"/>
      <c r="Q290"/>
    </row>
    <row r="291" spans="1:17" s="9" customFormat="1" ht="12.75">
      <c r="A291" s="296"/>
      <c r="B291" s="297"/>
      <c r="C291" s="298"/>
      <c r="D291" s="297"/>
      <c r="E291" s="112"/>
      <c r="I291"/>
      <c r="J291"/>
      <c r="K291"/>
      <c r="L291"/>
      <c r="M291"/>
      <c r="N291"/>
      <c r="O291"/>
      <c r="P291"/>
      <c r="Q291"/>
    </row>
    <row r="292" spans="1:17" s="9" customFormat="1" ht="12.75">
      <c r="A292" s="296"/>
      <c r="B292" s="297"/>
      <c r="C292" s="298"/>
      <c r="D292" s="297"/>
      <c r="E292" s="112"/>
      <c r="I292"/>
      <c r="J292"/>
      <c r="K292"/>
      <c r="L292"/>
      <c r="M292"/>
      <c r="N292"/>
      <c r="O292"/>
      <c r="P292"/>
      <c r="Q292"/>
    </row>
    <row r="293" spans="1:17" s="9" customFormat="1" ht="15.75">
      <c r="A293" s="54" t="s">
        <v>190</v>
      </c>
      <c r="I293"/>
      <c r="J293"/>
      <c r="K293"/>
      <c r="L293"/>
      <c r="M293"/>
      <c r="N293"/>
      <c r="O293"/>
      <c r="P293"/>
      <c r="Q293"/>
    </row>
    <row r="294" spans="1:17" s="9" customFormat="1" ht="9" customHeight="1">
      <c r="A294" s="54"/>
      <c r="I294"/>
      <c r="J294"/>
      <c r="K294"/>
      <c r="L294"/>
      <c r="M294"/>
      <c r="N294"/>
      <c r="O294"/>
      <c r="P294"/>
      <c r="Q294"/>
    </row>
    <row r="295" spans="1:17" s="9" customFormat="1" ht="15">
      <c r="A295" s="132"/>
      <c r="I295"/>
      <c r="J295"/>
      <c r="K295"/>
      <c r="L295"/>
      <c r="M295"/>
      <c r="N295"/>
      <c r="O295"/>
      <c r="P295"/>
      <c r="Q295"/>
    </row>
    <row r="296" spans="1:17" s="9" customFormat="1" ht="51.75" thickBot="1">
      <c r="A296" s="132"/>
      <c r="B296" s="283" t="s">
        <v>104</v>
      </c>
      <c r="C296" s="283" t="s">
        <v>188</v>
      </c>
      <c r="D296" s="283" t="s">
        <v>103</v>
      </c>
      <c r="E296" s="280"/>
      <c r="F296" s="280"/>
      <c r="G296" s="280"/>
      <c r="I296"/>
      <c r="J296"/>
      <c r="K296"/>
      <c r="L296"/>
      <c r="M296"/>
      <c r="N296"/>
      <c r="O296"/>
      <c r="P296"/>
      <c r="Q296"/>
    </row>
    <row r="297" spans="1:17" s="9" customFormat="1" ht="15">
      <c r="A297" s="132"/>
      <c r="B297" s="30"/>
      <c r="C297" s="30"/>
      <c r="I297"/>
      <c r="J297"/>
      <c r="K297"/>
      <c r="L297"/>
      <c r="M297"/>
      <c r="N297"/>
      <c r="O297"/>
      <c r="P297"/>
      <c r="Q297"/>
    </row>
    <row r="298" spans="1:17" s="9" customFormat="1" ht="12.75">
      <c r="A298" s="109" t="s">
        <v>99</v>
      </c>
      <c r="B298" s="290"/>
      <c r="C298" s="290"/>
      <c r="D298" s="407">
        <f>+G24</f>
        <v>220890.20805849985</v>
      </c>
      <c r="E298" s="112"/>
      <c r="I298"/>
      <c r="J298"/>
      <c r="K298"/>
      <c r="L298"/>
      <c r="M298"/>
      <c r="N298"/>
      <c r="O298"/>
      <c r="P298"/>
      <c r="Q298"/>
    </row>
    <row r="299" spans="1:17" s="9" customFormat="1" ht="7.5" customHeight="1">
      <c r="A299" s="112"/>
      <c r="B299" s="284"/>
      <c r="C299" s="284"/>
      <c r="D299" s="285"/>
      <c r="E299" s="112"/>
      <c r="I299"/>
      <c r="J299"/>
      <c r="K299"/>
      <c r="L299"/>
      <c r="M299"/>
      <c r="N299"/>
      <c r="O299"/>
      <c r="P299"/>
      <c r="Q299"/>
    </row>
    <row r="300" spans="1:17" s="9" customFormat="1" ht="12.75">
      <c r="A300" s="109" t="s">
        <v>102</v>
      </c>
      <c r="B300" s="479">
        <v>1</v>
      </c>
      <c r="C300" s="479">
        <f>1-B300</f>
        <v>0</v>
      </c>
      <c r="D300" s="291">
        <f>B300+C300</f>
        <v>1</v>
      </c>
      <c r="E300" s="112"/>
      <c r="I300"/>
      <c r="J300"/>
      <c r="K300"/>
      <c r="L300"/>
      <c r="M300"/>
      <c r="N300"/>
      <c r="O300"/>
      <c r="P300"/>
      <c r="Q300"/>
    </row>
    <row r="301" spans="1:17" s="9" customFormat="1" ht="7.5" customHeight="1">
      <c r="A301" s="112"/>
      <c r="B301" s="286"/>
      <c r="C301" s="286"/>
      <c r="D301" s="286"/>
      <c r="E301" s="112"/>
      <c r="I301"/>
      <c r="J301"/>
      <c r="K301"/>
      <c r="L301"/>
      <c r="M301"/>
      <c r="N301"/>
      <c r="O301"/>
      <c r="P301"/>
      <c r="Q301"/>
    </row>
    <row r="302" spans="1:17" s="9" customFormat="1" ht="13.5" customHeight="1">
      <c r="A302" s="109" t="s">
        <v>105</v>
      </c>
      <c r="B302" s="402">
        <f>$B300*$D298</f>
        <v>220890.20805849985</v>
      </c>
      <c r="C302" s="402">
        <f>C300*D298</f>
        <v>0</v>
      </c>
      <c r="D302" s="402">
        <f>SUM(B302:C302)</f>
        <v>220890.20805849985</v>
      </c>
      <c r="E302" s="112"/>
      <c r="I302"/>
      <c r="J302"/>
      <c r="K302"/>
      <c r="L302"/>
      <c r="M302"/>
      <c r="N302"/>
      <c r="O302"/>
      <c r="P302"/>
      <c r="Q302"/>
    </row>
    <row r="303" spans="1:17" s="9" customFormat="1" ht="7.5" customHeight="1">
      <c r="A303" s="112"/>
      <c r="B303" s="287"/>
      <c r="C303" s="287"/>
      <c r="D303" s="287"/>
      <c r="E303" s="112"/>
      <c r="I303"/>
      <c r="J303"/>
      <c r="K303"/>
      <c r="L303"/>
      <c r="M303"/>
      <c r="N303"/>
      <c r="O303"/>
      <c r="P303"/>
      <c r="Q303"/>
    </row>
    <row r="304" spans="1:17" s="9" customFormat="1" ht="13.5" customHeight="1">
      <c r="A304" s="109" t="s">
        <v>151</v>
      </c>
      <c r="B304" s="293">
        <f>+B24</f>
        <v>1013027</v>
      </c>
      <c r="C304" s="292"/>
      <c r="D304" s="292"/>
      <c r="E304" s="112"/>
      <c r="I304"/>
      <c r="J304"/>
      <c r="K304"/>
      <c r="L304"/>
      <c r="M304"/>
      <c r="N304"/>
      <c r="O304"/>
      <c r="P304"/>
      <c r="Q304"/>
    </row>
    <row r="305" spans="1:17" s="9" customFormat="1" ht="7.5" customHeight="1">
      <c r="A305" s="112"/>
      <c r="B305" s="288"/>
      <c r="C305" s="287"/>
      <c r="D305" s="287"/>
      <c r="E305" s="112"/>
      <c r="I305"/>
      <c r="J305"/>
      <c r="K305"/>
      <c r="L305"/>
      <c r="M305"/>
      <c r="N305"/>
      <c r="O305"/>
      <c r="P305"/>
      <c r="Q305"/>
    </row>
    <row r="306" spans="1:17" s="9" customFormat="1" ht="13.5" customHeight="1">
      <c r="A306" s="109" t="s">
        <v>101</v>
      </c>
      <c r="B306" s="292"/>
      <c r="C306" s="293">
        <f>+D24</f>
        <v>438</v>
      </c>
      <c r="D306" s="292"/>
      <c r="E306" s="112"/>
      <c r="I306"/>
      <c r="J306"/>
      <c r="K306"/>
      <c r="L306"/>
      <c r="M306"/>
      <c r="N306"/>
      <c r="O306"/>
      <c r="P306"/>
      <c r="Q306"/>
    </row>
    <row r="307" spans="1:17" s="9" customFormat="1" ht="7.5" customHeight="1">
      <c r="A307" s="112"/>
      <c r="B307" s="287"/>
      <c r="C307" s="288"/>
      <c r="D307" s="287"/>
      <c r="E307" s="112"/>
      <c r="I307"/>
      <c r="J307"/>
      <c r="K307"/>
      <c r="L307"/>
      <c r="M307"/>
      <c r="N307"/>
      <c r="O307"/>
      <c r="P307"/>
      <c r="Q307"/>
    </row>
    <row r="308" spans="1:17" s="9" customFormat="1" ht="13.5" customHeight="1">
      <c r="A308" s="109" t="s">
        <v>203</v>
      </c>
      <c r="B308" s="403">
        <f>IF(ISERROR($B302/$B304),0,$B302/$B304)</f>
        <v>0.21804967494301716</v>
      </c>
      <c r="C308" s="403"/>
      <c r="D308" s="294"/>
      <c r="E308" s="112"/>
      <c r="F308" s="381"/>
      <c r="I308"/>
      <c r="J308"/>
      <c r="K308"/>
      <c r="L308"/>
      <c r="M308"/>
      <c r="N308"/>
      <c r="O308"/>
      <c r="P308"/>
      <c r="Q308"/>
    </row>
    <row r="309" spans="1:17" s="9" customFormat="1" ht="7.5" customHeight="1">
      <c r="A309" s="112"/>
      <c r="B309" s="404"/>
      <c r="C309" s="404"/>
      <c r="D309" s="289"/>
      <c r="E309" s="112"/>
      <c r="I309"/>
      <c r="J309"/>
      <c r="K309"/>
      <c r="L309"/>
      <c r="M309"/>
      <c r="N309"/>
      <c r="O309"/>
      <c r="P309"/>
      <c r="Q309"/>
    </row>
    <row r="310" spans="1:17" s="9" customFormat="1" ht="12.75">
      <c r="A310" s="109" t="s">
        <v>160</v>
      </c>
      <c r="B310" s="405"/>
      <c r="C310" s="406">
        <f>IF(ISERROR($C302/$C306/12),0,$C302/$C306/12)</f>
        <v>0</v>
      </c>
      <c r="D310" s="295"/>
      <c r="E310" s="112"/>
      <c r="I310"/>
      <c r="J310"/>
      <c r="K310"/>
      <c r="L310"/>
      <c r="M310"/>
      <c r="N310"/>
      <c r="O310"/>
      <c r="P310"/>
      <c r="Q310"/>
    </row>
    <row r="311" spans="1:17" s="9" customFormat="1" ht="12.75">
      <c r="A311" s="296"/>
      <c r="B311" s="297"/>
      <c r="C311" s="298"/>
      <c r="D311" s="297"/>
      <c r="E311" s="112"/>
      <c r="I311"/>
      <c r="J311"/>
      <c r="K311"/>
      <c r="L311"/>
      <c r="M311"/>
      <c r="N311"/>
      <c r="O311"/>
      <c r="P311"/>
      <c r="Q311"/>
    </row>
    <row r="312" spans="1:17" s="9" customFormat="1" ht="12.75">
      <c r="A312" s="296"/>
      <c r="B312" s="297"/>
      <c r="C312" s="298"/>
      <c r="D312" s="297"/>
      <c r="E312" s="112"/>
      <c r="I312"/>
      <c r="J312"/>
      <c r="K312"/>
      <c r="L312"/>
      <c r="M312"/>
      <c r="N312"/>
      <c r="O312"/>
      <c r="P312"/>
      <c r="Q312"/>
    </row>
    <row r="313" spans="1:17" s="9" customFormat="1" ht="15.75">
      <c r="A313" s="54" t="s">
        <v>189</v>
      </c>
      <c r="I313"/>
      <c r="J313"/>
      <c r="K313"/>
      <c r="L313"/>
      <c r="M313"/>
      <c r="N313"/>
      <c r="O313"/>
      <c r="P313"/>
      <c r="Q313"/>
    </row>
    <row r="314" spans="1:17" s="9" customFormat="1" ht="9" customHeight="1">
      <c r="A314" s="54"/>
      <c r="I314"/>
      <c r="J314"/>
      <c r="K314"/>
      <c r="L314"/>
      <c r="M314"/>
      <c r="N314"/>
      <c r="O314"/>
      <c r="P314"/>
      <c r="Q314"/>
    </row>
    <row r="315" spans="1:17" s="9" customFormat="1" ht="15">
      <c r="A315" s="132"/>
      <c r="I315"/>
      <c r="J315"/>
      <c r="K315"/>
      <c r="L315"/>
      <c r="M315"/>
      <c r="N315"/>
      <c r="O315"/>
      <c r="P315"/>
      <c r="Q315"/>
    </row>
    <row r="316" spans="1:17" s="9" customFormat="1" ht="51.75" thickBot="1">
      <c r="A316" s="132"/>
      <c r="B316" s="283" t="s">
        <v>104</v>
      </c>
      <c r="C316" s="283" t="s">
        <v>188</v>
      </c>
      <c r="D316" s="283" t="s">
        <v>103</v>
      </c>
      <c r="E316" s="280"/>
      <c r="F316" s="280"/>
      <c r="G316" s="280"/>
      <c r="I316"/>
      <c r="J316"/>
      <c r="K316"/>
      <c r="L316"/>
      <c r="M316"/>
      <c r="N316"/>
      <c r="O316"/>
      <c r="P316"/>
      <c r="Q316"/>
    </row>
    <row r="317" spans="1:17" s="9" customFormat="1" ht="15">
      <c r="A317" s="481" t="s">
        <v>240</v>
      </c>
      <c r="B317" s="30"/>
      <c r="C317" s="30"/>
      <c r="I317"/>
      <c r="J317"/>
      <c r="K317"/>
      <c r="L317"/>
      <c r="M317"/>
      <c r="N317"/>
      <c r="O317"/>
      <c r="P317"/>
      <c r="Q317"/>
    </row>
    <row r="318" spans="1:17" s="9" customFormat="1" ht="12.75">
      <c r="A318" s="109" t="s">
        <v>99</v>
      </c>
      <c r="B318" s="290"/>
      <c r="C318" s="290"/>
      <c r="D318" s="407">
        <f>+G56</f>
        <v>10829.62147011215</v>
      </c>
      <c r="E318" s="112"/>
      <c r="I318"/>
      <c r="J318"/>
      <c r="K318"/>
      <c r="L318"/>
      <c r="M318"/>
      <c r="N318"/>
      <c r="O318"/>
      <c r="P318"/>
      <c r="Q318"/>
    </row>
    <row r="319" spans="1:17" s="9" customFormat="1" ht="7.5" customHeight="1">
      <c r="A319" s="112"/>
      <c r="B319" s="284"/>
      <c r="C319" s="284"/>
      <c r="D319" s="285"/>
      <c r="E319" s="112"/>
      <c r="I319"/>
      <c r="J319"/>
      <c r="K319"/>
      <c r="L319"/>
      <c r="M319"/>
      <c r="N319"/>
      <c r="O319"/>
      <c r="P319"/>
      <c r="Q319"/>
    </row>
    <row r="320" spans="1:17" s="9" customFormat="1" ht="12.75">
      <c r="A320" s="109" t="s">
        <v>102</v>
      </c>
      <c r="B320" s="479">
        <v>1</v>
      </c>
      <c r="C320" s="479">
        <f>1-B320</f>
        <v>0</v>
      </c>
      <c r="D320" s="291">
        <f>B320+C320</f>
        <v>1</v>
      </c>
      <c r="E320" s="112"/>
      <c r="I320"/>
      <c r="J320"/>
      <c r="K320"/>
      <c r="L320"/>
      <c r="M320"/>
      <c r="N320"/>
      <c r="O320"/>
      <c r="P320"/>
      <c r="Q320"/>
    </row>
    <row r="321" spans="1:17" s="9" customFormat="1" ht="7.5" customHeight="1">
      <c r="A321" s="112"/>
      <c r="B321" s="286"/>
      <c r="C321" s="286"/>
      <c r="D321" s="286"/>
      <c r="E321" s="112"/>
      <c r="I321"/>
      <c r="J321"/>
      <c r="K321"/>
      <c r="L321"/>
      <c r="M321"/>
      <c r="N321"/>
      <c r="O321"/>
      <c r="P321"/>
      <c r="Q321"/>
    </row>
    <row r="322" spans="1:17" s="9" customFormat="1" ht="13.5" customHeight="1">
      <c r="A322" s="109" t="s">
        <v>105</v>
      </c>
      <c r="B322" s="402">
        <f>$B320*$D318</f>
        <v>10829.62147011215</v>
      </c>
      <c r="C322" s="402">
        <f>C320*D318</f>
        <v>0</v>
      </c>
      <c r="D322" s="402">
        <f>SUM(B322:C322)</f>
        <v>10829.62147011215</v>
      </c>
      <c r="E322" s="112"/>
      <c r="I322"/>
      <c r="J322"/>
      <c r="K322"/>
      <c r="L322"/>
      <c r="M322"/>
      <c r="N322"/>
      <c r="O322"/>
      <c r="P322"/>
      <c r="Q322"/>
    </row>
    <row r="323" spans="1:17" s="9" customFormat="1" ht="7.5" customHeight="1">
      <c r="A323" s="112"/>
      <c r="B323" s="287"/>
      <c r="C323" s="287"/>
      <c r="D323" s="287"/>
      <c r="E323" s="112"/>
      <c r="I323"/>
      <c r="J323"/>
      <c r="K323"/>
      <c r="L323"/>
      <c r="M323"/>
      <c r="N323"/>
      <c r="O323"/>
      <c r="P323"/>
      <c r="Q323"/>
    </row>
    <row r="324" spans="1:17" s="9" customFormat="1" ht="13.5" customHeight="1">
      <c r="A324" s="109" t="s">
        <v>151</v>
      </c>
      <c r="B324" s="293">
        <f>+B56</f>
        <v>45432</v>
      </c>
      <c r="C324" s="292"/>
      <c r="D324" s="292"/>
      <c r="E324" s="112"/>
      <c r="I324"/>
      <c r="J324"/>
      <c r="K324"/>
      <c r="L324"/>
      <c r="M324"/>
      <c r="N324"/>
      <c r="O324"/>
      <c r="P324"/>
      <c r="Q324"/>
    </row>
    <row r="325" spans="1:17" s="9" customFormat="1" ht="7.5" customHeight="1">
      <c r="A325" s="112"/>
      <c r="B325" s="288"/>
      <c r="C325" s="287"/>
      <c r="D325" s="287"/>
      <c r="E325" s="112"/>
      <c r="I325"/>
      <c r="J325"/>
      <c r="K325"/>
      <c r="L325"/>
      <c r="M325"/>
      <c r="N325"/>
      <c r="O325"/>
      <c r="P325"/>
      <c r="Q325"/>
    </row>
    <row r="326" spans="1:17" s="9" customFormat="1" ht="13.5" customHeight="1">
      <c r="A326" s="109" t="s">
        <v>101</v>
      </c>
      <c r="B326" s="292"/>
      <c r="C326" s="293">
        <f>+D56</f>
        <v>1</v>
      </c>
      <c r="D326" s="292"/>
      <c r="E326" s="112"/>
      <c r="I326"/>
      <c r="J326"/>
      <c r="K326"/>
      <c r="L326"/>
      <c r="M326"/>
      <c r="N326"/>
      <c r="O326"/>
      <c r="P326"/>
      <c r="Q326"/>
    </row>
    <row r="327" spans="1:17" s="9" customFormat="1" ht="7.5" customHeight="1">
      <c r="A327" s="112"/>
      <c r="B327" s="287"/>
      <c r="C327" s="288"/>
      <c r="D327" s="287"/>
      <c r="E327" s="112"/>
      <c r="I327"/>
      <c r="J327"/>
      <c r="K327"/>
      <c r="L327"/>
      <c r="M327"/>
      <c r="N327"/>
      <c r="O327"/>
      <c r="P327"/>
      <c r="Q327"/>
    </row>
    <row r="328" spans="1:17" s="9" customFormat="1" ht="13.5" customHeight="1">
      <c r="A328" s="109" t="s">
        <v>161</v>
      </c>
      <c r="B328" s="403">
        <f>IF(ISERROR($B322/$B324),0,$B322/$B324)</f>
        <v>0.23836990381475942</v>
      </c>
      <c r="C328" s="403"/>
      <c r="D328" s="294"/>
      <c r="E328" s="112"/>
      <c r="I328"/>
      <c r="J328"/>
      <c r="K328"/>
      <c r="L328"/>
      <c r="M328"/>
      <c r="N328"/>
      <c r="O328"/>
      <c r="P328"/>
      <c r="Q328"/>
    </row>
    <row r="329" spans="1:17" s="9" customFormat="1" ht="7.5" customHeight="1">
      <c r="A329" s="112"/>
      <c r="B329" s="404"/>
      <c r="C329" s="404"/>
      <c r="D329" s="289"/>
      <c r="E329" s="112"/>
      <c r="I329"/>
      <c r="J329"/>
      <c r="K329"/>
      <c r="L329"/>
      <c r="M329"/>
      <c r="N329"/>
      <c r="O329"/>
      <c r="P329"/>
      <c r="Q329"/>
    </row>
    <row r="330" spans="1:17" s="9" customFormat="1" ht="12.75">
      <c r="A330" s="109" t="s">
        <v>160</v>
      </c>
      <c r="B330" s="405"/>
      <c r="C330" s="406">
        <f>IF(ISERROR($C322/$C326/12),0,$C322/$C326/12)</f>
        <v>0</v>
      </c>
      <c r="D330" s="295"/>
      <c r="E330" s="112"/>
      <c r="I330"/>
      <c r="J330"/>
      <c r="K330"/>
      <c r="L330"/>
      <c r="M330"/>
      <c r="N330"/>
      <c r="O330"/>
      <c r="P330"/>
      <c r="Q330"/>
    </row>
    <row r="331" spans="1:17" s="9" customFormat="1" ht="12.75">
      <c r="A331" s="296"/>
      <c r="B331" s="297"/>
      <c r="C331" s="298"/>
      <c r="D331" s="297"/>
      <c r="E331" s="112"/>
      <c r="I331"/>
      <c r="J331"/>
      <c r="K331"/>
      <c r="L331"/>
      <c r="M331"/>
      <c r="N331"/>
      <c r="O331"/>
      <c r="P331"/>
      <c r="Q331"/>
    </row>
    <row r="332" spans="1:17" s="9" customFormat="1" ht="12.75">
      <c r="A332" s="296"/>
      <c r="B332" s="297"/>
      <c r="C332" s="298"/>
      <c r="D332" s="297"/>
      <c r="E332" s="112"/>
      <c r="I332"/>
      <c r="J332"/>
      <c r="K332"/>
      <c r="L332"/>
      <c r="M332"/>
      <c r="N332"/>
      <c r="O332"/>
      <c r="P332"/>
      <c r="Q332"/>
    </row>
    <row r="333" spans="1:17" s="9" customFormat="1" ht="51.75" thickBot="1">
      <c r="A333" s="132"/>
      <c r="B333" s="283" t="s">
        <v>104</v>
      </c>
      <c r="C333" s="283" t="s">
        <v>188</v>
      </c>
      <c r="D333" s="283" t="s">
        <v>103</v>
      </c>
      <c r="I333"/>
      <c r="J333"/>
      <c r="K333"/>
      <c r="L333"/>
      <c r="M333"/>
      <c r="N333"/>
      <c r="O333"/>
      <c r="P333"/>
      <c r="Q333"/>
    </row>
    <row r="334" spans="1:17" s="9" customFormat="1" ht="18.75" customHeight="1">
      <c r="A334" s="481" t="s">
        <v>213</v>
      </c>
      <c r="B334" s="30"/>
      <c r="C334" s="30"/>
      <c r="I334"/>
      <c r="J334"/>
      <c r="K334"/>
      <c r="L334"/>
      <c r="M334"/>
      <c r="N334"/>
      <c r="O334"/>
      <c r="P334"/>
      <c r="Q334"/>
    </row>
    <row r="335" spans="1:17" s="9" customFormat="1" ht="12.75">
      <c r="A335" s="109" t="s">
        <v>99</v>
      </c>
      <c r="B335" s="290"/>
      <c r="C335" s="290"/>
      <c r="D335" s="407">
        <f>+G57</f>
        <v>43318.4858804486</v>
      </c>
      <c r="I335"/>
      <c r="J335"/>
      <c r="K335"/>
      <c r="L335"/>
      <c r="M335"/>
      <c r="N335"/>
      <c r="O335"/>
      <c r="P335"/>
      <c r="Q335"/>
    </row>
    <row r="336" spans="1:17" s="9" customFormat="1" ht="12.75">
      <c r="A336" s="112"/>
      <c r="B336" s="284"/>
      <c r="C336" s="284"/>
      <c r="D336" s="285"/>
      <c r="E336" s="280"/>
      <c r="F336" s="280"/>
      <c r="G336" s="280"/>
      <c r="I336"/>
      <c r="J336"/>
      <c r="K336"/>
      <c r="L336"/>
      <c r="M336"/>
      <c r="N336"/>
      <c r="O336"/>
      <c r="P336"/>
      <c r="Q336"/>
    </row>
    <row r="337" spans="1:17" s="9" customFormat="1" ht="12.75">
      <c r="A337" s="109" t="s">
        <v>102</v>
      </c>
      <c r="B337" s="479">
        <v>1</v>
      </c>
      <c r="C337" s="479">
        <f>1-B337</f>
        <v>0</v>
      </c>
      <c r="D337" s="291">
        <f>B337+C337</f>
        <v>1</v>
      </c>
      <c r="I337"/>
      <c r="J337"/>
      <c r="K337"/>
      <c r="L337"/>
      <c r="M337"/>
      <c r="N337"/>
      <c r="O337"/>
      <c r="P337"/>
      <c r="Q337"/>
    </row>
    <row r="338" spans="1:17" s="9" customFormat="1" ht="12.75">
      <c r="A338" s="112"/>
      <c r="B338" s="286"/>
      <c r="C338" s="286"/>
      <c r="D338" s="286"/>
      <c r="E338" s="112"/>
      <c r="I338"/>
      <c r="J338"/>
      <c r="K338"/>
      <c r="L338"/>
      <c r="M338"/>
      <c r="N338"/>
      <c r="O338"/>
      <c r="P338"/>
      <c r="Q338"/>
    </row>
    <row r="339" spans="1:17" s="9" customFormat="1" ht="12.75">
      <c r="A339" s="109" t="s">
        <v>105</v>
      </c>
      <c r="B339" s="402">
        <f>$B337*$D335</f>
        <v>43318.4858804486</v>
      </c>
      <c r="C339" s="402">
        <f>C337*D335</f>
        <v>0</v>
      </c>
      <c r="D339" s="402">
        <f>SUM(B339:C339)</f>
        <v>43318.4858804486</v>
      </c>
      <c r="E339" s="112"/>
      <c r="I339"/>
      <c r="J339"/>
      <c r="K339"/>
      <c r="L339"/>
      <c r="M339"/>
      <c r="N339"/>
      <c r="O339"/>
      <c r="P339"/>
      <c r="Q339"/>
    </row>
    <row r="340" spans="1:17" s="9" customFormat="1" ht="12.75">
      <c r="A340" s="112"/>
      <c r="B340" s="287"/>
      <c r="C340" s="287"/>
      <c r="D340" s="287"/>
      <c r="E340" s="112"/>
      <c r="I340"/>
      <c r="J340"/>
      <c r="K340"/>
      <c r="L340"/>
      <c r="M340"/>
      <c r="N340"/>
      <c r="O340"/>
      <c r="P340"/>
      <c r="Q340"/>
    </row>
    <row r="341" spans="1:17" s="9" customFormat="1" ht="12.75">
      <c r="A341" s="109" t="s">
        <v>151</v>
      </c>
      <c r="B341" s="293">
        <f>+B57</f>
        <v>96543</v>
      </c>
      <c r="C341" s="292"/>
      <c r="D341" s="292"/>
      <c r="E341" s="112"/>
      <c r="I341"/>
      <c r="J341"/>
      <c r="K341"/>
      <c r="L341"/>
      <c r="M341"/>
      <c r="N341"/>
      <c r="O341"/>
      <c r="P341"/>
      <c r="Q341"/>
    </row>
    <row r="342" spans="1:17" s="9" customFormat="1" ht="13.5" customHeight="1">
      <c r="A342" s="112"/>
      <c r="B342" s="288"/>
      <c r="C342" s="287"/>
      <c r="D342" s="287"/>
      <c r="E342" s="112"/>
      <c r="I342"/>
      <c r="J342"/>
      <c r="K342"/>
      <c r="L342"/>
      <c r="M342"/>
      <c r="N342"/>
      <c r="O342"/>
      <c r="P342"/>
      <c r="Q342"/>
    </row>
    <row r="343" spans="1:17" s="9" customFormat="1" ht="12.75">
      <c r="A343" s="109" t="s">
        <v>101</v>
      </c>
      <c r="B343" s="292"/>
      <c r="C343" s="293">
        <f>+D57</f>
        <v>3</v>
      </c>
      <c r="D343" s="292"/>
      <c r="E343" s="112"/>
      <c r="I343"/>
      <c r="J343"/>
      <c r="K343"/>
      <c r="L343"/>
      <c r="M343"/>
      <c r="N343"/>
      <c r="O343"/>
      <c r="P343"/>
      <c r="Q343"/>
    </row>
    <row r="344" spans="1:17" s="9" customFormat="1" ht="13.5" customHeight="1">
      <c r="A344" s="112"/>
      <c r="B344" s="287"/>
      <c r="C344" s="288"/>
      <c r="D344" s="287"/>
      <c r="E344" s="112"/>
      <c r="I344"/>
      <c r="J344"/>
      <c r="K344"/>
      <c r="L344"/>
      <c r="M344"/>
      <c r="N344"/>
      <c r="O344"/>
      <c r="P344"/>
      <c r="Q344"/>
    </row>
    <row r="345" spans="1:17" s="9" customFormat="1" ht="12.75">
      <c r="A345" s="109" t="s">
        <v>161</v>
      </c>
      <c r="B345" s="403">
        <f>IF(ISERROR($B339/$B341),0,$B339/$B341)</f>
        <v>0.4486962895336648</v>
      </c>
      <c r="C345" s="403"/>
      <c r="D345" s="294"/>
      <c r="E345" s="112"/>
      <c r="I345"/>
      <c r="J345"/>
      <c r="K345"/>
      <c r="L345"/>
      <c r="M345"/>
      <c r="N345"/>
      <c r="O345"/>
      <c r="P345"/>
      <c r="Q345"/>
    </row>
    <row r="346" spans="1:17" s="9" customFormat="1" ht="13.5" customHeight="1">
      <c r="A346" s="112"/>
      <c r="B346" s="404"/>
      <c r="C346" s="404"/>
      <c r="D346" s="289"/>
      <c r="E346" s="112"/>
      <c r="I346"/>
      <c r="J346"/>
      <c r="K346"/>
      <c r="L346"/>
      <c r="M346"/>
      <c r="N346"/>
      <c r="O346"/>
      <c r="P346"/>
      <c r="Q346"/>
    </row>
    <row r="347" spans="1:17" s="9" customFormat="1" ht="12.75">
      <c r="A347" s="109" t="s">
        <v>160</v>
      </c>
      <c r="B347" s="405"/>
      <c r="C347" s="406">
        <f>IF(ISERROR($C339/$C343/12),0,$C339/$C343/12)</f>
        <v>0</v>
      </c>
      <c r="D347" s="295"/>
      <c r="E347" s="112"/>
      <c r="I347"/>
      <c r="J347"/>
      <c r="K347"/>
      <c r="L347"/>
      <c r="M347"/>
      <c r="N347"/>
      <c r="O347"/>
      <c r="P347"/>
      <c r="Q347"/>
    </row>
    <row r="348" spans="1:17" s="9" customFormat="1" ht="12.75">
      <c r="A348" s="296"/>
      <c r="B348" s="482"/>
      <c r="C348" s="483"/>
      <c r="D348" s="297"/>
      <c r="E348" s="112"/>
      <c r="I348"/>
      <c r="J348"/>
      <c r="K348"/>
      <c r="L348"/>
      <c r="M348"/>
      <c r="N348"/>
      <c r="O348"/>
      <c r="P348"/>
      <c r="Q348"/>
    </row>
    <row r="349" spans="1:17" s="9" customFormat="1" ht="12.75">
      <c r="A349" s="296"/>
      <c r="B349" s="482"/>
      <c r="C349" s="483"/>
      <c r="D349" s="297"/>
      <c r="E349" s="112"/>
      <c r="I349"/>
      <c r="J349"/>
      <c r="K349"/>
      <c r="L349"/>
      <c r="M349"/>
      <c r="N349"/>
      <c r="O349"/>
      <c r="P349"/>
      <c r="Q349"/>
    </row>
    <row r="350" spans="1:17" s="9" customFormat="1" ht="13.5" customHeight="1">
      <c r="A350" s="54" t="s">
        <v>222</v>
      </c>
      <c r="E350" s="112"/>
      <c r="I350"/>
      <c r="J350"/>
      <c r="K350"/>
      <c r="L350"/>
      <c r="M350"/>
      <c r="N350"/>
      <c r="O350"/>
      <c r="P350"/>
      <c r="Q350"/>
    </row>
    <row r="351" spans="1:17" s="9" customFormat="1" ht="7.5" customHeight="1">
      <c r="A351" s="54"/>
      <c r="E351" s="112"/>
      <c r="I351"/>
      <c r="J351"/>
      <c r="K351"/>
      <c r="L351"/>
      <c r="M351"/>
      <c r="N351"/>
      <c r="O351"/>
      <c r="P351"/>
      <c r="Q351"/>
    </row>
    <row r="352" spans="1:17" s="9" customFormat="1" ht="15">
      <c r="A352" s="132"/>
      <c r="E352" s="112"/>
      <c r="I352"/>
      <c r="J352"/>
      <c r="K352"/>
      <c r="L352"/>
      <c r="M352"/>
      <c r="N352"/>
      <c r="O352"/>
      <c r="P352"/>
      <c r="Q352"/>
    </row>
    <row r="353" spans="1:17" s="9" customFormat="1" ht="51.75" thickBot="1">
      <c r="A353" s="132"/>
      <c r="B353" s="283" t="s">
        <v>104</v>
      </c>
      <c r="C353" s="283" t="s">
        <v>188</v>
      </c>
      <c r="D353" s="283" t="s">
        <v>103</v>
      </c>
      <c r="E353" s="112"/>
      <c r="I353"/>
      <c r="J353"/>
      <c r="K353"/>
      <c r="L353"/>
      <c r="M353"/>
      <c r="N353"/>
      <c r="O353"/>
      <c r="P353"/>
      <c r="Q353"/>
    </row>
    <row r="354" spans="1:17" s="9" customFormat="1" ht="15">
      <c r="A354" s="132"/>
      <c r="B354" s="30"/>
      <c r="C354" s="30"/>
      <c r="E354" s="112"/>
      <c r="I354"/>
      <c r="J354"/>
      <c r="K354"/>
      <c r="L354"/>
      <c r="M354"/>
      <c r="N354"/>
      <c r="O354"/>
      <c r="P354"/>
      <c r="Q354"/>
    </row>
    <row r="355" spans="1:17" s="9" customFormat="1" ht="12.75">
      <c r="A355" s="109" t="s">
        <v>99</v>
      </c>
      <c r="B355" s="290"/>
      <c r="C355" s="290"/>
      <c r="D355" s="407">
        <v>0</v>
      </c>
      <c r="E355" s="112"/>
      <c r="I355"/>
      <c r="J355"/>
      <c r="K355"/>
      <c r="L355"/>
      <c r="M355"/>
      <c r="N355"/>
      <c r="O355"/>
      <c r="P355"/>
      <c r="Q355"/>
    </row>
    <row r="356" spans="1:17" s="9" customFormat="1" ht="12.75">
      <c r="A356" s="112"/>
      <c r="B356" s="284"/>
      <c r="C356" s="284"/>
      <c r="D356" s="285"/>
      <c r="E356" s="112"/>
      <c r="I356"/>
      <c r="J356"/>
      <c r="K356"/>
      <c r="L356"/>
      <c r="M356"/>
      <c r="N356"/>
      <c r="O356"/>
      <c r="P356"/>
      <c r="Q356"/>
    </row>
    <row r="357" spans="1:17" s="9" customFormat="1" ht="12.75">
      <c r="A357" s="109" t="s">
        <v>102</v>
      </c>
      <c r="B357" s="479">
        <v>1</v>
      </c>
      <c r="C357" s="479">
        <f>1-B357</f>
        <v>0</v>
      </c>
      <c r="D357" s="291">
        <f>B357+C357</f>
        <v>1</v>
      </c>
      <c r="E357" s="112"/>
      <c r="I357"/>
      <c r="J357"/>
      <c r="K357"/>
      <c r="L357"/>
      <c r="M357"/>
      <c r="N357"/>
      <c r="O357"/>
      <c r="P357"/>
      <c r="Q357"/>
    </row>
    <row r="358" spans="1:17" s="9" customFormat="1" ht="12.75">
      <c r="A358" s="112"/>
      <c r="B358" s="286"/>
      <c r="C358" s="286"/>
      <c r="D358" s="286"/>
      <c r="E358" s="112"/>
      <c r="I358"/>
      <c r="J358"/>
      <c r="K358"/>
      <c r="L358"/>
      <c r="M358"/>
      <c r="N358"/>
      <c r="O358"/>
      <c r="P358"/>
      <c r="Q358"/>
    </row>
    <row r="359" spans="1:17" s="9" customFormat="1" ht="12.75">
      <c r="A359" s="109" t="s">
        <v>105</v>
      </c>
      <c r="B359" s="402">
        <f>$B357*$D355</f>
        <v>0</v>
      </c>
      <c r="C359" s="402">
        <f>C357*D355</f>
        <v>0</v>
      </c>
      <c r="D359" s="402">
        <f>SUM(B359:C359)</f>
        <v>0</v>
      </c>
      <c r="E359" s="112"/>
      <c r="I359"/>
      <c r="J359"/>
      <c r="K359"/>
      <c r="L359"/>
      <c r="M359"/>
      <c r="N359"/>
      <c r="O359"/>
      <c r="P359"/>
      <c r="Q359"/>
    </row>
    <row r="360" spans="1:17" s="9" customFormat="1" ht="12.75">
      <c r="A360" s="112"/>
      <c r="B360" s="287"/>
      <c r="C360" s="287"/>
      <c r="D360" s="287"/>
      <c r="E360" s="112"/>
      <c r="I360"/>
      <c r="J360"/>
      <c r="K360"/>
      <c r="L360"/>
      <c r="M360"/>
      <c r="N360"/>
      <c r="O360"/>
      <c r="P360"/>
      <c r="Q360"/>
    </row>
    <row r="361" spans="1:17" s="9" customFormat="1" ht="12.75">
      <c r="A361" s="109" t="s">
        <v>151</v>
      </c>
      <c r="B361" s="293">
        <v>0</v>
      </c>
      <c r="C361" s="292"/>
      <c r="D361" s="292"/>
      <c r="E361" s="112"/>
      <c r="I361"/>
      <c r="J361"/>
      <c r="K361"/>
      <c r="L361"/>
      <c r="M361"/>
      <c r="N361"/>
      <c r="O361"/>
      <c r="P361"/>
      <c r="Q361"/>
    </row>
    <row r="362" spans="1:17" s="9" customFormat="1" ht="12.75">
      <c r="A362" s="112"/>
      <c r="B362" s="288"/>
      <c r="C362" s="287"/>
      <c r="D362" s="287"/>
      <c r="E362" s="112"/>
      <c r="I362"/>
      <c r="J362"/>
      <c r="K362"/>
      <c r="L362"/>
      <c r="M362"/>
      <c r="N362"/>
      <c r="O362"/>
      <c r="P362"/>
      <c r="Q362"/>
    </row>
    <row r="363" spans="1:17" s="9" customFormat="1" ht="12.75">
      <c r="A363" s="109" t="s">
        <v>101</v>
      </c>
      <c r="B363" s="292"/>
      <c r="C363" s="293">
        <v>0</v>
      </c>
      <c r="D363" s="292"/>
      <c r="E363" s="112"/>
      <c r="I363"/>
      <c r="J363"/>
      <c r="K363"/>
      <c r="L363"/>
      <c r="M363"/>
      <c r="N363"/>
      <c r="O363"/>
      <c r="P363"/>
      <c r="Q363"/>
    </row>
    <row r="364" spans="1:17" s="9" customFormat="1" ht="12.75">
      <c r="A364" s="112"/>
      <c r="B364" s="287"/>
      <c r="C364" s="288"/>
      <c r="D364" s="287"/>
      <c r="E364" s="112"/>
      <c r="I364"/>
      <c r="J364"/>
      <c r="K364"/>
      <c r="L364"/>
      <c r="M364"/>
      <c r="N364"/>
      <c r="O364"/>
      <c r="P364"/>
      <c r="Q364"/>
    </row>
    <row r="365" spans="1:17" s="9" customFormat="1" ht="12.75">
      <c r="A365" s="109" t="s">
        <v>161</v>
      </c>
      <c r="B365" s="403">
        <f>IF(ISERROR($B359/$B361),0,$B359/$B361)</f>
        <v>0</v>
      </c>
      <c r="C365" s="403"/>
      <c r="D365" s="294"/>
      <c r="E365" s="112"/>
      <c r="I365"/>
      <c r="J365"/>
      <c r="K365"/>
      <c r="L365"/>
      <c r="M365"/>
      <c r="N365"/>
      <c r="O365"/>
      <c r="P365"/>
      <c r="Q365"/>
    </row>
    <row r="366" spans="1:17" s="9" customFormat="1" ht="12.75">
      <c r="A366" s="112"/>
      <c r="B366" s="404"/>
      <c r="C366" s="404"/>
      <c r="D366" s="289"/>
      <c r="E366" s="112"/>
      <c r="I366"/>
      <c r="J366"/>
      <c r="K366"/>
      <c r="L366"/>
      <c r="M366"/>
      <c r="N366"/>
      <c r="O366"/>
      <c r="P366"/>
      <c r="Q366"/>
    </row>
    <row r="367" spans="1:17" s="9" customFormat="1" ht="12.75">
      <c r="A367" s="109" t="s">
        <v>160</v>
      </c>
      <c r="B367" s="405"/>
      <c r="C367" s="406">
        <f>IF(ISERROR($C359/$C363/12),0,$C359/$C363/12)</f>
        <v>0</v>
      </c>
      <c r="D367" s="295"/>
      <c r="E367" s="112"/>
      <c r="I367"/>
      <c r="J367"/>
      <c r="K367"/>
      <c r="L367"/>
      <c r="M367"/>
      <c r="N367"/>
      <c r="O367"/>
      <c r="P367"/>
      <c r="Q367"/>
    </row>
    <row r="368" spans="1:17" s="9" customFormat="1" ht="12.75">
      <c r="A368" s="296"/>
      <c r="B368" s="297"/>
      <c r="C368" s="298"/>
      <c r="D368" s="297"/>
      <c r="E368" s="112"/>
      <c r="I368"/>
      <c r="J368"/>
      <c r="K368"/>
      <c r="L368"/>
      <c r="M368"/>
      <c r="N368"/>
      <c r="O368"/>
      <c r="P368"/>
      <c r="Q368"/>
    </row>
    <row r="369" spans="1:17" s="9" customFormat="1" ht="12.75">
      <c r="A369" s="296"/>
      <c r="B369" s="297"/>
      <c r="C369" s="298"/>
      <c r="D369" s="297"/>
      <c r="E369" s="112"/>
      <c r="I369"/>
      <c r="J369"/>
      <c r="K369"/>
      <c r="L369"/>
      <c r="M369"/>
      <c r="N369"/>
      <c r="O369"/>
      <c r="P369"/>
      <c r="Q369"/>
    </row>
    <row r="370" spans="1:17" s="9" customFormat="1" ht="7.5" customHeight="1">
      <c r="A370" s="296"/>
      <c r="B370" s="297"/>
      <c r="C370" s="298"/>
      <c r="D370" s="297"/>
      <c r="E370" s="112"/>
      <c r="I370"/>
      <c r="J370"/>
      <c r="K370"/>
      <c r="L370"/>
      <c r="M370"/>
      <c r="N370"/>
      <c r="O370"/>
      <c r="P370"/>
      <c r="Q370"/>
    </row>
    <row r="371" spans="1:17" s="9" customFormat="1" ht="13.5" customHeight="1">
      <c r="A371" s="54" t="s">
        <v>17</v>
      </c>
      <c r="E371" s="112"/>
      <c r="I371"/>
      <c r="J371"/>
      <c r="K371"/>
      <c r="L371"/>
      <c r="M371"/>
      <c r="N371"/>
      <c r="O371"/>
      <c r="P371"/>
      <c r="Q371"/>
    </row>
    <row r="372" spans="1:17" s="9" customFormat="1" ht="7.5" customHeight="1">
      <c r="A372" s="54"/>
      <c r="E372" s="112"/>
      <c r="I372"/>
      <c r="J372"/>
      <c r="K372"/>
      <c r="L372"/>
      <c r="M372"/>
      <c r="N372"/>
      <c r="O372"/>
      <c r="P372"/>
      <c r="Q372"/>
    </row>
    <row r="373" spans="1:17" s="9" customFormat="1" ht="15">
      <c r="A373" s="132"/>
      <c r="E373" s="112"/>
      <c r="I373"/>
      <c r="J373"/>
      <c r="K373"/>
      <c r="L373"/>
      <c r="M373"/>
      <c r="N373"/>
      <c r="O373"/>
      <c r="P373"/>
      <c r="Q373"/>
    </row>
    <row r="374" spans="1:17" s="9" customFormat="1" ht="51.75" thickBot="1">
      <c r="A374" s="132"/>
      <c r="B374" s="283" t="s">
        <v>104</v>
      </c>
      <c r="C374" s="283" t="s">
        <v>188</v>
      </c>
      <c r="D374" s="283" t="s">
        <v>103</v>
      </c>
      <c r="E374" s="112"/>
      <c r="I374"/>
      <c r="J374"/>
      <c r="K374"/>
      <c r="L374"/>
      <c r="M374"/>
      <c r="N374"/>
      <c r="O374"/>
      <c r="P374"/>
      <c r="Q374"/>
    </row>
    <row r="375" spans="1:17" s="9" customFormat="1" ht="15">
      <c r="A375" s="481" t="s">
        <v>213</v>
      </c>
      <c r="B375" s="30"/>
      <c r="C375" s="30"/>
      <c r="E375" s="112"/>
      <c r="I375"/>
      <c r="J375"/>
      <c r="K375"/>
      <c r="L375"/>
      <c r="M375"/>
      <c r="N375"/>
      <c r="O375"/>
      <c r="P375"/>
      <c r="Q375"/>
    </row>
    <row r="376" spans="1:17" s="9" customFormat="1" ht="12.75">
      <c r="A376" s="109" t="s">
        <v>99</v>
      </c>
      <c r="B376" s="290"/>
      <c r="C376" s="290"/>
      <c r="D376" s="407">
        <f>+G63</f>
        <v>31892.973395870937</v>
      </c>
      <c r="E376" s="112"/>
      <c r="I376"/>
      <c r="J376"/>
      <c r="K376"/>
      <c r="L376"/>
      <c r="M376"/>
      <c r="N376"/>
      <c r="O376"/>
      <c r="P376"/>
      <c r="Q376"/>
    </row>
    <row r="377" spans="1:17" s="9" customFormat="1" ht="12.75">
      <c r="A377" s="112"/>
      <c r="B377" s="284"/>
      <c r="C377" s="284"/>
      <c r="D377" s="285"/>
      <c r="E377" s="112"/>
      <c r="I377"/>
      <c r="J377"/>
      <c r="K377"/>
      <c r="L377"/>
      <c r="M377"/>
      <c r="N377"/>
      <c r="O377"/>
      <c r="P377"/>
      <c r="Q377"/>
    </row>
    <row r="378" spans="1:17" s="9" customFormat="1" ht="12.75">
      <c r="A378" s="109" t="s">
        <v>102</v>
      </c>
      <c r="B378" s="479">
        <v>1</v>
      </c>
      <c r="C378" s="479">
        <f>1-B378</f>
        <v>0</v>
      </c>
      <c r="D378" s="291">
        <f>B378+C378</f>
        <v>1</v>
      </c>
      <c r="E378" s="112"/>
      <c r="I378"/>
      <c r="J378"/>
      <c r="K378"/>
      <c r="L378"/>
      <c r="M378"/>
      <c r="N378"/>
      <c r="O378"/>
      <c r="P378"/>
      <c r="Q378"/>
    </row>
    <row r="379" spans="1:17" s="9" customFormat="1" ht="12.75">
      <c r="A379" s="112"/>
      <c r="B379" s="286"/>
      <c r="C379" s="286"/>
      <c r="D379" s="286"/>
      <c r="E379" s="112"/>
      <c r="I379"/>
      <c r="J379"/>
      <c r="K379"/>
      <c r="L379"/>
      <c r="M379"/>
      <c r="N379"/>
      <c r="O379"/>
      <c r="P379"/>
      <c r="Q379"/>
    </row>
    <row r="380" spans="1:17" s="9" customFormat="1" ht="12.75">
      <c r="A380" s="109" t="s">
        <v>105</v>
      </c>
      <c r="B380" s="402">
        <f>$B378*$D376</f>
        <v>31892.973395870937</v>
      </c>
      <c r="C380" s="402">
        <f>C378*D376</f>
        <v>0</v>
      </c>
      <c r="D380" s="402">
        <f>SUM(B380:C380)</f>
        <v>31892.973395870937</v>
      </c>
      <c r="E380" s="112"/>
      <c r="I380"/>
      <c r="J380"/>
      <c r="K380"/>
      <c r="L380"/>
      <c r="M380"/>
      <c r="N380"/>
      <c r="O380"/>
      <c r="P380"/>
      <c r="Q380"/>
    </row>
    <row r="381" spans="1:17" s="9" customFormat="1" ht="12.75">
      <c r="A381" s="112"/>
      <c r="B381" s="287"/>
      <c r="C381" s="287"/>
      <c r="D381" s="287"/>
      <c r="E381" s="112"/>
      <c r="I381"/>
      <c r="J381"/>
      <c r="K381"/>
      <c r="L381"/>
      <c r="M381"/>
      <c r="N381"/>
      <c r="O381"/>
      <c r="P381"/>
      <c r="Q381"/>
    </row>
    <row r="382" spans="1:17" s="9" customFormat="1" ht="12.75">
      <c r="A382" s="109" t="s">
        <v>151</v>
      </c>
      <c r="B382" s="293">
        <f>+B63</f>
        <v>55024</v>
      </c>
      <c r="C382" s="292"/>
      <c r="D382" s="292"/>
      <c r="E382" s="112"/>
      <c r="I382"/>
      <c r="J382"/>
      <c r="K382"/>
      <c r="L382"/>
      <c r="M382"/>
      <c r="N382"/>
      <c r="O382"/>
      <c r="P382"/>
      <c r="Q382"/>
    </row>
    <row r="383" spans="1:17" s="9" customFormat="1" ht="12.75">
      <c r="A383" s="112"/>
      <c r="B383" s="288"/>
      <c r="C383" s="287"/>
      <c r="D383" s="287"/>
      <c r="E383" s="112"/>
      <c r="I383"/>
      <c r="J383"/>
      <c r="K383"/>
      <c r="L383"/>
      <c r="M383"/>
      <c r="N383"/>
      <c r="O383"/>
      <c r="P383"/>
      <c r="Q383"/>
    </row>
    <row r="384" spans="1:17" s="9" customFormat="1" ht="12.75">
      <c r="A384" s="109" t="s">
        <v>101</v>
      </c>
      <c r="B384" s="292"/>
      <c r="C384" s="293">
        <f>+D63</f>
        <v>1</v>
      </c>
      <c r="D384" s="292"/>
      <c r="E384" s="112"/>
      <c r="I384"/>
      <c r="J384"/>
      <c r="K384"/>
      <c r="L384"/>
      <c r="M384"/>
      <c r="N384"/>
      <c r="O384"/>
      <c r="P384"/>
      <c r="Q384"/>
    </row>
    <row r="385" spans="1:17" s="9" customFormat="1" ht="12.75">
      <c r="A385" s="112"/>
      <c r="B385" s="287"/>
      <c r="C385" s="288"/>
      <c r="D385" s="287"/>
      <c r="E385" s="112"/>
      <c r="I385"/>
      <c r="J385"/>
      <c r="K385"/>
      <c r="L385"/>
      <c r="M385"/>
      <c r="N385"/>
      <c r="O385"/>
      <c r="P385"/>
      <c r="Q385"/>
    </row>
    <row r="386" spans="1:17" s="9" customFormat="1" ht="12.75">
      <c r="A386" s="109" t="s">
        <v>161</v>
      </c>
      <c r="B386" s="403">
        <f>IF(ISERROR($B380/$B382),0,$B380/$B382)</f>
        <v>0.5796193187676457</v>
      </c>
      <c r="C386" s="403"/>
      <c r="D386" s="294"/>
      <c r="E386" s="112"/>
      <c r="I386"/>
      <c r="J386"/>
      <c r="K386"/>
      <c r="L386"/>
      <c r="M386"/>
      <c r="N386"/>
      <c r="O386"/>
      <c r="P386"/>
      <c r="Q386"/>
    </row>
    <row r="387" spans="1:17" s="9" customFormat="1" ht="12.75">
      <c r="A387" s="112"/>
      <c r="B387" s="404"/>
      <c r="C387" s="404"/>
      <c r="D387" s="289"/>
      <c r="E387" s="112"/>
      <c r="I387"/>
      <c r="J387"/>
      <c r="K387"/>
      <c r="L387"/>
      <c r="M387"/>
      <c r="N387"/>
      <c r="O387"/>
      <c r="P387"/>
      <c r="Q387"/>
    </row>
    <row r="388" spans="1:17" s="9" customFormat="1" ht="12.75">
      <c r="A388" s="109" t="s">
        <v>160</v>
      </c>
      <c r="B388" s="405"/>
      <c r="C388" s="406">
        <f>IF(ISERROR($C380/$C384/12),0,$C380/$C384/12)</f>
        <v>0</v>
      </c>
      <c r="D388" s="295"/>
      <c r="E388" s="112"/>
      <c r="I388"/>
      <c r="J388"/>
      <c r="K388"/>
      <c r="L388"/>
      <c r="M388"/>
      <c r="N388"/>
      <c r="O388"/>
      <c r="P388"/>
      <c r="Q388"/>
    </row>
    <row r="389" spans="1:17" s="9" customFormat="1" ht="12.75">
      <c r="A389" s="296"/>
      <c r="B389" s="297"/>
      <c r="C389" s="298"/>
      <c r="D389" s="297"/>
      <c r="E389" s="112"/>
      <c r="I389"/>
      <c r="J389"/>
      <c r="K389"/>
      <c r="L389"/>
      <c r="M389"/>
      <c r="N389"/>
      <c r="O389"/>
      <c r="P389"/>
      <c r="Q389"/>
    </row>
    <row r="390" spans="1:17" s="9" customFormat="1" ht="12.75">
      <c r="A390" s="296"/>
      <c r="B390" s="297"/>
      <c r="C390" s="298"/>
      <c r="D390" s="297"/>
      <c r="E390" s="112"/>
      <c r="I390"/>
      <c r="J390"/>
      <c r="K390"/>
      <c r="L390"/>
      <c r="M390"/>
      <c r="N390"/>
      <c r="O390"/>
      <c r="P390"/>
      <c r="Q390"/>
    </row>
    <row r="391" spans="1:17" s="9" customFormat="1" ht="51.75" thickBot="1">
      <c r="A391" s="132"/>
      <c r="B391" s="283" t="s">
        <v>104</v>
      </c>
      <c r="C391" s="283" t="s">
        <v>188</v>
      </c>
      <c r="D391" s="283" t="s">
        <v>103</v>
      </c>
      <c r="E391" s="112"/>
      <c r="I391"/>
      <c r="J391"/>
      <c r="K391"/>
      <c r="L391"/>
      <c r="M391"/>
      <c r="N391"/>
      <c r="O391"/>
      <c r="P391"/>
      <c r="Q391"/>
    </row>
    <row r="392" spans="1:17" s="9" customFormat="1" ht="15">
      <c r="A392" s="481" t="s">
        <v>220</v>
      </c>
      <c r="B392" s="30"/>
      <c r="C392" s="30"/>
      <c r="E392" s="112"/>
      <c r="I392"/>
      <c r="J392"/>
      <c r="K392"/>
      <c r="L392"/>
      <c r="M392"/>
      <c r="N392"/>
      <c r="O392"/>
      <c r="P392"/>
      <c r="Q392"/>
    </row>
    <row r="393" spans="1:17" s="9" customFormat="1" ht="12.75">
      <c r="A393" s="109" t="s">
        <v>99</v>
      </c>
      <c r="B393" s="290"/>
      <c r="C393" s="290"/>
      <c r="D393" s="407">
        <f>+G64</f>
        <v>28778.032028243462</v>
      </c>
      <c r="E393" s="112"/>
      <c r="I393"/>
      <c r="J393"/>
      <c r="K393"/>
      <c r="L393"/>
      <c r="M393"/>
      <c r="N393"/>
      <c r="O393"/>
      <c r="P393"/>
      <c r="Q393"/>
    </row>
    <row r="394" spans="1:17" s="9" customFormat="1" ht="12.75">
      <c r="A394" s="112"/>
      <c r="B394" s="284"/>
      <c r="C394" s="284"/>
      <c r="D394" s="285"/>
      <c r="I394"/>
      <c r="J394"/>
      <c r="K394"/>
      <c r="L394"/>
      <c r="M394"/>
      <c r="N394"/>
      <c r="O394"/>
      <c r="P394"/>
      <c r="Q394"/>
    </row>
    <row r="395" spans="1:17" s="9" customFormat="1" ht="12.75">
      <c r="A395" s="109" t="s">
        <v>102</v>
      </c>
      <c r="B395" s="479">
        <v>1</v>
      </c>
      <c r="C395" s="479">
        <f>1-B395</f>
        <v>0</v>
      </c>
      <c r="D395" s="291">
        <f>B395+C395</f>
        <v>1</v>
      </c>
      <c r="I395"/>
      <c r="J395"/>
      <c r="K395"/>
      <c r="L395"/>
      <c r="M395"/>
      <c r="N395"/>
      <c r="O395"/>
      <c r="P395"/>
      <c r="Q395"/>
    </row>
    <row r="396" spans="1:17" s="9" customFormat="1" ht="12.75">
      <c r="A396" s="112"/>
      <c r="B396" s="286"/>
      <c r="C396" s="286"/>
      <c r="D396" s="286"/>
      <c r="I396"/>
      <c r="J396"/>
      <c r="K396"/>
      <c r="L396"/>
      <c r="M396"/>
      <c r="N396"/>
      <c r="O396"/>
      <c r="P396"/>
      <c r="Q396"/>
    </row>
    <row r="397" spans="1:17" s="9" customFormat="1" ht="12.75">
      <c r="A397" s="109" t="s">
        <v>105</v>
      </c>
      <c r="B397" s="402">
        <f>$B395*$D393</f>
        <v>28778.032028243462</v>
      </c>
      <c r="C397" s="402">
        <f>C395*D393</f>
        <v>0</v>
      </c>
      <c r="D397" s="402">
        <f>SUM(B397:C397)</f>
        <v>28778.032028243462</v>
      </c>
      <c r="E397" s="280"/>
      <c r="F397" s="280"/>
      <c r="G397" s="280"/>
      <c r="I397"/>
      <c r="J397"/>
      <c r="K397"/>
      <c r="L397"/>
      <c r="M397"/>
      <c r="N397"/>
      <c r="O397"/>
      <c r="P397"/>
      <c r="Q397"/>
    </row>
    <row r="398" spans="1:17" s="9" customFormat="1" ht="12.75">
      <c r="A398" s="112"/>
      <c r="B398" s="287"/>
      <c r="C398" s="287"/>
      <c r="D398" s="287"/>
      <c r="I398"/>
      <c r="J398"/>
      <c r="K398"/>
      <c r="L398"/>
      <c r="M398"/>
      <c r="N398"/>
      <c r="O398"/>
      <c r="P398"/>
      <c r="Q398"/>
    </row>
    <row r="399" spans="1:17" s="9" customFormat="1" ht="12.75">
      <c r="A399" s="109" t="s">
        <v>151</v>
      </c>
      <c r="B399" s="293">
        <f>+B64</f>
        <v>61751</v>
      </c>
      <c r="C399" s="292"/>
      <c r="D399" s="292"/>
      <c r="E399" s="112"/>
      <c r="I399"/>
      <c r="J399"/>
      <c r="K399"/>
      <c r="L399"/>
      <c r="M399"/>
      <c r="N399"/>
      <c r="O399"/>
      <c r="P399"/>
      <c r="Q399"/>
    </row>
    <row r="400" spans="1:17" s="9" customFormat="1" ht="7.5" customHeight="1">
      <c r="A400" s="112"/>
      <c r="B400" s="288"/>
      <c r="C400" s="287"/>
      <c r="D400" s="287"/>
      <c r="E400" s="112"/>
      <c r="I400"/>
      <c r="J400"/>
      <c r="K400"/>
      <c r="L400"/>
      <c r="M400"/>
      <c r="N400"/>
      <c r="O400"/>
      <c r="P400"/>
      <c r="Q400"/>
    </row>
    <row r="401" spans="1:17" s="9" customFormat="1" ht="12.75">
      <c r="A401" s="109" t="s">
        <v>101</v>
      </c>
      <c r="B401" s="292"/>
      <c r="C401" s="293">
        <f>+D64</f>
        <v>1</v>
      </c>
      <c r="D401" s="292"/>
      <c r="E401" s="112"/>
      <c r="I401"/>
      <c r="J401"/>
      <c r="K401"/>
      <c r="L401"/>
      <c r="M401"/>
      <c r="N401"/>
      <c r="O401"/>
      <c r="P401"/>
      <c r="Q401"/>
    </row>
    <row r="402" spans="1:17" s="9" customFormat="1" ht="7.5" customHeight="1">
      <c r="A402" s="112"/>
      <c r="B402" s="287"/>
      <c r="C402" s="288"/>
      <c r="D402" s="287"/>
      <c r="E402" s="112"/>
      <c r="I402"/>
      <c r="J402"/>
      <c r="K402"/>
      <c r="L402"/>
      <c r="M402"/>
      <c r="N402"/>
      <c r="O402"/>
      <c r="P402"/>
      <c r="Q402"/>
    </row>
    <row r="403" spans="1:17" s="9" customFormat="1" ht="13.5" customHeight="1">
      <c r="A403" s="109" t="s">
        <v>161</v>
      </c>
      <c r="B403" s="403">
        <f>IF(ISERROR($B397/$B399),0,$B397/$B399)</f>
        <v>0.4660334574054422</v>
      </c>
      <c r="C403" s="403"/>
      <c r="D403" s="294"/>
      <c r="E403" s="112"/>
      <c r="I403"/>
      <c r="J403"/>
      <c r="K403"/>
      <c r="L403"/>
      <c r="M403"/>
      <c r="N403"/>
      <c r="O403"/>
      <c r="P403"/>
      <c r="Q403"/>
    </row>
    <row r="404" spans="1:17" s="9" customFormat="1" ht="7.5" customHeight="1">
      <c r="A404" s="112"/>
      <c r="B404" s="404"/>
      <c r="C404" s="404"/>
      <c r="D404" s="289"/>
      <c r="E404" s="112"/>
      <c r="I404"/>
      <c r="J404"/>
      <c r="K404"/>
      <c r="L404"/>
      <c r="M404"/>
      <c r="N404"/>
      <c r="O404"/>
      <c r="P404"/>
      <c r="Q404"/>
    </row>
    <row r="405" spans="1:17" s="9" customFormat="1" ht="13.5" customHeight="1">
      <c r="A405" s="109" t="s">
        <v>160</v>
      </c>
      <c r="B405" s="405"/>
      <c r="C405" s="406">
        <f>IF(ISERROR($C397/$C401/12),0,$C397/$C401/12)</f>
        <v>0</v>
      </c>
      <c r="D405" s="295"/>
      <c r="E405" s="112"/>
      <c r="I405"/>
      <c r="J405"/>
      <c r="K405"/>
      <c r="L405"/>
      <c r="M405"/>
      <c r="N405"/>
      <c r="O405"/>
      <c r="P405"/>
      <c r="Q405"/>
    </row>
    <row r="406" spans="1:17" s="9" customFormat="1" ht="7.5" customHeight="1">
      <c r="A406" s="296"/>
      <c r="B406" s="297"/>
      <c r="C406" s="298"/>
      <c r="D406" s="297"/>
      <c r="E406" s="112"/>
      <c r="I406"/>
      <c r="J406"/>
      <c r="K406"/>
      <c r="L406"/>
      <c r="M406"/>
      <c r="N406"/>
      <c r="O406"/>
      <c r="P406"/>
      <c r="Q406"/>
    </row>
    <row r="407" spans="1:17" s="9" customFormat="1" ht="13.5" customHeight="1">
      <c r="A407" s="296"/>
      <c r="B407" s="297"/>
      <c r="C407" s="298"/>
      <c r="D407" s="297"/>
      <c r="E407" s="112"/>
      <c r="I407"/>
      <c r="J407"/>
      <c r="K407"/>
      <c r="L407"/>
      <c r="M407"/>
      <c r="N407"/>
      <c r="O407"/>
      <c r="P407"/>
      <c r="Q407"/>
    </row>
    <row r="408" spans="1:17" s="9" customFormat="1" ht="7.5" customHeight="1">
      <c r="A408" s="296"/>
      <c r="B408" s="297"/>
      <c r="C408" s="298"/>
      <c r="D408" s="297"/>
      <c r="E408" s="112"/>
      <c r="I408"/>
      <c r="J408"/>
      <c r="K408"/>
      <c r="L408"/>
      <c r="M408"/>
      <c r="N408"/>
      <c r="O408"/>
      <c r="P408"/>
      <c r="Q408"/>
    </row>
    <row r="409" spans="1:17" s="9" customFormat="1" ht="13.5" customHeight="1">
      <c r="A409" s="54" t="s">
        <v>18</v>
      </c>
      <c r="E409" s="112"/>
      <c r="I409"/>
      <c r="J409"/>
      <c r="K409"/>
      <c r="L409"/>
      <c r="M409"/>
      <c r="N409"/>
      <c r="O409"/>
      <c r="P409"/>
      <c r="Q409"/>
    </row>
    <row r="410" spans="1:17" s="9" customFormat="1" ht="7.5" customHeight="1">
      <c r="A410" s="54"/>
      <c r="E410" s="112"/>
      <c r="I410"/>
      <c r="J410"/>
      <c r="K410"/>
      <c r="L410"/>
      <c r="M410"/>
      <c r="N410"/>
      <c r="O410"/>
      <c r="P410"/>
      <c r="Q410"/>
    </row>
    <row r="411" spans="1:17" s="9" customFormat="1" ht="15">
      <c r="A411" s="132"/>
      <c r="E411" s="112"/>
      <c r="I411"/>
      <c r="J411"/>
      <c r="K411"/>
      <c r="L411"/>
      <c r="M411"/>
      <c r="N411"/>
      <c r="O411"/>
      <c r="P411"/>
      <c r="Q411"/>
    </row>
    <row r="412" spans="1:17" s="9" customFormat="1" ht="51.75" thickBot="1">
      <c r="A412" s="132"/>
      <c r="B412" s="283" t="s">
        <v>104</v>
      </c>
      <c r="C412" s="283" t="s">
        <v>188</v>
      </c>
      <c r="D412" s="283" t="s">
        <v>103</v>
      </c>
      <c r="E412" s="112"/>
      <c r="I412"/>
      <c r="J412"/>
      <c r="K412"/>
      <c r="L412"/>
      <c r="M412"/>
      <c r="N412"/>
      <c r="O412"/>
      <c r="P412"/>
      <c r="Q412"/>
    </row>
    <row r="413" spans="1:17" s="9" customFormat="1" ht="15">
      <c r="A413" s="481" t="s">
        <v>211</v>
      </c>
      <c r="B413" s="30"/>
      <c r="C413" s="30"/>
      <c r="E413" s="112"/>
      <c r="I413"/>
      <c r="J413"/>
      <c r="K413"/>
      <c r="L413"/>
      <c r="M413"/>
      <c r="N413"/>
      <c r="O413"/>
      <c r="P413"/>
      <c r="Q413"/>
    </row>
    <row r="414" spans="1:17" s="9" customFormat="1" ht="12.75">
      <c r="A414" s="109" t="s">
        <v>99</v>
      </c>
      <c r="B414" s="290"/>
      <c r="C414" s="290"/>
      <c r="D414" s="407">
        <f>+G70</f>
        <v>100.06331269332561</v>
      </c>
      <c r="E414" s="112"/>
      <c r="I414"/>
      <c r="J414"/>
      <c r="K414"/>
      <c r="L414"/>
      <c r="M414"/>
      <c r="N414"/>
      <c r="O414"/>
      <c r="P414"/>
      <c r="Q414"/>
    </row>
    <row r="415" spans="1:17" s="9" customFormat="1" ht="12.75">
      <c r="A415" s="112"/>
      <c r="B415" s="284"/>
      <c r="C415" s="284"/>
      <c r="D415" s="285"/>
      <c r="E415" s="112"/>
      <c r="I415"/>
      <c r="J415"/>
      <c r="K415"/>
      <c r="L415"/>
      <c r="M415"/>
      <c r="N415"/>
      <c r="O415"/>
      <c r="P415"/>
      <c r="Q415"/>
    </row>
    <row r="416" spans="1:17" s="9" customFormat="1" ht="12.75">
      <c r="A416" s="109" t="s">
        <v>102</v>
      </c>
      <c r="B416" s="479">
        <v>1</v>
      </c>
      <c r="C416" s="479">
        <f>1-B416</f>
        <v>0</v>
      </c>
      <c r="D416" s="291">
        <f>B416+C416</f>
        <v>1</v>
      </c>
      <c r="E416" s="112"/>
      <c r="I416"/>
      <c r="J416"/>
      <c r="K416"/>
      <c r="L416"/>
      <c r="M416"/>
      <c r="N416"/>
      <c r="O416"/>
      <c r="P416"/>
      <c r="Q416"/>
    </row>
    <row r="417" spans="1:17" s="9" customFormat="1" ht="12.75">
      <c r="A417" s="112"/>
      <c r="B417" s="286"/>
      <c r="C417" s="286"/>
      <c r="D417" s="286"/>
      <c r="E417" s="112"/>
      <c r="I417"/>
      <c r="J417"/>
      <c r="K417"/>
      <c r="L417"/>
      <c r="M417"/>
      <c r="N417"/>
      <c r="O417"/>
      <c r="P417"/>
      <c r="Q417"/>
    </row>
    <row r="418" spans="1:17" s="9" customFormat="1" ht="12.75">
      <c r="A418" s="109" t="s">
        <v>105</v>
      </c>
      <c r="B418" s="402">
        <f>$B416*$D414</f>
        <v>100.06331269332561</v>
      </c>
      <c r="C418" s="402">
        <f>C416*D414</f>
        <v>0</v>
      </c>
      <c r="D418" s="402">
        <f>SUM(B418:C418)</f>
        <v>100.06331269332561</v>
      </c>
      <c r="E418" s="112"/>
      <c r="I418"/>
      <c r="J418"/>
      <c r="K418"/>
      <c r="L418"/>
      <c r="M418"/>
      <c r="N418"/>
      <c r="O418"/>
      <c r="P418"/>
      <c r="Q418"/>
    </row>
    <row r="419" spans="1:17" s="9" customFormat="1" ht="12.75">
      <c r="A419" s="112"/>
      <c r="B419" s="287"/>
      <c r="C419" s="287"/>
      <c r="D419" s="287"/>
      <c r="E419" s="112"/>
      <c r="I419"/>
      <c r="J419"/>
      <c r="K419"/>
      <c r="L419"/>
      <c r="M419"/>
      <c r="N419"/>
      <c r="O419"/>
      <c r="P419"/>
      <c r="Q419"/>
    </row>
    <row r="420" spans="1:17" s="9" customFormat="1" ht="12.75">
      <c r="A420" s="109" t="s">
        <v>151</v>
      </c>
      <c r="B420" s="293">
        <f>+B70</f>
        <v>127</v>
      </c>
      <c r="C420" s="292"/>
      <c r="D420" s="292"/>
      <c r="E420" s="112"/>
      <c r="I420"/>
      <c r="J420"/>
      <c r="K420"/>
      <c r="L420"/>
      <c r="M420"/>
      <c r="N420"/>
      <c r="O420"/>
      <c r="P420"/>
      <c r="Q420"/>
    </row>
    <row r="421" spans="1:17" s="9" customFormat="1" ht="12.75">
      <c r="A421" s="112"/>
      <c r="B421" s="288"/>
      <c r="C421" s="287"/>
      <c r="D421" s="287"/>
      <c r="E421" s="112"/>
      <c r="I421"/>
      <c r="J421"/>
      <c r="K421"/>
      <c r="L421"/>
      <c r="M421"/>
      <c r="N421"/>
      <c r="O421"/>
      <c r="P421"/>
      <c r="Q421"/>
    </row>
    <row r="422" spans="1:17" s="9" customFormat="1" ht="12.75">
      <c r="A422" s="109" t="s">
        <v>101</v>
      </c>
      <c r="B422" s="292"/>
      <c r="C422" s="293">
        <f>+D70</f>
        <v>35</v>
      </c>
      <c r="D422" s="292"/>
      <c r="E422" s="112"/>
      <c r="I422"/>
      <c r="J422"/>
      <c r="K422"/>
      <c r="L422"/>
      <c r="M422"/>
      <c r="N422"/>
      <c r="O422"/>
      <c r="P422"/>
      <c r="Q422"/>
    </row>
    <row r="423" spans="1:17" s="9" customFormat="1" ht="12.75">
      <c r="A423" s="112"/>
      <c r="B423" s="287"/>
      <c r="C423" s="288"/>
      <c r="D423" s="287"/>
      <c r="E423" s="112"/>
      <c r="I423"/>
      <c r="J423"/>
      <c r="K423"/>
      <c r="L423"/>
      <c r="M423"/>
      <c r="N423"/>
      <c r="O423"/>
      <c r="P423"/>
      <c r="Q423"/>
    </row>
    <row r="424" spans="1:17" s="9" customFormat="1" ht="12.75">
      <c r="A424" s="109" t="s">
        <v>161</v>
      </c>
      <c r="B424" s="403">
        <f>IF(ISERROR($B418/$B420),0,$B418/$B420)</f>
        <v>0.7879000999474458</v>
      </c>
      <c r="C424" s="403"/>
      <c r="D424" s="294"/>
      <c r="E424" s="112"/>
      <c r="I424"/>
      <c r="J424"/>
      <c r="K424"/>
      <c r="L424"/>
      <c r="M424"/>
      <c r="N424"/>
      <c r="O424"/>
      <c r="P424"/>
      <c r="Q424"/>
    </row>
    <row r="425" spans="1:17" s="9" customFormat="1" ht="12.75">
      <c r="A425" s="112"/>
      <c r="B425" s="404"/>
      <c r="C425" s="404"/>
      <c r="D425" s="289"/>
      <c r="E425" s="112"/>
      <c r="I425"/>
      <c r="J425"/>
      <c r="K425"/>
      <c r="L425"/>
      <c r="M425"/>
      <c r="N425"/>
      <c r="O425"/>
      <c r="P425"/>
      <c r="Q425"/>
    </row>
    <row r="426" spans="1:17" s="9" customFormat="1" ht="12.75">
      <c r="A426" s="109" t="s">
        <v>160</v>
      </c>
      <c r="B426" s="405"/>
      <c r="C426" s="406">
        <f>IF(ISERROR($C418/$C422/12),0,$C418/$C422/12)</f>
        <v>0</v>
      </c>
      <c r="D426" s="295"/>
      <c r="E426" s="112"/>
      <c r="I426"/>
      <c r="J426"/>
      <c r="K426"/>
      <c r="L426"/>
      <c r="M426"/>
      <c r="N426"/>
      <c r="O426"/>
      <c r="P426"/>
      <c r="Q426"/>
    </row>
    <row r="427" spans="1:17" s="9" customFormat="1" ht="12.75">
      <c r="A427" s="296"/>
      <c r="B427" s="297"/>
      <c r="C427" s="298"/>
      <c r="D427" s="297"/>
      <c r="E427" s="112"/>
      <c r="I427"/>
      <c r="J427"/>
      <c r="K427"/>
      <c r="L427"/>
      <c r="M427"/>
      <c r="N427"/>
      <c r="O427"/>
      <c r="P427"/>
      <c r="Q427"/>
    </row>
    <row r="428" spans="1:17" s="9" customFormat="1" ht="12.75">
      <c r="A428" s="296"/>
      <c r="B428" s="297"/>
      <c r="C428" s="298"/>
      <c r="D428" s="297"/>
      <c r="E428" s="112"/>
      <c r="I428"/>
      <c r="J428"/>
      <c r="K428"/>
      <c r="L428"/>
      <c r="M428"/>
      <c r="N428"/>
      <c r="O428"/>
      <c r="P428"/>
      <c r="Q428"/>
    </row>
    <row r="429" spans="1:17" s="9" customFormat="1" ht="51.75" thickBot="1">
      <c r="A429" s="132"/>
      <c r="B429" s="283" t="s">
        <v>104</v>
      </c>
      <c r="C429" s="283" t="s">
        <v>188</v>
      </c>
      <c r="D429" s="283" t="s">
        <v>103</v>
      </c>
      <c r="E429" s="112"/>
      <c r="I429"/>
      <c r="J429"/>
      <c r="K429"/>
      <c r="L429"/>
      <c r="M429"/>
      <c r="N429"/>
      <c r="O429"/>
      <c r="P429"/>
      <c r="Q429"/>
    </row>
    <row r="430" spans="1:17" s="9" customFormat="1" ht="15">
      <c r="A430" s="481" t="s">
        <v>212</v>
      </c>
      <c r="B430" s="30"/>
      <c r="C430" s="30"/>
      <c r="E430" s="112"/>
      <c r="I430"/>
      <c r="J430"/>
      <c r="K430"/>
      <c r="L430"/>
      <c r="M430"/>
      <c r="N430"/>
      <c r="O430"/>
      <c r="P430"/>
      <c r="Q430"/>
    </row>
    <row r="431" spans="1:17" s="9" customFormat="1" ht="12.75">
      <c r="A431" s="109" t="s">
        <v>99</v>
      </c>
      <c r="B431" s="290"/>
      <c r="C431" s="290"/>
      <c r="D431" s="407">
        <f>+G71</f>
        <v>87.61303876374133</v>
      </c>
      <c r="E431" s="112"/>
      <c r="I431"/>
      <c r="J431"/>
      <c r="K431"/>
      <c r="L431"/>
      <c r="M431"/>
      <c r="N431"/>
      <c r="O431"/>
      <c r="P431"/>
      <c r="Q431"/>
    </row>
    <row r="432" spans="1:17" s="9" customFormat="1" ht="12.75">
      <c r="A432" s="112"/>
      <c r="B432" s="284"/>
      <c r="C432" s="284"/>
      <c r="D432" s="285"/>
      <c r="E432" s="112"/>
      <c r="I432"/>
      <c r="J432"/>
      <c r="K432"/>
      <c r="L432"/>
      <c r="M432"/>
      <c r="N432"/>
      <c r="O432"/>
      <c r="P432"/>
      <c r="Q432"/>
    </row>
    <row r="433" spans="1:17" s="9" customFormat="1" ht="12.75">
      <c r="A433" s="109" t="s">
        <v>102</v>
      </c>
      <c r="B433" s="479">
        <v>1</v>
      </c>
      <c r="C433" s="479">
        <f>1-B433</f>
        <v>0</v>
      </c>
      <c r="D433" s="291">
        <f>B433+C433</f>
        <v>1</v>
      </c>
      <c r="E433" s="112"/>
      <c r="I433"/>
      <c r="J433"/>
      <c r="K433"/>
      <c r="L433"/>
      <c r="M433"/>
      <c r="N433"/>
      <c r="O433"/>
      <c r="P433"/>
      <c r="Q433"/>
    </row>
    <row r="434" spans="1:17" s="9" customFormat="1" ht="12.75">
      <c r="A434" s="112"/>
      <c r="B434" s="286"/>
      <c r="C434" s="286"/>
      <c r="D434" s="286"/>
      <c r="E434" s="112"/>
      <c r="I434"/>
      <c r="J434"/>
      <c r="K434"/>
      <c r="L434"/>
      <c r="M434"/>
      <c r="N434"/>
      <c r="O434"/>
      <c r="P434"/>
      <c r="Q434"/>
    </row>
    <row r="435" spans="1:17" s="9" customFormat="1" ht="12.75">
      <c r="A435" s="109" t="s">
        <v>105</v>
      </c>
      <c r="B435" s="402">
        <f>$B433*$D431</f>
        <v>87.61303876374133</v>
      </c>
      <c r="C435" s="402">
        <f>C433*D431</f>
        <v>0</v>
      </c>
      <c r="D435" s="402">
        <f>SUM(B435:C435)</f>
        <v>87.61303876374133</v>
      </c>
      <c r="E435" s="112"/>
      <c r="I435"/>
      <c r="J435"/>
      <c r="K435"/>
      <c r="L435"/>
      <c r="M435"/>
      <c r="N435"/>
      <c r="O435"/>
      <c r="P435"/>
      <c r="Q435"/>
    </row>
    <row r="436" spans="1:17" s="9" customFormat="1" ht="12.75">
      <c r="A436" s="112"/>
      <c r="B436" s="287"/>
      <c r="C436" s="287"/>
      <c r="D436" s="287"/>
      <c r="E436" s="112"/>
      <c r="I436"/>
      <c r="J436"/>
      <c r="K436"/>
      <c r="L436"/>
      <c r="M436"/>
      <c r="N436"/>
      <c r="O436"/>
      <c r="P436"/>
      <c r="Q436"/>
    </row>
    <row r="437" spans="1:17" s="9" customFormat="1" ht="12.75">
      <c r="A437" s="109" t="s">
        <v>151</v>
      </c>
      <c r="B437" s="293">
        <f>+B71</f>
        <v>36</v>
      </c>
      <c r="C437" s="292"/>
      <c r="D437" s="292"/>
      <c r="E437" s="112"/>
      <c r="I437"/>
      <c r="J437"/>
      <c r="K437"/>
      <c r="L437"/>
      <c r="M437"/>
      <c r="N437"/>
      <c r="O437"/>
      <c r="P437"/>
      <c r="Q437"/>
    </row>
    <row r="438" spans="1:17" s="9" customFormat="1" ht="12.75">
      <c r="A438" s="112"/>
      <c r="B438" s="288"/>
      <c r="C438" s="287"/>
      <c r="D438" s="287"/>
      <c r="E438" s="112"/>
      <c r="I438"/>
      <c r="J438"/>
      <c r="K438"/>
      <c r="L438"/>
      <c r="M438"/>
      <c r="N438"/>
      <c r="O438"/>
      <c r="P438"/>
      <c r="Q438"/>
    </row>
    <row r="439" spans="1:17" s="9" customFormat="1" ht="12.75">
      <c r="A439" s="109" t="s">
        <v>101</v>
      </c>
      <c r="B439" s="292"/>
      <c r="C439" s="293">
        <f>+D71</f>
        <v>11</v>
      </c>
      <c r="D439" s="292"/>
      <c r="E439" s="112"/>
      <c r="I439"/>
      <c r="J439"/>
      <c r="K439"/>
      <c r="L439"/>
      <c r="M439"/>
      <c r="N439"/>
      <c r="O439"/>
      <c r="P439"/>
      <c r="Q439"/>
    </row>
    <row r="440" spans="1:17" s="9" customFormat="1" ht="12.75">
      <c r="A440" s="112"/>
      <c r="B440" s="287"/>
      <c r="C440" s="288"/>
      <c r="D440" s="287"/>
      <c r="E440" s="112"/>
      <c r="I440"/>
      <c r="J440"/>
      <c r="K440"/>
      <c r="L440"/>
      <c r="M440"/>
      <c r="N440"/>
      <c r="O440"/>
      <c r="P440"/>
      <c r="Q440"/>
    </row>
    <row r="441" spans="1:17" s="9" customFormat="1" ht="12.75">
      <c r="A441" s="109" t="s">
        <v>161</v>
      </c>
      <c r="B441" s="403">
        <f>IF(ISERROR($B435/$B437),0,$B435/$B437)</f>
        <v>2.433695521215037</v>
      </c>
      <c r="C441" s="403"/>
      <c r="D441" s="294"/>
      <c r="E441" s="112"/>
      <c r="I441"/>
      <c r="J441"/>
      <c r="K441"/>
      <c r="L441"/>
      <c r="M441"/>
      <c r="N441"/>
      <c r="O441"/>
      <c r="P441"/>
      <c r="Q441"/>
    </row>
    <row r="442" spans="1:17" s="9" customFormat="1" ht="12.75">
      <c r="A442" s="112"/>
      <c r="B442" s="404"/>
      <c r="C442" s="404"/>
      <c r="D442" s="289"/>
      <c r="E442" s="112"/>
      <c r="I442"/>
      <c r="J442"/>
      <c r="K442"/>
      <c r="L442"/>
      <c r="M442"/>
      <c r="N442"/>
      <c r="O442"/>
      <c r="P442"/>
      <c r="Q442"/>
    </row>
    <row r="443" spans="1:17" s="9" customFormat="1" ht="12.75">
      <c r="A443" s="109" t="s">
        <v>160</v>
      </c>
      <c r="B443" s="405"/>
      <c r="C443" s="406">
        <f>IF(ISERROR($C435/$C439/12),0,$C435/$C439/12)</f>
        <v>0</v>
      </c>
      <c r="D443" s="295"/>
      <c r="E443" s="112"/>
      <c r="I443"/>
      <c r="J443"/>
      <c r="K443"/>
      <c r="L443"/>
      <c r="M443"/>
      <c r="N443"/>
      <c r="O443"/>
      <c r="P443"/>
      <c r="Q443"/>
    </row>
    <row r="444" spans="1:17" s="9" customFormat="1" ht="12.75">
      <c r="A444" s="296"/>
      <c r="B444" s="297"/>
      <c r="C444" s="298"/>
      <c r="D444" s="297"/>
      <c r="E444" s="112"/>
      <c r="I444"/>
      <c r="J444"/>
      <c r="K444"/>
      <c r="L444"/>
      <c r="M444"/>
      <c r="N444"/>
      <c r="O444"/>
      <c r="P444"/>
      <c r="Q444"/>
    </row>
    <row r="445" spans="1:17" s="9" customFormat="1" ht="12.75">
      <c r="A445" s="296"/>
      <c r="B445" s="297"/>
      <c r="C445" s="298"/>
      <c r="D445" s="297"/>
      <c r="E445" s="112"/>
      <c r="I445"/>
      <c r="J445"/>
      <c r="K445"/>
      <c r="L445"/>
      <c r="M445"/>
      <c r="N445"/>
      <c r="O445"/>
      <c r="P445"/>
      <c r="Q445"/>
    </row>
    <row r="446" spans="1:17" s="9" customFormat="1" ht="51.75" thickBot="1">
      <c r="A446" s="132"/>
      <c r="B446" s="283" t="s">
        <v>104</v>
      </c>
      <c r="C446" s="283" t="s">
        <v>188</v>
      </c>
      <c r="D446" s="283" t="s">
        <v>103</v>
      </c>
      <c r="E446" s="112"/>
      <c r="I446"/>
      <c r="J446"/>
      <c r="K446"/>
      <c r="L446"/>
      <c r="M446"/>
      <c r="N446"/>
      <c r="O446"/>
      <c r="P446"/>
      <c r="Q446"/>
    </row>
    <row r="447" spans="1:17" s="9" customFormat="1" ht="15">
      <c r="A447" s="481" t="s">
        <v>213</v>
      </c>
      <c r="B447" s="30"/>
      <c r="C447" s="30"/>
      <c r="E447" s="112"/>
      <c r="I447"/>
      <c r="J447"/>
      <c r="K447"/>
      <c r="L447"/>
      <c r="M447"/>
      <c r="N447"/>
      <c r="O447"/>
      <c r="P447"/>
      <c r="Q447"/>
    </row>
    <row r="448" spans="1:17" s="9" customFormat="1" ht="12.75">
      <c r="A448" s="109" t="s">
        <v>99</v>
      </c>
      <c r="B448" s="290"/>
      <c r="C448" s="290"/>
      <c r="D448" s="407">
        <f>+G72</f>
        <v>1009.8555520662817</v>
      </c>
      <c r="E448" s="112"/>
      <c r="I448"/>
      <c r="J448"/>
      <c r="K448"/>
      <c r="L448"/>
      <c r="M448"/>
      <c r="N448"/>
      <c r="O448"/>
      <c r="P448"/>
      <c r="Q448"/>
    </row>
    <row r="449" spans="1:17" s="9" customFormat="1" ht="12.75">
      <c r="A449" s="112"/>
      <c r="B449" s="284"/>
      <c r="C449" s="284"/>
      <c r="D449" s="285"/>
      <c r="E449" s="112"/>
      <c r="I449"/>
      <c r="J449"/>
      <c r="K449"/>
      <c r="L449"/>
      <c r="M449"/>
      <c r="N449"/>
      <c r="O449"/>
      <c r="P449"/>
      <c r="Q449"/>
    </row>
    <row r="450" spans="1:17" s="9" customFormat="1" ht="12.75">
      <c r="A450" s="109" t="s">
        <v>102</v>
      </c>
      <c r="B450" s="479">
        <v>1</v>
      </c>
      <c r="C450" s="479">
        <f>1-B450</f>
        <v>0</v>
      </c>
      <c r="D450" s="291">
        <f>B450+C450</f>
        <v>1</v>
      </c>
      <c r="E450" s="112"/>
      <c r="I450"/>
      <c r="J450"/>
      <c r="K450"/>
      <c r="L450"/>
      <c r="M450"/>
      <c r="N450"/>
      <c r="O450"/>
      <c r="P450"/>
      <c r="Q450"/>
    </row>
    <row r="451" spans="1:17" s="9" customFormat="1" ht="12.75">
      <c r="A451" s="112"/>
      <c r="B451" s="286"/>
      <c r="C451" s="286"/>
      <c r="D451" s="286"/>
      <c r="E451" s="112"/>
      <c r="I451"/>
      <c r="J451"/>
      <c r="K451"/>
      <c r="L451"/>
      <c r="M451"/>
      <c r="N451"/>
      <c r="O451"/>
      <c r="P451"/>
      <c r="Q451"/>
    </row>
    <row r="452" spans="1:17" s="9" customFormat="1" ht="12.75">
      <c r="A452" s="109" t="s">
        <v>105</v>
      </c>
      <c r="B452" s="402">
        <f>$B450*$D448</f>
        <v>1009.8555520662817</v>
      </c>
      <c r="C452" s="402">
        <f>C450*D448</f>
        <v>0</v>
      </c>
      <c r="D452" s="402">
        <f>SUM(B452:C452)</f>
        <v>1009.8555520662817</v>
      </c>
      <c r="E452" s="112"/>
      <c r="I452"/>
      <c r="J452"/>
      <c r="K452"/>
      <c r="L452"/>
      <c r="M452"/>
      <c r="N452"/>
      <c r="O452"/>
      <c r="P452"/>
      <c r="Q452"/>
    </row>
    <row r="453" spans="1:17" s="9" customFormat="1" ht="12.75">
      <c r="A453" s="112"/>
      <c r="B453" s="287"/>
      <c r="C453" s="287"/>
      <c r="D453" s="287"/>
      <c r="E453" s="112"/>
      <c r="I453"/>
      <c r="J453"/>
      <c r="K453"/>
      <c r="L453"/>
      <c r="M453"/>
      <c r="N453"/>
      <c r="O453"/>
      <c r="P453"/>
      <c r="Q453"/>
    </row>
    <row r="454" spans="1:17" s="9" customFormat="1" ht="12.75">
      <c r="A454" s="109" t="s">
        <v>151</v>
      </c>
      <c r="B454" s="293">
        <f>+B72</f>
        <v>478</v>
      </c>
      <c r="C454" s="292"/>
      <c r="D454" s="292"/>
      <c r="E454" s="112"/>
      <c r="I454"/>
      <c r="J454"/>
      <c r="K454"/>
      <c r="L454"/>
      <c r="M454"/>
      <c r="N454"/>
      <c r="O454"/>
      <c r="P454"/>
      <c r="Q454"/>
    </row>
    <row r="455" spans="1:17" s="9" customFormat="1" ht="12.75">
      <c r="A455" s="112"/>
      <c r="B455" s="288"/>
      <c r="C455" s="287"/>
      <c r="D455" s="287"/>
      <c r="E455" s="112"/>
      <c r="I455"/>
      <c r="J455"/>
      <c r="K455"/>
      <c r="L455"/>
      <c r="M455"/>
      <c r="N455"/>
      <c r="O455"/>
      <c r="P455"/>
      <c r="Q455"/>
    </row>
    <row r="456" spans="1:17" s="9" customFormat="1" ht="12.75">
      <c r="A456" s="109" t="s">
        <v>101</v>
      </c>
      <c r="B456" s="292"/>
      <c r="C456" s="293">
        <f>+D72</f>
        <v>108</v>
      </c>
      <c r="D456" s="292"/>
      <c r="E456" s="112"/>
      <c r="I456"/>
      <c r="J456"/>
      <c r="K456"/>
      <c r="L456"/>
      <c r="M456"/>
      <c r="N456"/>
      <c r="O456"/>
      <c r="P456"/>
      <c r="Q456"/>
    </row>
    <row r="457" spans="1:17" s="9" customFormat="1" ht="12.75">
      <c r="A457" s="112"/>
      <c r="B457" s="287"/>
      <c r="C457" s="288"/>
      <c r="D457" s="287"/>
      <c r="E457" s="112"/>
      <c r="I457"/>
      <c r="J457"/>
      <c r="K457"/>
      <c r="L457"/>
      <c r="M457"/>
      <c r="N457"/>
      <c r="O457"/>
      <c r="P457"/>
      <c r="Q457"/>
    </row>
    <row r="458" spans="1:17" s="9" customFormat="1" ht="12.75">
      <c r="A458" s="109" t="s">
        <v>161</v>
      </c>
      <c r="B458" s="403">
        <f>IF(ISERROR($B452/$B454),0,$B452/$B454)</f>
        <v>2.1126685189671166</v>
      </c>
      <c r="C458" s="403"/>
      <c r="D458" s="294"/>
      <c r="E458" s="112"/>
      <c r="I458"/>
      <c r="J458"/>
      <c r="K458"/>
      <c r="L458"/>
      <c r="M458"/>
      <c r="N458"/>
      <c r="O458"/>
      <c r="P458"/>
      <c r="Q458"/>
    </row>
    <row r="459" spans="1:17" s="9" customFormat="1" ht="12.75">
      <c r="A459" s="112"/>
      <c r="B459" s="404"/>
      <c r="C459" s="404"/>
      <c r="D459" s="289"/>
      <c r="E459" s="112"/>
      <c r="I459"/>
      <c r="J459"/>
      <c r="K459"/>
      <c r="L459"/>
      <c r="M459"/>
      <c r="N459"/>
      <c r="O459"/>
      <c r="P459"/>
      <c r="Q459"/>
    </row>
    <row r="460" spans="1:17" s="9" customFormat="1" ht="12.75">
      <c r="A460" s="109" t="s">
        <v>160</v>
      </c>
      <c r="B460" s="405"/>
      <c r="C460" s="406">
        <f>IF(ISERROR($C452/$C456/12),0,$C452/$C456/12)</f>
        <v>0</v>
      </c>
      <c r="D460" s="295"/>
      <c r="E460" s="112"/>
      <c r="I460"/>
      <c r="J460"/>
      <c r="K460"/>
      <c r="L460"/>
      <c r="M460"/>
      <c r="N460"/>
      <c r="O460"/>
      <c r="P460"/>
      <c r="Q460"/>
    </row>
    <row r="461" spans="1:17" s="9" customFormat="1" ht="12.75">
      <c r="A461" s="296"/>
      <c r="B461" s="297"/>
      <c r="C461" s="298"/>
      <c r="D461" s="297"/>
      <c r="E461" s="112"/>
      <c r="I461"/>
      <c r="J461"/>
      <c r="K461"/>
      <c r="L461"/>
      <c r="M461"/>
      <c r="N461"/>
      <c r="O461"/>
      <c r="P461"/>
      <c r="Q461"/>
    </row>
    <row r="462" spans="1:17" s="9" customFormat="1" ht="12.75">
      <c r="A462" s="296"/>
      <c r="B462" s="297"/>
      <c r="C462" s="298"/>
      <c r="D462" s="297"/>
      <c r="E462" s="112"/>
      <c r="I462"/>
      <c r="J462"/>
      <c r="K462"/>
      <c r="L462"/>
      <c r="M462"/>
      <c r="N462"/>
      <c r="O462"/>
      <c r="P462"/>
      <c r="Q462"/>
    </row>
    <row r="463" spans="1:17" s="9" customFormat="1" ht="51.75" thickBot="1">
      <c r="A463" s="132"/>
      <c r="B463" s="283" t="s">
        <v>104</v>
      </c>
      <c r="C463" s="283" t="s">
        <v>188</v>
      </c>
      <c r="D463" s="283" t="s">
        <v>103</v>
      </c>
      <c r="E463" s="112"/>
      <c r="I463"/>
      <c r="J463"/>
      <c r="K463"/>
      <c r="L463"/>
      <c r="M463"/>
      <c r="N463"/>
      <c r="O463"/>
      <c r="P463"/>
      <c r="Q463"/>
    </row>
    <row r="464" spans="1:17" s="9" customFormat="1" ht="15">
      <c r="A464" s="481" t="s">
        <v>214</v>
      </c>
      <c r="B464" s="30"/>
      <c r="C464" s="30"/>
      <c r="E464" s="112"/>
      <c r="I464"/>
      <c r="J464"/>
      <c r="K464"/>
      <c r="L464"/>
      <c r="M464"/>
      <c r="N464"/>
      <c r="O464"/>
      <c r="P464"/>
      <c r="Q464"/>
    </row>
    <row r="465" spans="1:17" s="9" customFormat="1" ht="12.75">
      <c r="A465" s="109" t="s">
        <v>99</v>
      </c>
      <c r="B465" s="290"/>
      <c r="C465" s="290"/>
      <c r="D465" s="407">
        <f>+G73</f>
        <v>230.5606283256351</v>
      </c>
      <c r="E465" s="112"/>
      <c r="I465"/>
      <c r="J465"/>
      <c r="K465"/>
      <c r="L465"/>
      <c r="M465"/>
      <c r="N465"/>
      <c r="O465"/>
      <c r="P465"/>
      <c r="Q465"/>
    </row>
    <row r="466" spans="1:17" s="9" customFormat="1" ht="12.75">
      <c r="A466" s="112"/>
      <c r="B466" s="284"/>
      <c r="C466" s="284"/>
      <c r="D466" s="285"/>
      <c r="E466" s="112"/>
      <c r="I466"/>
      <c r="J466"/>
      <c r="K466"/>
      <c r="L466"/>
      <c r="M466"/>
      <c r="N466"/>
      <c r="O466"/>
      <c r="P466"/>
      <c r="Q466"/>
    </row>
    <row r="467" spans="1:17" s="9" customFormat="1" ht="12.75">
      <c r="A467" s="109" t="s">
        <v>102</v>
      </c>
      <c r="B467" s="479">
        <v>1</v>
      </c>
      <c r="C467" s="479">
        <f>1-B467</f>
        <v>0</v>
      </c>
      <c r="D467" s="291">
        <f>B467+C467</f>
        <v>1</v>
      </c>
      <c r="E467" s="112"/>
      <c r="I467"/>
      <c r="J467"/>
      <c r="K467"/>
      <c r="L467"/>
      <c r="M467"/>
      <c r="N467"/>
      <c r="O467"/>
      <c r="P467"/>
      <c r="Q467"/>
    </row>
    <row r="468" spans="1:17" s="9" customFormat="1" ht="12.75">
      <c r="A468" s="112"/>
      <c r="B468" s="286"/>
      <c r="C468" s="286"/>
      <c r="D468" s="286"/>
      <c r="E468" s="112"/>
      <c r="I468"/>
      <c r="J468"/>
      <c r="K468"/>
      <c r="L468"/>
      <c r="M468"/>
      <c r="N468"/>
      <c r="O468"/>
      <c r="P468"/>
      <c r="Q468"/>
    </row>
    <row r="469" spans="1:17" s="9" customFormat="1" ht="12.75">
      <c r="A469" s="109" t="s">
        <v>105</v>
      </c>
      <c r="B469" s="402">
        <f>$B467*$D465</f>
        <v>230.5606283256351</v>
      </c>
      <c r="C469" s="402">
        <f>C467*D465</f>
        <v>0</v>
      </c>
      <c r="D469" s="402">
        <f>SUM(B469:C469)</f>
        <v>230.5606283256351</v>
      </c>
      <c r="E469" s="112"/>
      <c r="I469"/>
      <c r="J469"/>
      <c r="K469"/>
      <c r="L469"/>
      <c r="M469"/>
      <c r="N469"/>
      <c r="O469"/>
      <c r="P469"/>
      <c r="Q469"/>
    </row>
    <row r="470" spans="1:17" s="9" customFormat="1" ht="12.75">
      <c r="A470" s="112"/>
      <c r="B470" s="287"/>
      <c r="C470" s="287"/>
      <c r="D470" s="287"/>
      <c r="E470" s="112"/>
      <c r="I470"/>
      <c r="J470"/>
      <c r="K470"/>
      <c r="L470"/>
      <c r="M470"/>
      <c r="N470"/>
      <c r="O470"/>
      <c r="P470"/>
      <c r="Q470"/>
    </row>
    <row r="471" spans="1:17" s="9" customFormat="1" ht="12.75">
      <c r="A471" s="109" t="s">
        <v>151</v>
      </c>
      <c r="B471" s="293">
        <f>+B73</f>
        <v>109</v>
      </c>
      <c r="C471" s="292"/>
      <c r="D471" s="292"/>
      <c r="E471" s="112"/>
      <c r="I471"/>
      <c r="J471"/>
      <c r="K471"/>
      <c r="L471"/>
      <c r="M471"/>
      <c r="N471"/>
      <c r="O471"/>
      <c r="P471"/>
      <c r="Q471"/>
    </row>
    <row r="472" spans="1:17" s="9" customFormat="1" ht="12.75">
      <c r="A472" s="112"/>
      <c r="B472" s="288"/>
      <c r="C472" s="287"/>
      <c r="D472" s="287"/>
      <c r="E472" s="112"/>
      <c r="I472"/>
      <c r="J472"/>
      <c r="K472"/>
      <c r="L472"/>
      <c r="M472"/>
      <c r="N472"/>
      <c r="O472"/>
      <c r="P472"/>
      <c r="Q472"/>
    </row>
    <row r="473" spans="1:17" s="9" customFormat="1" ht="12.75">
      <c r="A473" s="109" t="s">
        <v>101</v>
      </c>
      <c r="B473" s="292"/>
      <c r="C473" s="293">
        <f>+D73</f>
        <v>26</v>
      </c>
      <c r="D473" s="292"/>
      <c r="E473" s="112"/>
      <c r="I473"/>
      <c r="J473"/>
      <c r="K473"/>
      <c r="L473"/>
      <c r="M473"/>
      <c r="N473"/>
      <c r="O473"/>
      <c r="P473"/>
      <c r="Q473"/>
    </row>
    <row r="474" spans="1:17" s="9" customFormat="1" ht="12.75">
      <c r="A474" s="112"/>
      <c r="B474" s="287"/>
      <c r="C474" s="288"/>
      <c r="D474" s="287"/>
      <c r="E474" s="112"/>
      <c r="I474"/>
      <c r="J474"/>
      <c r="K474"/>
      <c r="L474"/>
      <c r="M474"/>
      <c r="N474"/>
      <c r="O474"/>
      <c r="P474"/>
      <c r="Q474"/>
    </row>
    <row r="475" spans="1:17" s="9" customFormat="1" ht="12.75">
      <c r="A475" s="109" t="s">
        <v>161</v>
      </c>
      <c r="B475" s="403">
        <f>IF(ISERROR($B469/$B471),0,$B469/$B471)</f>
        <v>2.115235122253533</v>
      </c>
      <c r="C475" s="403"/>
      <c r="D475" s="294"/>
      <c r="E475" s="112"/>
      <c r="I475"/>
      <c r="J475"/>
      <c r="K475"/>
      <c r="L475"/>
      <c r="M475"/>
      <c r="N475"/>
      <c r="O475"/>
      <c r="P475"/>
      <c r="Q475"/>
    </row>
    <row r="476" spans="1:17" s="9" customFormat="1" ht="12.75">
      <c r="A476" s="112"/>
      <c r="B476" s="404"/>
      <c r="C476" s="404"/>
      <c r="D476" s="289"/>
      <c r="E476" s="112"/>
      <c r="I476"/>
      <c r="J476"/>
      <c r="K476"/>
      <c r="L476"/>
      <c r="M476"/>
      <c r="N476"/>
      <c r="O476"/>
      <c r="P476"/>
      <c r="Q476"/>
    </row>
    <row r="477" spans="1:17" s="9" customFormat="1" ht="12.75">
      <c r="A477" s="109" t="s">
        <v>160</v>
      </c>
      <c r="B477" s="405"/>
      <c r="C477" s="406">
        <f>IF(ISERROR($C469/$C473/12),0,$C469/$C473/12)</f>
        <v>0</v>
      </c>
      <c r="D477" s="295"/>
      <c r="E477" s="112"/>
      <c r="I477"/>
      <c r="J477"/>
      <c r="K477"/>
      <c r="L477"/>
      <c r="M477"/>
      <c r="N477"/>
      <c r="O477"/>
      <c r="P477"/>
      <c r="Q477"/>
    </row>
    <row r="478" spans="1:17" s="9" customFormat="1" ht="12.75">
      <c r="A478" s="296"/>
      <c r="B478" s="297"/>
      <c r="C478" s="298"/>
      <c r="D478" s="297"/>
      <c r="E478" s="112"/>
      <c r="I478"/>
      <c r="J478"/>
      <c r="K478"/>
      <c r="L478"/>
      <c r="M478"/>
      <c r="N478"/>
      <c r="O478"/>
      <c r="P478"/>
      <c r="Q478"/>
    </row>
    <row r="479" spans="1:17" s="9" customFormat="1" ht="12.75">
      <c r="A479" s="296"/>
      <c r="B479" s="297"/>
      <c r="C479" s="298"/>
      <c r="D479" s="297"/>
      <c r="E479" s="112"/>
      <c r="I479"/>
      <c r="J479"/>
      <c r="K479"/>
      <c r="L479"/>
      <c r="M479"/>
      <c r="N479"/>
      <c r="O479"/>
      <c r="P479"/>
      <c r="Q479"/>
    </row>
    <row r="480" spans="1:17" s="9" customFormat="1" ht="51.75" thickBot="1">
      <c r="A480" s="132"/>
      <c r="B480" s="283" t="s">
        <v>104</v>
      </c>
      <c r="C480" s="283" t="s">
        <v>188</v>
      </c>
      <c r="D480" s="283" t="s">
        <v>103</v>
      </c>
      <c r="E480" s="112"/>
      <c r="I480"/>
      <c r="J480"/>
      <c r="K480"/>
      <c r="L480"/>
      <c r="M480"/>
      <c r="N480"/>
      <c r="O480"/>
      <c r="P480"/>
      <c r="Q480"/>
    </row>
    <row r="481" spans="1:17" s="9" customFormat="1" ht="15">
      <c r="A481" s="481" t="s">
        <v>215</v>
      </c>
      <c r="B481" s="30"/>
      <c r="C481" s="30"/>
      <c r="E481" s="112"/>
      <c r="I481"/>
      <c r="J481"/>
      <c r="K481"/>
      <c r="L481"/>
      <c r="M481"/>
      <c r="N481"/>
      <c r="O481"/>
      <c r="P481"/>
      <c r="Q481"/>
    </row>
    <row r="482" spans="1:17" s="9" customFormat="1" ht="12.75">
      <c r="A482" s="109" t="s">
        <v>99</v>
      </c>
      <c r="B482" s="290"/>
      <c r="C482" s="290"/>
      <c r="D482" s="407">
        <f>+G74</f>
        <v>0</v>
      </c>
      <c r="E482" s="112"/>
      <c r="I482"/>
      <c r="J482"/>
      <c r="K482"/>
      <c r="L482"/>
      <c r="M482"/>
      <c r="N482"/>
      <c r="O482"/>
      <c r="P482"/>
      <c r="Q482"/>
    </row>
    <row r="483" spans="1:17" s="9" customFormat="1" ht="12.75">
      <c r="A483" s="112"/>
      <c r="B483" s="284"/>
      <c r="C483" s="284"/>
      <c r="D483" s="285"/>
      <c r="E483" s="112"/>
      <c r="I483"/>
      <c r="J483"/>
      <c r="K483"/>
      <c r="L483"/>
      <c r="M483"/>
      <c r="N483"/>
      <c r="O483"/>
      <c r="P483"/>
      <c r="Q483"/>
    </row>
    <row r="484" spans="1:17" s="9" customFormat="1" ht="12.75">
      <c r="A484" s="109" t="s">
        <v>102</v>
      </c>
      <c r="B484" s="479">
        <v>1</v>
      </c>
      <c r="C484" s="479">
        <f>1-B484</f>
        <v>0</v>
      </c>
      <c r="D484" s="291">
        <f>B484+C484</f>
        <v>1</v>
      </c>
      <c r="E484" s="112"/>
      <c r="I484"/>
      <c r="J484"/>
      <c r="K484"/>
      <c r="L484"/>
      <c r="M484"/>
      <c r="N484"/>
      <c r="O484"/>
      <c r="P484"/>
      <c r="Q484"/>
    </row>
    <row r="485" spans="1:17" s="9" customFormat="1" ht="12.75">
      <c r="A485" s="112"/>
      <c r="B485" s="286"/>
      <c r="C485" s="286"/>
      <c r="D485" s="286"/>
      <c r="E485" s="112"/>
      <c r="I485"/>
      <c r="J485"/>
      <c r="K485"/>
      <c r="L485"/>
      <c r="M485"/>
      <c r="N485"/>
      <c r="O485"/>
      <c r="P485"/>
      <c r="Q485"/>
    </row>
    <row r="486" spans="1:17" s="9" customFormat="1" ht="12.75">
      <c r="A486" s="109" t="s">
        <v>105</v>
      </c>
      <c r="B486" s="402">
        <f>$B484*$D482</f>
        <v>0</v>
      </c>
      <c r="C486" s="402">
        <f>C484*D482</f>
        <v>0</v>
      </c>
      <c r="D486" s="402">
        <f>SUM(B486:C486)</f>
        <v>0</v>
      </c>
      <c r="E486" s="112"/>
      <c r="I486"/>
      <c r="J486"/>
      <c r="K486"/>
      <c r="L486"/>
      <c r="M486"/>
      <c r="N486"/>
      <c r="O486"/>
      <c r="P486"/>
      <c r="Q486"/>
    </row>
    <row r="487" spans="1:17" s="9" customFormat="1" ht="12.75">
      <c r="A487" s="112"/>
      <c r="B487" s="287"/>
      <c r="C487" s="287"/>
      <c r="D487" s="287"/>
      <c r="E487" s="112"/>
      <c r="I487"/>
      <c r="J487"/>
      <c r="K487"/>
      <c r="L487"/>
      <c r="M487"/>
      <c r="N487"/>
      <c r="O487"/>
      <c r="P487"/>
      <c r="Q487"/>
    </row>
    <row r="488" spans="1:17" s="9" customFormat="1" ht="12.75">
      <c r="A488" s="109" t="s">
        <v>151</v>
      </c>
      <c r="B488" s="293">
        <f>+B74</f>
        <v>0</v>
      </c>
      <c r="C488" s="292"/>
      <c r="D488" s="292"/>
      <c r="E488" s="112"/>
      <c r="I488"/>
      <c r="J488"/>
      <c r="K488"/>
      <c r="L488"/>
      <c r="M488"/>
      <c r="N488"/>
      <c r="O488"/>
      <c r="P488"/>
      <c r="Q488"/>
    </row>
    <row r="489" spans="1:17" s="9" customFormat="1" ht="12.75">
      <c r="A489" s="112"/>
      <c r="B489" s="288"/>
      <c r="C489" s="287"/>
      <c r="D489" s="287"/>
      <c r="E489" s="112"/>
      <c r="I489"/>
      <c r="J489"/>
      <c r="K489"/>
      <c r="L489"/>
      <c r="M489"/>
      <c r="N489"/>
      <c r="O489"/>
      <c r="P489"/>
      <c r="Q489"/>
    </row>
    <row r="490" spans="1:17" s="9" customFormat="1" ht="12.75">
      <c r="A490" s="109" t="s">
        <v>101</v>
      </c>
      <c r="B490" s="292"/>
      <c r="C490" s="293">
        <f>+D74</f>
        <v>0</v>
      </c>
      <c r="D490" s="292"/>
      <c r="E490" s="112"/>
      <c r="I490"/>
      <c r="J490"/>
      <c r="K490"/>
      <c r="L490"/>
      <c r="M490"/>
      <c r="N490"/>
      <c r="O490"/>
      <c r="P490"/>
      <c r="Q490"/>
    </row>
    <row r="491" spans="1:17" s="9" customFormat="1" ht="12.75">
      <c r="A491" s="112"/>
      <c r="B491" s="287"/>
      <c r="C491" s="288"/>
      <c r="D491" s="287"/>
      <c r="E491" s="112"/>
      <c r="I491"/>
      <c r="J491"/>
      <c r="K491"/>
      <c r="L491"/>
      <c r="M491"/>
      <c r="N491"/>
      <c r="O491"/>
      <c r="P491"/>
      <c r="Q491"/>
    </row>
    <row r="492" spans="1:17" s="9" customFormat="1" ht="12.75">
      <c r="A492" s="109" t="s">
        <v>161</v>
      </c>
      <c r="B492" s="403">
        <f>IF(ISERROR($B486/$B488),0,$B486/$B488)</f>
        <v>0</v>
      </c>
      <c r="C492" s="403"/>
      <c r="D492" s="294"/>
      <c r="E492" s="112"/>
      <c r="I492"/>
      <c r="J492"/>
      <c r="K492"/>
      <c r="L492"/>
      <c r="M492"/>
      <c r="N492"/>
      <c r="O492"/>
      <c r="P492"/>
      <c r="Q492"/>
    </row>
    <row r="493" spans="1:17" s="9" customFormat="1" ht="12.75">
      <c r="A493" s="112"/>
      <c r="B493" s="404"/>
      <c r="C493" s="404"/>
      <c r="D493" s="289"/>
      <c r="E493" s="112"/>
      <c r="I493"/>
      <c r="J493"/>
      <c r="K493"/>
      <c r="L493"/>
      <c r="M493"/>
      <c r="N493"/>
      <c r="O493"/>
      <c r="P493"/>
      <c r="Q493"/>
    </row>
    <row r="494" spans="1:17" s="9" customFormat="1" ht="12.75">
      <c r="A494" s="109" t="s">
        <v>160</v>
      </c>
      <c r="B494" s="405"/>
      <c r="C494" s="406">
        <f>IF(ISERROR($C486/$C490/12),0,$C486/$C490/12)</f>
        <v>0</v>
      </c>
      <c r="D494" s="295"/>
      <c r="E494" s="112"/>
      <c r="I494"/>
      <c r="J494"/>
      <c r="K494"/>
      <c r="L494"/>
      <c r="M494"/>
      <c r="N494"/>
      <c r="O494"/>
      <c r="P494"/>
      <c r="Q494"/>
    </row>
    <row r="495" spans="1:17" s="9" customFormat="1" ht="12.75">
      <c r="A495" s="296"/>
      <c r="B495" s="297"/>
      <c r="C495" s="298"/>
      <c r="D495" s="297"/>
      <c r="E495" s="112"/>
      <c r="I495"/>
      <c r="J495"/>
      <c r="K495"/>
      <c r="L495"/>
      <c r="M495"/>
      <c r="N495"/>
      <c r="O495"/>
      <c r="P495"/>
      <c r="Q495"/>
    </row>
    <row r="496" spans="1:17" s="9" customFormat="1" ht="12.75">
      <c r="A496" s="296"/>
      <c r="B496" s="297"/>
      <c r="C496" s="298"/>
      <c r="D496" s="297"/>
      <c r="E496" s="112"/>
      <c r="I496"/>
      <c r="J496"/>
      <c r="K496"/>
      <c r="L496"/>
      <c r="M496"/>
      <c r="N496"/>
      <c r="O496"/>
      <c r="P496"/>
      <c r="Q496"/>
    </row>
    <row r="497" spans="1:17" s="9" customFormat="1" ht="51.75" thickBot="1">
      <c r="A497" s="132"/>
      <c r="B497" s="283" t="s">
        <v>104</v>
      </c>
      <c r="C497" s="283" t="s">
        <v>188</v>
      </c>
      <c r="D497" s="283" t="s">
        <v>103</v>
      </c>
      <c r="E497" s="112"/>
      <c r="I497"/>
      <c r="J497"/>
      <c r="K497"/>
      <c r="L497"/>
      <c r="M497"/>
      <c r="N497"/>
      <c r="O497"/>
      <c r="P497"/>
      <c r="Q497"/>
    </row>
    <row r="498" spans="1:17" s="9" customFormat="1" ht="15">
      <c r="A498" s="481" t="s">
        <v>216</v>
      </c>
      <c r="B498" s="30"/>
      <c r="C498" s="30"/>
      <c r="E498" s="112"/>
      <c r="I498"/>
      <c r="J498"/>
      <c r="K498"/>
      <c r="L498"/>
      <c r="M498"/>
      <c r="N498"/>
      <c r="O498"/>
      <c r="P498"/>
      <c r="Q498"/>
    </row>
    <row r="499" spans="1:17" s="9" customFormat="1" ht="12.75">
      <c r="A499" s="109" t="s">
        <v>99</v>
      </c>
      <c r="B499" s="290"/>
      <c r="C499" s="290"/>
      <c r="D499" s="407">
        <f>+G75</f>
        <v>3.8426771387605845</v>
      </c>
      <c r="E499" s="112"/>
      <c r="I499"/>
      <c r="J499"/>
      <c r="K499"/>
      <c r="L499"/>
      <c r="M499"/>
      <c r="N499"/>
      <c r="O499"/>
      <c r="P499"/>
      <c r="Q499"/>
    </row>
    <row r="500" spans="1:17" s="9" customFormat="1" ht="12.75">
      <c r="A500" s="112"/>
      <c r="B500" s="284"/>
      <c r="C500" s="284"/>
      <c r="D500" s="285"/>
      <c r="E500" s="112"/>
      <c r="I500"/>
      <c r="J500"/>
      <c r="K500"/>
      <c r="L500"/>
      <c r="M500"/>
      <c r="N500"/>
      <c r="O500"/>
      <c r="P500"/>
      <c r="Q500"/>
    </row>
    <row r="501" spans="1:17" s="9" customFormat="1" ht="12.75">
      <c r="A501" s="109" t="s">
        <v>102</v>
      </c>
      <c r="B501" s="479">
        <v>1</v>
      </c>
      <c r="C501" s="479">
        <f>1-B501</f>
        <v>0</v>
      </c>
      <c r="D501" s="291">
        <f>B501+C501</f>
        <v>1</v>
      </c>
      <c r="E501" s="112"/>
      <c r="I501"/>
      <c r="J501"/>
      <c r="K501"/>
      <c r="L501"/>
      <c r="M501"/>
      <c r="N501"/>
      <c r="O501"/>
      <c r="P501"/>
      <c r="Q501"/>
    </row>
    <row r="502" spans="1:17" s="9" customFormat="1" ht="12.75">
      <c r="A502" s="112"/>
      <c r="B502" s="286"/>
      <c r="C502" s="286"/>
      <c r="D502" s="286"/>
      <c r="E502" s="112"/>
      <c r="I502"/>
      <c r="J502"/>
      <c r="K502"/>
      <c r="L502"/>
      <c r="M502"/>
      <c r="N502"/>
      <c r="O502"/>
      <c r="P502"/>
      <c r="Q502"/>
    </row>
    <row r="503" spans="1:17" s="9" customFormat="1" ht="12.75">
      <c r="A503" s="109" t="s">
        <v>105</v>
      </c>
      <c r="B503" s="402">
        <f>$B501*$D499</f>
        <v>3.8426771387605845</v>
      </c>
      <c r="C503" s="402">
        <f>C501*D499</f>
        <v>0</v>
      </c>
      <c r="D503" s="402">
        <f>SUM(B503:C503)</f>
        <v>3.8426771387605845</v>
      </c>
      <c r="E503" s="112"/>
      <c r="I503"/>
      <c r="J503"/>
      <c r="K503"/>
      <c r="L503"/>
      <c r="M503"/>
      <c r="N503"/>
      <c r="O503"/>
      <c r="P503"/>
      <c r="Q503"/>
    </row>
    <row r="504" spans="1:17" s="9" customFormat="1" ht="12.75">
      <c r="A504" s="112"/>
      <c r="B504" s="287"/>
      <c r="C504" s="287"/>
      <c r="D504" s="287"/>
      <c r="E504" s="112"/>
      <c r="I504"/>
      <c r="J504"/>
      <c r="K504"/>
      <c r="L504"/>
      <c r="M504"/>
      <c r="N504"/>
      <c r="O504"/>
      <c r="P504"/>
      <c r="Q504"/>
    </row>
    <row r="505" spans="1:17" s="9" customFormat="1" ht="12.75">
      <c r="A505" s="109" t="s">
        <v>151</v>
      </c>
      <c r="B505" s="293">
        <f>+B75</f>
        <v>9</v>
      </c>
      <c r="C505" s="292"/>
      <c r="D505" s="292"/>
      <c r="E505" s="112"/>
      <c r="I505"/>
      <c r="J505"/>
      <c r="K505"/>
      <c r="L505"/>
      <c r="M505"/>
      <c r="N505"/>
      <c r="O505"/>
      <c r="P505"/>
      <c r="Q505"/>
    </row>
    <row r="506" spans="1:17" s="9" customFormat="1" ht="12.75">
      <c r="A506" s="112"/>
      <c r="B506" s="288"/>
      <c r="C506" s="287"/>
      <c r="D506" s="287"/>
      <c r="E506" s="112"/>
      <c r="I506"/>
      <c r="J506"/>
      <c r="K506"/>
      <c r="L506"/>
      <c r="M506"/>
      <c r="N506"/>
      <c r="O506"/>
      <c r="P506"/>
      <c r="Q506"/>
    </row>
    <row r="507" spans="1:17" s="9" customFormat="1" ht="12.75">
      <c r="A507" s="109" t="s">
        <v>101</v>
      </c>
      <c r="B507" s="292"/>
      <c r="C507" s="293">
        <f>+D75</f>
        <v>4</v>
      </c>
      <c r="D507" s="292"/>
      <c r="E507" s="112"/>
      <c r="I507"/>
      <c r="J507"/>
      <c r="K507"/>
      <c r="L507"/>
      <c r="M507"/>
      <c r="N507"/>
      <c r="O507"/>
      <c r="P507"/>
      <c r="Q507"/>
    </row>
    <row r="508" spans="1:17" s="9" customFormat="1" ht="12.75">
      <c r="A508" s="112"/>
      <c r="B508" s="287"/>
      <c r="C508" s="288"/>
      <c r="D508" s="287"/>
      <c r="E508" s="112"/>
      <c r="I508"/>
      <c r="J508"/>
      <c r="K508"/>
      <c r="L508"/>
      <c r="M508"/>
      <c r="N508"/>
      <c r="O508"/>
      <c r="P508"/>
      <c r="Q508"/>
    </row>
    <row r="509" spans="1:17" s="9" customFormat="1" ht="12.75">
      <c r="A509" s="109" t="s">
        <v>161</v>
      </c>
      <c r="B509" s="403">
        <f>IF(ISERROR($B503/$B505),0,$B503/$B505)</f>
        <v>0.4269641265289538</v>
      </c>
      <c r="C509" s="403"/>
      <c r="D509" s="294"/>
      <c r="E509" s="112"/>
      <c r="I509"/>
      <c r="J509"/>
      <c r="K509"/>
      <c r="L509"/>
      <c r="M509"/>
      <c r="N509"/>
      <c r="O509"/>
      <c r="P509"/>
      <c r="Q509"/>
    </row>
    <row r="510" spans="1:17" s="9" customFormat="1" ht="12.75">
      <c r="A510" s="112"/>
      <c r="B510" s="404"/>
      <c r="C510" s="404"/>
      <c r="D510" s="289"/>
      <c r="E510" s="112"/>
      <c r="I510"/>
      <c r="J510"/>
      <c r="K510"/>
      <c r="L510"/>
      <c r="M510"/>
      <c r="N510"/>
      <c r="O510"/>
      <c r="P510"/>
      <c r="Q510"/>
    </row>
    <row r="511" spans="1:17" s="9" customFormat="1" ht="12.75">
      <c r="A511" s="109" t="s">
        <v>160</v>
      </c>
      <c r="B511" s="405"/>
      <c r="C511" s="406">
        <f>IF(ISERROR($C503/$C507/12),0,$C503/$C507/12)</f>
        <v>0</v>
      </c>
      <c r="D511" s="295"/>
      <c r="E511" s="112"/>
      <c r="I511"/>
      <c r="J511"/>
      <c r="K511"/>
      <c r="L511"/>
      <c r="M511"/>
      <c r="N511"/>
      <c r="O511"/>
      <c r="P511"/>
      <c r="Q511"/>
    </row>
    <row r="512" spans="1:17" s="9" customFormat="1" ht="12.75">
      <c r="A512" s="296"/>
      <c r="B512" s="297"/>
      <c r="C512" s="298"/>
      <c r="D512" s="297"/>
      <c r="E512" s="112"/>
      <c r="I512"/>
      <c r="J512"/>
      <c r="K512"/>
      <c r="L512"/>
      <c r="M512"/>
      <c r="N512"/>
      <c r="O512"/>
      <c r="P512"/>
      <c r="Q512"/>
    </row>
    <row r="513" spans="1:17" s="9" customFormat="1" ht="12.75">
      <c r="A513" s="296"/>
      <c r="B513" s="297"/>
      <c r="C513" s="298"/>
      <c r="D513" s="297"/>
      <c r="E513" s="112"/>
      <c r="I513"/>
      <c r="J513"/>
      <c r="K513"/>
      <c r="L513"/>
      <c r="M513"/>
      <c r="N513"/>
      <c r="O513"/>
      <c r="P513"/>
      <c r="Q513"/>
    </row>
    <row r="514" spans="1:17" s="9" customFormat="1" ht="51.75" thickBot="1">
      <c r="A514" s="132"/>
      <c r="B514" s="283" t="s">
        <v>104</v>
      </c>
      <c r="C514" s="283" t="s">
        <v>188</v>
      </c>
      <c r="D514" s="283" t="s">
        <v>103</v>
      </c>
      <c r="E514" s="112"/>
      <c r="I514"/>
      <c r="J514"/>
      <c r="K514"/>
      <c r="L514"/>
      <c r="M514"/>
      <c r="N514"/>
      <c r="O514"/>
      <c r="P514"/>
      <c r="Q514"/>
    </row>
    <row r="515" spans="1:17" s="9" customFormat="1" ht="15">
      <c r="A515" s="481" t="s">
        <v>217</v>
      </c>
      <c r="B515" s="30"/>
      <c r="C515" s="30"/>
      <c r="E515" s="112"/>
      <c r="I515"/>
      <c r="J515"/>
      <c r="K515"/>
      <c r="L515"/>
      <c r="M515"/>
      <c r="N515"/>
      <c r="O515"/>
      <c r="P515"/>
      <c r="Q515"/>
    </row>
    <row r="516" spans="1:17" s="9" customFormat="1" ht="12.75">
      <c r="A516" s="109" t="s">
        <v>99</v>
      </c>
      <c r="B516" s="290"/>
      <c r="C516" s="290"/>
      <c r="D516" s="407">
        <f>+G76</f>
        <v>99.75589852222478</v>
      </c>
      <c r="E516" s="112"/>
      <c r="I516"/>
      <c r="J516"/>
      <c r="K516"/>
      <c r="L516"/>
      <c r="M516"/>
      <c r="N516"/>
      <c r="O516"/>
      <c r="P516"/>
      <c r="Q516"/>
    </row>
    <row r="517" spans="1:17" s="9" customFormat="1" ht="12.75">
      <c r="A517" s="112"/>
      <c r="B517" s="284"/>
      <c r="C517" s="284"/>
      <c r="D517" s="285"/>
      <c r="E517" s="112"/>
      <c r="I517"/>
      <c r="J517"/>
      <c r="K517"/>
      <c r="L517"/>
      <c r="M517"/>
      <c r="N517"/>
      <c r="O517"/>
      <c r="P517"/>
      <c r="Q517"/>
    </row>
    <row r="518" spans="1:17" s="9" customFormat="1" ht="12.75">
      <c r="A518" s="109" t="s">
        <v>102</v>
      </c>
      <c r="B518" s="479">
        <v>1</v>
      </c>
      <c r="C518" s="479">
        <f>1-B518</f>
        <v>0</v>
      </c>
      <c r="D518" s="291">
        <f>B518+C518</f>
        <v>1</v>
      </c>
      <c r="E518" s="112"/>
      <c r="I518"/>
      <c r="J518"/>
      <c r="K518"/>
      <c r="L518"/>
      <c r="M518"/>
      <c r="N518"/>
      <c r="O518"/>
      <c r="P518"/>
      <c r="Q518"/>
    </row>
    <row r="519" spans="1:17" s="9" customFormat="1" ht="12.75">
      <c r="A519" s="112"/>
      <c r="B519" s="286"/>
      <c r="C519" s="286"/>
      <c r="D519" s="286"/>
      <c r="E519" s="112"/>
      <c r="I519"/>
      <c r="J519"/>
      <c r="K519"/>
      <c r="L519"/>
      <c r="M519"/>
      <c r="N519"/>
      <c r="O519"/>
      <c r="P519"/>
      <c r="Q519"/>
    </row>
    <row r="520" spans="1:17" s="9" customFormat="1" ht="12.75">
      <c r="A520" s="109" t="s">
        <v>105</v>
      </c>
      <c r="B520" s="402">
        <f>$B518*$D516</f>
        <v>99.75589852222478</v>
      </c>
      <c r="C520" s="402">
        <f>C518*D516</f>
        <v>0</v>
      </c>
      <c r="D520" s="402">
        <f>SUM(B520:C520)</f>
        <v>99.75589852222478</v>
      </c>
      <c r="E520" s="112"/>
      <c r="I520"/>
      <c r="J520"/>
      <c r="K520"/>
      <c r="L520"/>
      <c r="M520"/>
      <c r="N520"/>
      <c r="O520"/>
      <c r="P520"/>
      <c r="Q520"/>
    </row>
    <row r="521" spans="1:17" s="9" customFormat="1" ht="12.75">
      <c r="A521" s="112"/>
      <c r="B521" s="287"/>
      <c r="C521" s="287"/>
      <c r="D521" s="287"/>
      <c r="E521" s="112"/>
      <c r="I521"/>
      <c r="J521"/>
      <c r="K521"/>
      <c r="L521"/>
      <c r="M521"/>
      <c r="N521"/>
      <c r="O521"/>
      <c r="P521"/>
      <c r="Q521"/>
    </row>
    <row r="522" spans="1:17" s="9" customFormat="1" ht="12.75">
      <c r="A522" s="109" t="s">
        <v>151</v>
      </c>
      <c r="B522" s="293">
        <f>+B76</f>
        <v>62</v>
      </c>
      <c r="C522" s="292"/>
      <c r="D522" s="292"/>
      <c r="E522" s="112"/>
      <c r="I522"/>
      <c r="J522"/>
      <c r="K522"/>
      <c r="L522"/>
      <c r="M522"/>
      <c r="N522"/>
      <c r="O522"/>
      <c r="P522"/>
      <c r="Q522"/>
    </row>
    <row r="523" spans="1:17" s="9" customFormat="1" ht="12.75">
      <c r="A523" s="112"/>
      <c r="B523" s="288"/>
      <c r="C523" s="287"/>
      <c r="D523" s="287"/>
      <c r="E523" s="112"/>
      <c r="I523"/>
      <c r="J523"/>
      <c r="K523"/>
      <c r="L523"/>
      <c r="M523"/>
      <c r="N523"/>
      <c r="O523"/>
      <c r="P523"/>
      <c r="Q523"/>
    </row>
    <row r="524" spans="1:17" s="9" customFormat="1" ht="12.75">
      <c r="A524" s="109" t="s">
        <v>101</v>
      </c>
      <c r="B524" s="292"/>
      <c r="C524" s="293">
        <f>+D76</f>
        <v>20</v>
      </c>
      <c r="D524" s="292"/>
      <c r="E524" s="112"/>
      <c r="I524"/>
      <c r="J524"/>
      <c r="K524"/>
      <c r="L524"/>
      <c r="M524"/>
      <c r="N524"/>
      <c r="O524"/>
      <c r="P524"/>
      <c r="Q524"/>
    </row>
    <row r="525" spans="1:17" s="9" customFormat="1" ht="12.75">
      <c r="A525" s="112"/>
      <c r="B525" s="287"/>
      <c r="C525" s="288"/>
      <c r="D525" s="287"/>
      <c r="E525" s="112"/>
      <c r="I525"/>
      <c r="J525"/>
      <c r="K525"/>
      <c r="L525"/>
      <c r="M525"/>
      <c r="N525"/>
      <c r="O525"/>
      <c r="P525"/>
      <c r="Q525"/>
    </row>
    <row r="526" spans="1:17" s="9" customFormat="1" ht="12.75">
      <c r="A526" s="109" t="s">
        <v>161</v>
      </c>
      <c r="B526" s="403">
        <f>IF(ISERROR($B520/$B522),0,$B520/$B522)</f>
        <v>1.608966105197174</v>
      </c>
      <c r="C526" s="403"/>
      <c r="D526" s="294"/>
      <c r="E526" s="112"/>
      <c r="I526"/>
      <c r="J526"/>
      <c r="K526"/>
      <c r="L526"/>
      <c r="M526"/>
      <c r="N526"/>
      <c r="O526"/>
      <c r="P526"/>
      <c r="Q526"/>
    </row>
    <row r="527" spans="1:17" s="9" customFormat="1" ht="12.75">
      <c r="A527" s="112"/>
      <c r="B527" s="404"/>
      <c r="C527" s="404"/>
      <c r="D527" s="289"/>
      <c r="E527" s="112"/>
      <c r="I527"/>
      <c r="J527"/>
      <c r="K527"/>
      <c r="L527"/>
      <c r="M527"/>
      <c r="N527"/>
      <c r="O527"/>
      <c r="P527"/>
      <c r="Q527"/>
    </row>
    <row r="528" spans="1:17" s="9" customFormat="1" ht="12.75">
      <c r="A528" s="109" t="s">
        <v>160</v>
      </c>
      <c r="B528" s="405"/>
      <c r="C528" s="406">
        <f>IF(ISERROR($C520/$C524/12),0,$C520/$C524/12)</f>
        <v>0</v>
      </c>
      <c r="D528" s="295"/>
      <c r="E528" s="112"/>
      <c r="I528"/>
      <c r="J528"/>
      <c r="K528"/>
      <c r="L528"/>
      <c r="M528"/>
      <c r="N528"/>
      <c r="O528"/>
      <c r="P528"/>
      <c r="Q528"/>
    </row>
    <row r="529" spans="1:17" s="9" customFormat="1" ht="12.75">
      <c r="A529" s="296"/>
      <c r="B529" s="297"/>
      <c r="C529" s="298"/>
      <c r="D529" s="297"/>
      <c r="E529" s="112"/>
      <c r="I529"/>
      <c r="J529"/>
      <c r="K529"/>
      <c r="L529"/>
      <c r="M529"/>
      <c r="N529"/>
      <c r="O529"/>
      <c r="P529"/>
      <c r="Q529"/>
    </row>
    <row r="530" spans="1:17" s="9" customFormat="1" ht="12.75">
      <c r="A530" s="296"/>
      <c r="B530" s="297"/>
      <c r="C530" s="298"/>
      <c r="D530" s="297"/>
      <c r="E530" s="112"/>
      <c r="I530"/>
      <c r="J530"/>
      <c r="K530"/>
      <c r="L530"/>
      <c r="M530"/>
      <c r="N530"/>
      <c r="O530"/>
      <c r="P530"/>
      <c r="Q530"/>
    </row>
    <row r="531" spans="1:17" s="9" customFormat="1" ht="51.75" thickBot="1">
      <c r="A531" s="132"/>
      <c r="B531" s="283" t="s">
        <v>104</v>
      </c>
      <c r="C531" s="283" t="s">
        <v>188</v>
      </c>
      <c r="D531" s="283" t="s">
        <v>103</v>
      </c>
      <c r="E531" s="112"/>
      <c r="I531"/>
      <c r="J531"/>
      <c r="K531"/>
      <c r="L531"/>
      <c r="M531"/>
      <c r="N531"/>
      <c r="O531"/>
      <c r="P531"/>
      <c r="Q531"/>
    </row>
    <row r="532" spans="1:17" s="9" customFormat="1" ht="15">
      <c r="A532" s="481" t="s">
        <v>218</v>
      </c>
      <c r="B532" s="30"/>
      <c r="C532" s="30"/>
      <c r="E532" s="112"/>
      <c r="I532"/>
      <c r="J532"/>
      <c r="K532"/>
      <c r="L532"/>
      <c r="M532"/>
      <c r="N532"/>
      <c r="O532"/>
      <c r="P532"/>
      <c r="Q532"/>
    </row>
    <row r="533" spans="1:17" s="9" customFormat="1" ht="12.75">
      <c r="A533" s="109" t="s">
        <v>99</v>
      </c>
      <c r="B533" s="290"/>
      <c r="C533" s="290"/>
      <c r="D533" s="407">
        <f>+G77</f>
        <v>144.17724624629713</v>
      </c>
      <c r="E533" s="112"/>
      <c r="I533"/>
      <c r="J533"/>
      <c r="K533"/>
      <c r="L533"/>
      <c r="M533"/>
      <c r="N533"/>
      <c r="O533"/>
      <c r="P533"/>
      <c r="Q533"/>
    </row>
    <row r="534" spans="1:17" s="9" customFormat="1" ht="12.75">
      <c r="A534" s="112"/>
      <c r="B534" s="284"/>
      <c r="C534" s="284"/>
      <c r="D534" s="285"/>
      <c r="E534" s="112"/>
      <c r="I534"/>
      <c r="J534"/>
      <c r="K534"/>
      <c r="L534"/>
      <c r="M534"/>
      <c r="N534"/>
      <c r="O534"/>
      <c r="P534"/>
      <c r="Q534"/>
    </row>
    <row r="535" spans="1:17" s="9" customFormat="1" ht="12.75">
      <c r="A535" s="109" t="s">
        <v>102</v>
      </c>
      <c r="B535" s="479">
        <v>1</v>
      </c>
      <c r="C535" s="479">
        <f>1-B535</f>
        <v>0</v>
      </c>
      <c r="D535" s="291">
        <f>B535+C535</f>
        <v>1</v>
      </c>
      <c r="E535" s="112"/>
      <c r="I535"/>
      <c r="J535"/>
      <c r="K535"/>
      <c r="L535"/>
      <c r="M535"/>
      <c r="N535"/>
      <c r="O535"/>
      <c r="P535"/>
      <c r="Q535"/>
    </row>
    <row r="536" spans="1:17" s="9" customFormat="1" ht="12.75">
      <c r="A536" s="112"/>
      <c r="B536" s="286"/>
      <c r="C536" s="286"/>
      <c r="D536" s="286"/>
      <c r="E536" s="112"/>
      <c r="I536"/>
      <c r="J536"/>
      <c r="K536"/>
      <c r="L536"/>
      <c r="M536"/>
      <c r="N536"/>
      <c r="O536"/>
      <c r="P536"/>
      <c r="Q536"/>
    </row>
    <row r="537" spans="1:17" s="9" customFormat="1" ht="12.75">
      <c r="A537" s="109" t="s">
        <v>105</v>
      </c>
      <c r="B537" s="402">
        <f>$B535*$D533</f>
        <v>144.17724624629713</v>
      </c>
      <c r="C537" s="402">
        <f>C535*D533</f>
        <v>0</v>
      </c>
      <c r="D537" s="402">
        <f>SUM(B537:C537)</f>
        <v>144.17724624629713</v>
      </c>
      <c r="E537" s="112"/>
      <c r="I537"/>
      <c r="J537"/>
      <c r="K537"/>
      <c r="L537"/>
      <c r="M537"/>
      <c r="N537"/>
      <c r="O537"/>
      <c r="P537"/>
      <c r="Q537"/>
    </row>
    <row r="538" spans="1:17" s="9" customFormat="1" ht="12.75">
      <c r="A538" s="112"/>
      <c r="B538" s="287"/>
      <c r="C538" s="287"/>
      <c r="D538" s="287"/>
      <c r="E538" s="112"/>
      <c r="I538"/>
      <c r="J538"/>
      <c r="K538"/>
      <c r="L538"/>
      <c r="M538"/>
      <c r="N538"/>
      <c r="O538"/>
      <c r="P538"/>
      <c r="Q538"/>
    </row>
    <row r="539" spans="1:17" s="9" customFormat="1" ht="12.75">
      <c r="A539" s="109" t="s">
        <v>151</v>
      </c>
      <c r="B539" s="293">
        <f>+B77</f>
        <v>59</v>
      </c>
      <c r="C539" s="292"/>
      <c r="D539" s="292"/>
      <c r="E539" s="112"/>
      <c r="I539"/>
      <c r="J539"/>
      <c r="K539"/>
      <c r="L539"/>
      <c r="M539"/>
      <c r="N539"/>
      <c r="O539"/>
      <c r="P539"/>
      <c r="Q539"/>
    </row>
    <row r="540" spans="1:17" s="9" customFormat="1" ht="12.75">
      <c r="A540" s="112"/>
      <c r="B540" s="288"/>
      <c r="C540" s="287"/>
      <c r="D540" s="287"/>
      <c r="E540" s="112"/>
      <c r="I540"/>
      <c r="J540"/>
      <c r="K540"/>
      <c r="L540"/>
      <c r="M540"/>
      <c r="N540"/>
      <c r="O540"/>
      <c r="P540"/>
      <c r="Q540"/>
    </row>
    <row r="541" spans="1:17" s="9" customFormat="1" ht="12.75">
      <c r="A541" s="109" t="s">
        <v>101</v>
      </c>
      <c r="B541" s="292"/>
      <c r="C541" s="293">
        <f>+D77</f>
        <v>16</v>
      </c>
      <c r="D541" s="292"/>
      <c r="E541" s="112"/>
      <c r="I541"/>
      <c r="J541"/>
      <c r="K541"/>
      <c r="L541"/>
      <c r="M541"/>
      <c r="N541"/>
      <c r="O541"/>
      <c r="P541"/>
      <c r="Q541"/>
    </row>
    <row r="542" spans="1:17" s="9" customFormat="1" ht="12.75">
      <c r="A542" s="112"/>
      <c r="B542" s="287"/>
      <c r="C542" s="288"/>
      <c r="D542" s="287"/>
      <c r="E542" s="112"/>
      <c r="I542"/>
      <c r="J542"/>
      <c r="K542"/>
      <c r="L542"/>
      <c r="M542"/>
      <c r="N542"/>
      <c r="O542"/>
      <c r="P542"/>
      <c r="Q542"/>
    </row>
    <row r="543" spans="1:17" s="9" customFormat="1" ht="12.75">
      <c r="A543" s="109" t="s">
        <v>161</v>
      </c>
      <c r="B543" s="403">
        <f>IF(ISERROR($B537/$B539),0,$B537/$B539)</f>
        <v>2.443682139767748</v>
      </c>
      <c r="C543" s="403"/>
      <c r="D543" s="294"/>
      <c r="E543" s="112"/>
      <c r="I543"/>
      <c r="J543"/>
      <c r="K543"/>
      <c r="L543"/>
      <c r="M543"/>
      <c r="N543"/>
      <c r="O543"/>
      <c r="P543"/>
      <c r="Q543"/>
    </row>
    <row r="544" spans="1:17" s="9" customFormat="1" ht="12.75">
      <c r="A544" s="112"/>
      <c r="B544" s="404"/>
      <c r="C544" s="404"/>
      <c r="D544" s="289"/>
      <c r="E544" s="112"/>
      <c r="I544"/>
      <c r="J544"/>
      <c r="K544"/>
      <c r="L544"/>
      <c r="M544"/>
      <c r="N544"/>
      <c r="O544"/>
      <c r="P544"/>
      <c r="Q544"/>
    </row>
    <row r="545" spans="1:17" s="9" customFormat="1" ht="12.75">
      <c r="A545" s="109" t="s">
        <v>160</v>
      </c>
      <c r="B545" s="405"/>
      <c r="C545" s="406">
        <f>IF(ISERROR($C537/$C541/12),0,$C537/$C541/12)</f>
        <v>0</v>
      </c>
      <c r="D545" s="295"/>
      <c r="E545" s="112"/>
      <c r="I545"/>
      <c r="J545"/>
      <c r="K545"/>
      <c r="L545"/>
      <c r="M545"/>
      <c r="N545"/>
      <c r="O545"/>
      <c r="P545"/>
      <c r="Q545"/>
    </row>
    <row r="546" spans="1:17" s="9" customFormat="1" ht="12.75">
      <c r="A546" s="296"/>
      <c r="B546" s="297"/>
      <c r="C546" s="298"/>
      <c r="D546" s="297"/>
      <c r="E546" s="112"/>
      <c r="I546"/>
      <c r="J546"/>
      <c r="K546"/>
      <c r="L546"/>
      <c r="M546"/>
      <c r="N546"/>
      <c r="O546"/>
      <c r="P546"/>
      <c r="Q546"/>
    </row>
    <row r="547" spans="1:17" s="9" customFormat="1" ht="12.75">
      <c r="A547" s="296"/>
      <c r="B547" s="297"/>
      <c r="C547" s="298"/>
      <c r="D547" s="297"/>
      <c r="E547" s="112"/>
      <c r="I547"/>
      <c r="J547"/>
      <c r="K547"/>
      <c r="L547"/>
      <c r="M547"/>
      <c r="N547"/>
      <c r="O547"/>
      <c r="P547"/>
      <c r="Q547"/>
    </row>
    <row r="548" spans="1:17" s="9" customFormat="1" ht="51.75" thickBot="1">
      <c r="A548" s="132"/>
      <c r="B548" s="283" t="s">
        <v>104</v>
      </c>
      <c r="C548" s="283" t="s">
        <v>188</v>
      </c>
      <c r="D548" s="283" t="s">
        <v>103</v>
      </c>
      <c r="E548" s="112"/>
      <c r="I548"/>
      <c r="J548"/>
      <c r="K548"/>
      <c r="L548"/>
      <c r="M548"/>
      <c r="N548"/>
      <c r="O548"/>
      <c r="P548"/>
      <c r="Q548"/>
    </row>
    <row r="549" spans="1:17" s="9" customFormat="1" ht="15">
      <c r="A549" s="481" t="s">
        <v>219</v>
      </c>
      <c r="B549" s="30"/>
      <c r="C549" s="30"/>
      <c r="E549" s="112"/>
      <c r="I549"/>
      <c r="J549"/>
      <c r="K549"/>
      <c r="L549"/>
      <c r="M549"/>
      <c r="N549"/>
      <c r="O549"/>
      <c r="P549"/>
      <c r="Q549"/>
    </row>
    <row r="550" spans="1:17" s="9" customFormat="1" ht="12.75">
      <c r="A550" s="109" t="s">
        <v>99</v>
      </c>
      <c r="B550" s="290"/>
      <c r="C550" s="290"/>
      <c r="D550" s="407">
        <f>+G78</f>
        <v>264.52989423227865</v>
      </c>
      <c r="E550" s="112"/>
      <c r="I550"/>
      <c r="J550"/>
      <c r="K550"/>
      <c r="L550"/>
      <c r="M550"/>
      <c r="N550"/>
      <c r="O550"/>
      <c r="P550"/>
      <c r="Q550"/>
    </row>
    <row r="551" spans="1:17" s="9" customFormat="1" ht="12.75">
      <c r="A551" s="112"/>
      <c r="B551" s="284"/>
      <c r="C551" s="284"/>
      <c r="D551" s="285"/>
      <c r="E551" s="112"/>
      <c r="I551"/>
      <c r="J551"/>
      <c r="K551"/>
      <c r="L551"/>
      <c r="M551"/>
      <c r="N551"/>
      <c r="O551"/>
      <c r="P551"/>
      <c r="Q551"/>
    </row>
    <row r="552" spans="1:17" s="9" customFormat="1" ht="12.75">
      <c r="A552" s="109" t="s">
        <v>102</v>
      </c>
      <c r="B552" s="479">
        <v>1</v>
      </c>
      <c r="C552" s="479">
        <f>1-B552</f>
        <v>0</v>
      </c>
      <c r="D552" s="291">
        <f>B552+C552</f>
        <v>1</v>
      </c>
      <c r="E552" s="112"/>
      <c r="I552"/>
      <c r="J552"/>
      <c r="K552"/>
      <c r="L552"/>
      <c r="M552"/>
      <c r="N552"/>
      <c r="O552"/>
      <c r="P552"/>
      <c r="Q552"/>
    </row>
    <row r="553" spans="1:17" s="9" customFormat="1" ht="12.75">
      <c r="A553" s="112"/>
      <c r="B553" s="286"/>
      <c r="C553" s="286"/>
      <c r="D553" s="286"/>
      <c r="E553" s="112"/>
      <c r="I553"/>
      <c r="J553"/>
      <c r="K553"/>
      <c r="L553"/>
      <c r="M553"/>
      <c r="N553"/>
      <c r="O553"/>
      <c r="P553"/>
      <c r="Q553"/>
    </row>
    <row r="554" spans="1:17" s="9" customFormat="1" ht="12.75">
      <c r="A554" s="109" t="s">
        <v>105</v>
      </c>
      <c r="B554" s="402">
        <f>$B552*$D550</f>
        <v>264.52989423227865</v>
      </c>
      <c r="C554" s="402">
        <f>C552*D550</f>
        <v>0</v>
      </c>
      <c r="D554" s="402">
        <f>SUM(B554:C554)</f>
        <v>264.52989423227865</v>
      </c>
      <c r="E554" s="112"/>
      <c r="I554"/>
      <c r="J554"/>
      <c r="K554"/>
      <c r="L554"/>
      <c r="M554"/>
      <c r="N554"/>
      <c r="O554"/>
      <c r="P554"/>
      <c r="Q554"/>
    </row>
    <row r="555" spans="1:17" s="9" customFormat="1" ht="12.75">
      <c r="A555" s="112"/>
      <c r="B555" s="287"/>
      <c r="C555" s="287"/>
      <c r="D555" s="287"/>
      <c r="E555" s="112"/>
      <c r="I555"/>
      <c r="J555"/>
      <c r="K555"/>
      <c r="L555"/>
      <c r="M555"/>
      <c r="N555"/>
      <c r="O555"/>
      <c r="P555"/>
      <c r="Q555"/>
    </row>
    <row r="556" spans="1:17" s="9" customFormat="1" ht="12.75">
      <c r="A556" s="109" t="s">
        <v>151</v>
      </c>
      <c r="B556" s="293">
        <f>+B78</f>
        <v>141</v>
      </c>
      <c r="C556" s="292"/>
      <c r="D556" s="292"/>
      <c r="E556" s="112"/>
      <c r="I556"/>
      <c r="J556"/>
      <c r="K556"/>
      <c r="L556"/>
      <c r="M556"/>
      <c r="N556"/>
      <c r="O556"/>
      <c r="P556"/>
      <c r="Q556"/>
    </row>
    <row r="557" spans="1:17" s="9" customFormat="1" ht="12.75">
      <c r="A557" s="112"/>
      <c r="B557" s="288"/>
      <c r="C557" s="287"/>
      <c r="D557" s="287"/>
      <c r="E557" s="112"/>
      <c r="I557"/>
      <c r="J557"/>
      <c r="K557"/>
      <c r="L557"/>
      <c r="M557"/>
      <c r="N557"/>
      <c r="O557"/>
      <c r="P557"/>
      <c r="Q557"/>
    </row>
    <row r="558" spans="1:17" s="9" customFormat="1" ht="12.75">
      <c r="A558" s="109" t="s">
        <v>101</v>
      </c>
      <c r="B558" s="292"/>
      <c r="C558" s="293">
        <f>+D78</f>
        <v>32</v>
      </c>
      <c r="D558" s="292"/>
      <c r="E558" s="112"/>
      <c r="I558"/>
      <c r="J558"/>
      <c r="K558"/>
      <c r="L558"/>
      <c r="M558"/>
      <c r="N558"/>
      <c r="O558"/>
      <c r="P558"/>
      <c r="Q558"/>
    </row>
    <row r="559" spans="1:17" s="9" customFormat="1" ht="12.75">
      <c r="A559" s="112"/>
      <c r="B559" s="287"/>
      <c r="C559" s="288"/>
      <c r="D559" s="287"/>
      <c r="E559" s="112"/>
      <c r="I559"/>
      <c r="J559"/>
      <c r="K559"/>
      <c r="L559"/>
      <c r="M559"/>
      <c r="N559"/>
      <c r="O559"/>
      <c r="P559"/>
      <c r="Q559"/>
    </row>
    <row r="560" spans="1:17" s="9" customFormat="1" ht="12.75">
      <c r="A560" s="109" t="s">
        <v>161</v>
      </c>
      <c r="B560" s="403">
        <f>IF(ISERROR($B554/$B556),0,$B554/$B556)</f>
        <v>1.8760985406544586</v>
      </c>
      <c r="C560" s="403"/>
      <c r="D560" s="294"/>
      <c r="E560" s="112"/>
      <c r="I560"/>
      <c r="J560"/>
      <c r="K560"/>
      <c r="L560"/>
      <c r="M560"/>
      <c r="N560"/>
      <c r="O560"/>
      <c r="P560"/>
      <c r="Q560"/>
    </row>
    <row r="561" spans="1:17" s="9" customFormat="1" ht="12.75">
      <c r="A561" s="112"/>
      <c r="B561" s="404"/>
      <c r="C561" s="404"/>
      <c r="D561" s="289"/>
      <c r="E561" s="112"/>
      <c r="I561"/>
      <c r="J561"/>
      <c r="K561"/>
      <c r="L561"/>
      <c r="M561"/>
      <c r="N561"/>
      <c r="O561"/>
      <c r="P561"/>
      <c r="Q561"/>
    </row>
    <row r="562" spans="1:17" s="9" customFormat="1" ht="12.75">
      <c r="A562" s="109" t="s">
        <v>160</v>
      </c>
      <c r="B562" s="405"/>
      <c r="C562" s="406">
        <f>IF(ISERROR($C554/$C558/12),0,$C554/$C558/12)</f>
        <v>0</v>
      </c>
      <c r="D562" s="295"/>
      <c r="E562" s="112"/>
      <c r="I562"/>
      <c r="J562"/>
      <c r="K562"/>
      <c r="L562"/>
      <c r="M562"/>
      <c r="N562"/>
      <c r="O562"/>
      <c r="P562"/>
      <c r="Q562"/>
    </row>
    <row r="563" spans="1:17" s="9" customFormat="1" ht="12.75">
      <c r="A563" s="296"/>
      <c r="B563" s="297"/>
      <c r="C563" s="298"/>
      <c r="D563" s="297"/>
      <c r="E563" s="112"/>
      <c r="I563"/>
      <c r="J563"/>
      <c r="K563"/>
      <c r="L563"/>
      <c r="M563"/>
      <c r="N563"/>
      <c r="O563"/>
      <c r="P563"/>
      <c r="Q563"/>
    </row>
    <row r="564" spans="1:17" s="9" customFormat="1" ht="12.75">
      <c r="A564" s="296"/>
      <c r="B564" s="297"/>
      <c r="C564" s="298"/>
      <c r="D564" s="297"/>
      <c r="E564" s="112"/>
      <c r="I564"/>
      <c r="J564"/>
      <c r="K564"/>
      <c r="L564"/>
      <c r="M564"/>
      <c r="N564"/>
      <c r="O564"/>
      <c r="P564"/>
      <c r="Q564"/>
    </row>
    <row r="565" spans="1:17" s="9" customFormat="1" ht="51.75" thickBot="1">
      <c r="A565" s="132"/>
      <c r="B565" s="283" t="s">
        <v>104</v>
      </c>
      <c r="C565" s="283" t="s">
        <v>188</v>
      </c>
      <c r="D565" s="283" t="s">
        <v>103</v>
      </c>
      <c r="E565" s="112"/>
      <c r="I565"/>
      <c r="J565"/>
      <c r="K565"/>
      <c r="L565"/>
      <c r="M565"/>
      <c r="N565"/>
      <c r="O565"/>
      <c r="P565"/>
      <c r="Q565"/>
    </row>
    <row r="566" spans="1:17" s="9" customFormat="1" ht="15">
      <c r="A566" s="481" t="s">
        <v>220</v>
      </c>
      <c r="B566" s="30"/>
      <c r="C566" s="30"/>
      <c r="E566" s="112"/>
      <c r="I566"/>
      <c r="J566"/>
      <c r="K566"/>
      <c r="L566"/>
      <c r="M566"/>
      <c r="N566"/>
      <c r="O566"/>
      <c r="P566"/>
      <c r="Q566"/>
    </row>
    <row r="567" spans="1:17" s="9" customFormat="1" ht="12.75">
      <c r="A567" s="109" t="s">
        <v>99</v>
      </c>
      <c r="B567" s="290"/>
      <c r="C567" s="290"/>
      <c r="D567" s="407">
        <f>+G79</f>
        <v>752.8573050259738</v>
      </c>
      <c r="E567" s="112"/>
      <c r="I567"/>
      <c r="J567"/>
      <c r="K567"/>
      <c r="L567"/>
      <c r="M567"/>
      <c r="N567"/>
      <c r="O567"/>
      <c r="P567"/>
      <c r="Q567"/>
    </row>
    <row r="568" spans="1:17" s="9" customFormat="1" ht="12.75">
      <c r="A568" s="112"/>
      <c r="B568" s="284"/>
      <c r="C568" s="284"/>
      <c r="D568" s="285"/>
      <c r="E568" s="112"/>
      <c r="I568"/>
      <c r="J568"/>
      <c r="K568"/>
      <c r="L568"/>
      <c r="M568"/>
      <c r="N568"/>
      <c r="O568"/>
      <c r="P568"/>
      <c r="Q568"/>
    </row>
    <row r="569" spans="1:17" s="9" customFormat="1" ht="12.75">
      <c r="A569" s="109" t="s">
        <v>102</v>
      </c>
      <c r="B569" s="479">
        <v>1</v>
      </c>
      <c r="C569" s="479">
        <f>1-B569</f>
        <v>0</v>
      </c>
      <c r="D569" s="291">
        <f>B569+C569</f>
        <v>1</v>
      </c>
      <c r="E569" s="112"/>
      <c r="I569"/>
      <c r="J569"/>
      <c r="K569"/>
      <c r="L569"/>
      <c r="M569"/>
      <c r="N569"/>
      <c r="O569"/>
      <c r="P569"/>
      <c r="Q569"/>
    </row>
    <row r="570" spans="1:17" s="9" customFormat="1" ht="12.75">
      <c r="A570" s="112"/>
      <c r="B570" s="286"/>
      <c r="C570" s="286"/>
      <c r="D570" s="286"/>
      <c r="E570" s="112"/>
      <c r="I570"/>
      <c r="J570"/>
      <c r="K570"/>
      <c r="L570"/>
      <c r="M570"/>
      <c r="N570"/>
      <c r="O570"/>
      <c r="P570"/>
      <c r="Q570"/>
    </row>
    <row r="571" spans="1:17" s="9" customFormat="1" ht="12.75">
      <c r="A571" s="109" t="s">
        <v>105</v>
      </c>
      <c r="B571" s="402">
        <f>$B569*$D567</f>
        <v>752.8573050259738</v>
      </c>
      <c r="C571" s="402">
        <f>C569*D567</f>
        <v>0</v>
      </c>
      <c r="D571" s="402">
        <f>SUM(B571:C571)</f>
        <v>752.8573050259738</v>
      </c>
      <c r="E571" s="112"/>
      <c r="I571"/>
      <c r="J571"/>
      <c r="K571"/>
      <c r="L571"/>
      <c r="M571"/>
      <c r="N571"/>
      <c r="O571"/>
      <c r="P571"/>
      <c r="Q571"/>
    </row>
    <row r="572" spans="1:17" s="9" customFormat="1" ht="12.75">
      <c r="A572" s="112"/>
      <c r="B572" s="287"/>
      <c r="C572" s="287"/>
      <c r="D572" s="287"/>
      <c r="E572" s="112"/>
      <c r="I572"/>
      <c r="J572"/>
      <c r="K572"/>
      <c r="L572"/>
      <c r="M572"/>
      <c r="N572"/>
      <c r="O572"/>
      <c r="P572"/>
      <c r="Q572"/>
    </row>
    <row r="573" spans="1:17" s="9" customFormat="1" ht="12.75">
      <c r="A573" s="109" t="s">
        <v>151</v>
      </c>
      <c r="B573" s="293">
        <f>+B79</f>
        <v>302</v>
      </c>
      <c r="C573" s="292"/>
      <c r="D573" s="292"/>
      <c r="E573" s="112"/>
      <c r="I573"/>
      <c r="J573"/>
      <c r="K573"/>
      <c r="L573"/>
      <c r="M573"/>
      <c r="N573"/>
      <c r="O573"/>
      <c r="P573"/>
      <c r="Q573"/>
    </row>
    <row r="574" spans="1:17" s="9" customFormat="1" ht="12.75">
      <c r="A574" s="112"/>
      <c r="B574" s="288"/>
      <c r="C574" s="287"/>
      <c r="D574" s="287"/>
      <c r="E574" s="112"/>
      <c r="I574"/>
      <c r="J574"/>
      <c r="K574"/>
      <c r="L574"/>
      <c r="M574"/>
      <c r="N574"/>
      <c r="O574"/>
      <c r="P574"/>
      <c r="Q574"/>
    </row>
    <row r="575" spans="1:17" s="9" customFormat="1" ht="12.75">
      <c r="A575" s="109" t="s">
        <v>101</v>
      </c>
      <c r="B575" s="292"/>
      <c r="C575" s="293">
        <f>+D79</f>
        <v>102</v>
      </c>
      <c r="D575" s="292"/>
      <c r="E575" s="112"/>
      <c r="I575"/>
      <c r="J575"/>
      <c r="K575"/>
      <c r="L575"/>
      <c r="M575"/>
      <c r="N575"/>
      <c r="O575"/>
      <c r="P575"/>
      <c r="Q575"/>
    </row>
    <row r="576" spans="1:17" s="9" customFormat="1" ht="12.75">
      <c r="A576" s="112"/>
      <c r="B576" s="287"/>
      <c r="C576" s="288"/>
      <c r="D576" s="287"/>
      <c r="E576" s="112"/>
      <c r="I576"/>
      <c r="J576"/>
      <c r="K576"/>
      <c r="L576"/>
      <c r="M576"/>
      <c r="N576"/>
      <c r="O576"/>
      <c r="P576"/>
      <c r="Q576"/>
    </row>
    <row r="577" spans="1:17" s="9" customFormat="1" ht="12.75">
      <c r="A577" s="109" t="s">
        <v>161</v>
      </c>
      <c r="B577" s="403">
        <f>IF(ISERROR($B571/$B573),0,$B571/$B573)</f>
        <v>2.492904983529715</v>
      </c>
      <c r="C577" s="403"/>
      <c r="D577" s="294"/>
      <c r="E577" s="112"/>
      <c r="I577"/>
      <c r="J577"/>
      <c r="K577"/>
      <c r="L577"/>
      <c r="M577"/>
      <c r="N577"/>
      <c r="O577"/>
      <c r="P577"/>
      <c r="Q577"/>
    </row>
    <row r="578" spans="1:17" s="9" customFormat="1" ht="12.75">
      <c r="A578" s="112"/>
      <c r="B578" s="404"/>
      <c r="C578" s="404"/>
      <c r="D578" s="289"/>
      <c r="E578" s="112"/>
      <c r="I578"/>
      <c r="J578"/>
      <c r="K578"/>
      <c r="L578"/>
      <c r="M578"/>
      <c r="N578"/>
      <c r="O578"/>
      <c r="P578"/>
      <c r="Q578"/>
    </row>
    <row r="579" spans="1:17" s="9" customFormat="1" ht="12.75">
      <c r="A579" s="109" t="s">
        <v>160</v>
      </c>
      <c r="B579" s="405"/>
      <c r="C579" s="406">
        <f>IF(ISERROR($C571/$C575/12),0,$C571/$C575/12)</f>
        <v>0</v>
      </c>
      <c r="D579" s="295"/>
      <c r="E579" s="112"/>
      <c r="I579"/>
      <c r="J579"/>
      <c r="K579"/>
      <c r="L579"/>
      <c r="M579"/>
      <c r="N579"/>
      <c r="O579"/>
      <c r="P579"/>
      <c r="Q579"/>
    </row>
    <row r="580" spans="1:17" s="9" customFormat="1" ht="12.75">
      <c r="A580" s="296"/>
      <c r="B580" s="297"/>
      <c r="C580" s="298"/>
      <c r="D580" s="297"/>
      <c r="E580" s="112"/>
      <c r="I580"/>
      <c r="J580"/>
      <c r="K580"/>
      <c r="L580"/>
      <c r="M580"/>
      <c r="N580"/>
      <c r="O580"/>
      <c r="P580"/>
      <c r="Q580"/>
    </row>
    <row r="581" spans="1:17" s="9" customFormat="1" ht="12.75">
      <c r="A581" s="296"/>
      <c r="B581" s="297"/>
      <c r="C581" s="298"/>
      <c r="D581" s="297"/>
      <c r="E581" s="112"/>
      <c r="I581"/>
      <c r="J581"/>
      <c r="K581"/>
      <c r="L581"/>
      <c r="M581"/>
      <c r="N581"/>
      <c r="O581"/>
      <c r="P581"/>
      <c r="Q581"/>
    </row>
    <row r="582" spans="1:17" s="9" customFormat="1" ht="51.75" thickBot="1">
      <c r="A582" s="132"/>
      <c r="B582" s="283" t="s">
        <v>104</v>
      </c>
      <c r="C582" s="283" t="s">
        <v>188</v>
      </c>
      <c r="D582" s="283" t="s">
        <v>103</v>
      </c>
      <c r="E582" s="112"/>
      <c r="I582"/>
      <c r="J582"/>
      <c r="K582"/>
      <c r="L582"/>
      <c r="M582"/>
      <c r="N582"/>
      <c r="O582"/>
      <c r="P582"/>
      <c r="Q582"/>
    </row>
    <row r="583" spans="1:17" s="9" customFormat="1" ht="15">
      <c r="A583" s="481" t="s">
        <v>221</v>
      </c>
      <c r="B583" s="30"/>
      <c r="C583" s="30"/>
      <c r="E583" s="112"/>
      <c r="I583"/>
      <c r="J583"/>
      <c r="K583"/>
      <c r="L583"/>
      <c r="M583"/>
      <c r="N583"/>
      <c r="O583"/>
      <c r="P583"/>
      <c r="Q583"/>
    </row>
    <row r="584" spans="1:17" s="9" customFormat="1" ht="12.75">
      <c r="A584" s="109" t="s">
        <v>99</v>
      </c>
      <c r="B584" s="290"/>
      <c r="C584" s="290"/>
      <c r="D584" s="407">
        <f>+G80</f>
        <v>23.6708911747652</v>
      </c>
      <c r="I584"/>
      <c r="J584"/>
      <c r="K584"/>
      <c r="L584"/>
      <c r="M584"/>
      <c r="N584"/>
      <c r="O584"/>
      <c r="P584"/>
      <c r="Q584"/>
    </row>
    <row r="585" spans="1:17" s="9" customFormat="1" ht="9.75" customHeight="1">
      <c r="A585" s="112"/>
      <c r="B585" s="284"/>
      <c r="C585" s="284"/>
      <c r="D585" s="285"/>
      <c r="I585"/>
      <c r="J585"/>
      <c r="K585"/>
      <c r="L585"/>
      <c r="M585"/>
      <c r="N585"/>
      <c r="O585"/>
      <c r="P585"/>
      <c r="Q585"/>
    </row>
    <row r="586" spans="1:17" s="9" customFormat="1" ht="12.75">
      <c r="A586" s="109" t="s">
        <v>102</v>
      </c>
      <c r="B586" s="479">
        <v>1</v>
      </c>
      <c r="C586" s="479">
        <f>1-B586</f>
        <v>0</v>
      </c>
      <c r="D586" s="291">
        <f>B586+C586</f>
        <v>1</v>
      </c>
      <c r="I586"/>
      <c r="J586"/>
      <c r="K586"/>
      <c r="L586"/>
      <c r="M586"/>
      <c r="N586"/>
      <c r="O586"/>
      <c r="P586"/>
      <c r="Q586"/>
    </row>
    <row r="587" spans="1:17" s="9" customFormat="1" ht="12.75">
      <c r="A587" s="112"/>
      <c r="B587" s="286"/>
      <c r="C587" s="286"/>
      <c r="D587" s="286"/>
      <c r="E587" s="280"/>
      <c r="F587" s="280"/>
      <c r="G587" s="280"/>
      <c r="I587"/>
      <c r="J587"/>
      <c r="K587"/>
      <c r="L587"/>
      <c r="M587"/>
      <c r="N587"/>
      <c r="O587"/>
      <c r="P587"/>
      <c r="Q587"/>
    </row>
    <row r="588" spans="1:17" s="9" customFormat="1" ht="12.75">
      <c r="A588" s="109" t="s">
        <v>105</v>
      </c>
      <c r="B588" s="402">
        <f>$B586*$D584</f>
        <v>23.6708911747652</v>
      </c>
      <c r="C588" s="402">
        <f>C586*D584</f>
        <v>0</v>
      </c>
      <c r="D588" s="402">
        <f>SUM(B588:C588)</f>
        <v>23.6708911747652</v>
      </c>
      <c r="I588"/>
      <c r="J588"/>
      <c r="K588"/>
      <c r="L588"/>
      <c r="M588"/>
      <c r="N588"/>
      <c r="O588"/>
      <c r="P588"/>
      <c r="Q588"/>
    </row>
    <row r="589" spans="1:17" s="9" customFormat="1" ht="12.75">
      <c r="A589" s="112"/>
      <c r="B589" s="287"/>
      <c r="C589" s="287"/>
      <c r="D589" s="287"/>
      <c r="E589" s="112"/>
      <c r="I589"/>
      <c r="J589"/>
      <c r="K589"/>
      <c r="L589"/>
      <c r="M589"/>
      <c r="N589"/>
      <c r="O589"/>
      <c r="P589"/>
      <c r="Q589"/>
    </row>
    <row r="590" spans="1:17" s="9" customFormat="1" ht="12.75">
      <c r="A590" s="109" t="s">
        <v>151</v>
      </c>
      <c r="B590" s="293">
        <f>+B80</f>
        <v>39</v>
      </c>
      <c r="C590" s="292"/>
      <c r="D590" s="292"/>
      <c r="E590" s="112"/>
      <c r="I590"/>
      <c r="J590"/>
      <c r="K590"/>
      <c r="L590"/>
      <c r="M590"/>
      <c r="N590"/>
      <c r="O590"/>
      <c r="P590"/>
      <c r="Q590"/>
    </row>
    <row r="591" spans="1:17" s="9" customFormat="1" ht="12.75">
      <c r="A591" s="112"/>
      <c r="B591" s="288"/>
      <c r="C591" s="287"/>
      <c r="D591" s="287"/>
      <c r="E591" s="112"/>
      <c r="I591"/>
      <c r="J591"/>
      <c r="K591"/>
      <c r="L591"/>
      <c r="M591"/>
      <c r="N591"/>
      <c r="O591"/>
      <c r="P591"/>
      <c r="Q591"/>
    </row>
    <row r="592" spans="1:17" s="9" customFormat="1" ht="12.75">
      <c r="A592" s="109" t="s">
        <v>101</v>
      </c>
      <c r="B592" s="292"/>
      <c r="C592" s="293">
        <f>+D80</f>
        <v>9</v>
      </c>
      <c r="D592" s="292"/>
      <c r="E592" s="112"/>
      <c r="I592"/>
      <c r="J592"/>
      <c r="K592"/>
      <c r="L592"/>
      <c r="M592"/>
      <c r="N592"/>
      <c r="O592"/>
      <c r="P592"/>
      <c r="Q592"/>
    </row>
    <row r="593" spans="1:17" s="9" customFormat="1" ht="13.5" customHeight="1">
      <c r="A593" s="112"/>
      <c r="B593" s="287"/>
      <c r="C593" s="288"/>
      <c r="D593" s="287"/>
      <c r="E593" s="112"/>
      <c r="I593"/>
      <c r="J593"/>
      <c r="K593"/>
      <c r="L593"/>
      <c r="M593"/>
      <c r="N593"/>
      <c r="O593"/>
      <c r="P593"/>
      <c r="Q593"/>
    </row>
    <row r="594" spans="1:17" s="9" customFormat="1" ht="12.75">
      <c r="A594" s="109" t="s">
        <v>161</v>
      </c>
      <c r="B594" s="403">
        <f>IF(ISERROR($B588/$B590),0,$B588/$B590)</f>
        <v>0.6069459275580821</v>
      </c>
      <c r="C594" s="403"/>
      <c r="D594" s="294"/>
      <c r="E594" s="112"/>
      <c r="I594"/>
      <c r="J594"/>
      <c r="K594"/>
      <c r="L594"/>
      <c r="M594"/>
      <c r="N594"/>
      <c r="O594"/>
      <c r="P594"/>
      <c r="Q594"/>
    </row>
    <row r="595" spans="1:17" s="9" customFormat="1" ht="13.5" customHeight="1">
      <c r="A595" s="112"/>
      <c r="B595" s="404"/>
      <c r="C595" s="404"/>
      <c r="D595" s="289"/>
      <c r="E595" s="112"/>
      <c r="I595"/>
      <c r="J595"/>
      <c r="K595"/>
      <c r="L595"/>
      <c r="M595"/>
      <c r="N595"/>
      <c r="O595"/>
      <c r="P595"/>
      <c r="Q595"/>
    </row>
    <row r="596" spans="1:17" s="9" customFormat="1" ht="12.75">
      <c r="A596" s="109" t="s">
        <v>160</v>
      </c>
      <c r="B596" s="405"/>
      <c r="C596" s="406">
        <f>IF(ISERROR($C588/$C592/12),0,$C588/$C592/12)</f>
        <v>0</v>
      </c>
      <c r="D596" s="295"/>
      <c r="E596" s="112"/>
      <c r="I596"/>
      <c r="J596"/>
      <c r="K596"/>
      <c r="L596"/>
      <c r="M596"/>
      <c r="N596"/>
      <c r="O596"/>
      <c r="P596"/>
      <c r="Q596"/>
    </row>
    <row r="597" spans="1:17" s="9" customFormat="1" ht="13.5" customHeight="1">
      <c r="A597" s="296"/>
      <c r="B597" s="482"/>
      <c r="C597" s="483"/>
      <c r="D597" s="297"/>
      <c r="E597" s="112"/>
      <c r="I597"/>
      <c r="J597"/>
      <c r="K597"/>
      <c r="L597"/>
      <c r="M597"/>
      <c r="N597"/>
      <c r="O597"/>
      <c r="P597"/>
      <c r="Q597"/>
    </row>
    <row r="598" spans="1:17" s="9" customFormat="1" ht="7.5" customHeight="1">
      <c r="A598" s="296"/>
      <c r="B598" s="482"/>
      <c r="C598" s="483"/>
      <c r="D598" s="297"/>
      <c r="E598" s="112"/>
      <c r="I598"/>
      <c r="J598"/>
      <c r="K598"/>
      <c r="L598"/>
      <c r="M598"/>
      <c r="N598"/>
      <c r="O598"/>
      <c r="P598"/>
      <c r="Q598"/>
    </row>
    <row r="599" spans="1:17" s="9" customFormat="1" ht="13.5" customHeight="1">
      <c r="A599" s="54" t="s">
        <v>107</v>
      </c>
      <c r="E599" s="112"/>
      <c r="I599"/>
      <c r="J599"/>
      <c r="K599"/>
      <c r="L599"/>
      <c r="M599"/>
      <c r="N599"/>
      <c r="O599"/>
      <c r="P599"/>
      <c r="Q599"/>
    </row>
    <row r="600" spans="1:17" s="9" customFormat="1" ht="7.5" customHeight="1">
      <c r="A600" s="54"/>
      <c r="E600" s="112"/>
      <c r="I600"/>
      <c r="J600"/>
      <c r="K600"/>
      <c r="L600"/>
      <c r="M600"/>
      <c r="N600"/>
      <c r="O600"/>
      <c r="P600"/>
      <c r="Q600"/>
    </row>
    <row r="601" spans="1:17" s="9" customFormat="1" ht="15">
      <c r="A601" s="132"/>
      <c r="E601" s="112"/>
      <c r="I601"/>
      <c r="J601"/>
      <c r="K601"/>
      <c r="L601"/>
      <c r="M601"/>
      <c r="N601"/>
      <c r="O601"/>
      <c r="P601"/>
      <c r="Q601"/>
    </row>
    <row r="602" spans="1:4" ht="51.75" thickBot="1">
      <c r="A602" s="132"/>
      <c r="B602" s="283" t="s">
        <v>104</v>
      </c>
      <c r="C602" s="283" t="s">
        <v>188</v>
      </c>
      <c r="D602" s="283" t="s">
        <v>103</v>
      </c>
    </row>
    <row r="603" spans="1:3" ht="15">
      <c r="A603" s="132"/>
      <c r="B603" s="30"/>
      <c r="C603" s="30"/>
    </row>
    <row r="604" spans="1:4" ht="12.75">
      <c r="A604" s="109" t="s">
        <v>99</v>
      </c>
      <c r="B604" s="290"/>
      <c r="C604" s="290"/>
      <c r="D604" s="407">
        <f>+G29</f>
        <v>16981.174500422785</v>
      </c>
    </row>
    <row r="605" spans="1:4" ht="12.75">
      <c r="A605" s="112"/>
      <c r="B605" s="284"/>
      <c r="C605" s="284"/>
      <c r="D605" s="285"/>
    </row>
    <row r="606" spans="1:4" ht="12.75">
      <c r="A606" s="109" t="s">
        <v>102</v>
      </c>
      <c r="B606" s="479">
        <v>1</v>
      </c>
      <c r="C606" s="479">
        <f>1-B606</f>
        <v>0</v>
      </c>
      <c r="D606" s="291">
        <f>B606+C606</f>
        <v>1</v>
      </c>
    </row>
    <row r="607" spans="1:4" ht="12.75">
      <c r="A607" s="112"/>
      <c r="B607" s="286"/>
      <c r="C607" s="286"/>
      <c r="D607" s="286"/>
    </row>
    <row r="608" spans="1:4" ht="12.75">
      <c r="A608" s="109" t="s">
        <v>105</v>
      </c>
      <c r="B608" s="402">
        <f>$B606*$D604</f>
        <v>16981.174500422785</v>
      </c>
      <c r="C608" s="402">
        <f>C606*D604</f>
        <v>0</v>
      </c>
      <c r="D608" s="402">
        <f>SUM(B608:C608)</f>
        <v>16981.174500422785</v>
      </c>
    </row>
    <row r="609" spans="1:4" ht="12.75">
      <c r="A609" s="112"/>
      <c r="B609" s="287"/>
      <c r="C609" s="287"/>
      <c r="D609" s="287"/>
    </row>
    <row r="610" spans="1:4" ht="12.75">
      <c r="A610" s="109" t="s">
        <v>151</v>
      </c>
      <c r="B610" s="293">
        <f>+B29</f>
        <v>22225</v>
      </c>
      <c r="C610" s="292"/>
      <c r="D610" s="292"/>
    </row>
    <row r="611" spans="1:4" ht="12.75">
      <c r="A611" s="112"/>
      <c r="B611" s="288"/>
      <c r="C611" s="287"/>
      <c r="D611" s="287"/>
    </row>
    <row r="612" spans="1:4" ht="12.75">
      <c r="A612" s="109" t="s">
        <v>101</v>
      </c>
      <c r="B612" s="292"/>
      <c r="C612" s="293">
        <f>+D29</f>
        <v>1</v>
      </c>
      <c r="D612" s="292"/>
    </row>
    <row r="613" spans="1:4" ht="12.75">
      <c r="A613" s="112"/>
      <c r="B613" s="287"/>
      <c r="C613" s="288"/>
      <c r="D613" s="287"/>
    </row>
    <row r="614" spans="1:4" ht="12.75">
      <c r="A614" s="109" t="s">
        <v>161</v>
      </c>
      <c r="B614" s="403">
        <f>IF(ISERROR($B608/$B610),0,$B608/$B610)</f>
        <v>0.7640573453508565</v>
      </c>
      <c r="C614" s="403"/>
      <c r="D614" s="294"/>
    </row>
    <row r="615" spans="1:4" ht="12.75">
      <c r="A615" s="112"/>
      <c r="B615" s="404"/>
      <c r="C615" s="404"/>
      <c r="D615" s="289"/>
    </row>
    <row r="616" spans="1:4" ht="12.75">
      <c r="A616" s="109" t="s">
        <v>160</v>
      </c>
      <c r="B616" s="405"/>
      <c r="C616" s="406">
        <f>IF(ISERROR($C608/$C612/12),0,$C608/$C612/12)</f>
        <v>0</v>
      </c>
      <c r="D616" s="295"/>
    </row>
  </sheetData>
  <sheetProtection/>
  <mergeCells count="6">
    <mergeCell ref="A3:C3"/>
    <mergeCell ref="A6:C6"/>
    <mergeCell ref="A14:D14"/>
    <mergeCell ref="C32:F32"/>
    <mergeCell ref="B5:D5"/>
    <mergeCell ref="B7:C7"/>
  </mergeCells>
  <printOptions/>
  <pageMargins left="0.31" right="0.17" top="0.45" bottom="0.5" header="0.28" footer="0.23"/>
  <pageSetup fitToHeight="0" fitToWidth="1" horizontalDpi="600" verticalDpi="600" orientation="portrait" scale="77" r:id="rId1"/>
  <headerFooter alignWithMargins="0">
    <oddHeader>&amp;R&amp;P of  &amp;N</oddHeader>
  </headerFooter>
  <rowBreaks count="13" manualBreakCount="13">
    <brk id="35" max="255" man="1"/>
    <brk id="82" max="255" man="1"/>
    <brk id="135" max="255" man="1"/>
    <brk id="186" max="255" man="1"/>
    <brk id="237" max="255" man="1"/>
    <brk id="271" max="7" man="1"/>
    <brk id="311" max="7" man="1"/>
    <brk id="348" max="7" man="1"/>
    <brk id="407" max="7" man="1"/>
    <brk id="461" max="7" man="1"/>
    <brk id="512" max="7" man="1"/>
    <brk id="563" max="7" man="1"/>
    <brk id="597" max="7" man="1"/>
  </rowBreaks>
</worksheet>
</file>

<file path=xl/worksheets/sheet6.xml><?xml version="1.0" encoding="utf-8"?>
<worksheet xmlns="http://schemas.openxmlformats.org/spreadsheetml/2006/main" xmlns:r="http://schemas.openxmlformats.org/officeDocument/2006/relationships">
  <dimension ref="A1:G229"/>
  <sheetViews>
    <sheetView zoomScalePageLayoutView="0" workbookViewId="0" topLeftCell="A201">
      <selection activeCell="D100" sqref="D100"/>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143</v>
      </c>
    </row>
    <row r="2" ht="22.5" customHeight="1" thickBot="1"/>
    <row r="3" spans="1:5" ht="15.75">
      <c r="A3" s="518" t="str">
        <f>"Name of Utility:      "&amp;'Info Sheet'!B4</f>
        <v>Name of Utility:      Chatham-Kent Hydro</v>
      </c>
      <c r="B3" s="519"/>
      <c r="C3" s="519"/>
      <c r="D3" s="455" t="str">
        <f>'Info Sheet'!$B$21</f>
        <v>2005.V1.1</v>
      </c>
      <c r="E3" s="36"/>
    </row>
    <row r="4" spans="1:5" ht="18">
      <c r="A4" s="301" t="str">
        <f>"License Number:   "&amp;'Info Sheet'!B6</f>
        <v>License Number:   ED-2002-0563</v>
      </c>
      <c r="B4" s="27"/>
      <c r="C4" s="392"/>
      <c r="D4" s="395" t="str">
        <f>'Info Sheet'!B8</f>
        <v>RP-2005-0013</v>
      </c>
      <c r="E4" s="36"/>
    </row>
    <row r="5" spans="1:4" ht="15.75">
      <c r="A5" s="515" t="str">
        <f>"Name of Contact:  "&amp;'Info Sheet'!B12</f>
        <v>Name of Contact:  Jim Hogan</v>
      </c>
      <c r="B5" s="516"/>
      <c r="C5" s="516"/>
      <c r="D5" s="395" t="str">
        <f>'Info Sheet'!B10</f>
        <v>EB-2005-0017</v>
      </c>
    </row>
    <row r="6" spans="1:4" ht="18" customHeight="1">
      <c r="A6" s="520" t="str">
        <f>"E- Mail Address:    "&amp;'Info Sheet'!B14</f>
        <v>E- Mail Address:    jimhogan@ckenergy.com</v>
      </c>
      <c r="B6" s="517"/>
      <c r="C6" s="517"/>
      <c r="D6" s="100"/>
    </row>
    <row r="7" spans="1:4" ht="15.75">
      <c r="A7" s="301" t="str">
        <f>"Phone Number:     "&amp;'Info Sheet'!B16</f>
        <v>Phone Number:     </v>
      </c>
      <c r="B7" s="517" t="str">
        <f>'Info Sheet'!$C$16&amp;" "&amp;'Info Sheet'!$D$16</f>
        <v>519-352-6300 (277) </v>
      </c>
      <c r="C7" s="517"/>
      <c r="D7" s="100"/>
    </row>
    <row r="8" spans="1:4" ht="16.5" thickBot="1">
      <c r="A8" s="525" t="str">
        <f>"Date:                      "&amp;('Info Sheet'!B18)</f>
        <v>Date:                      March 10, 2005</v>
      </c>
      <c r="B8" s="526"/>
      <c r="C8" s="526"/>
      <c r="D8" s="149"/>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1:7" ht="12.75">
      <c r="A15" s="484" t="s">
        <v>211</v>
      </c>
      <c r="B15" s="15"/>
      <c r="C15" s="15"/>
      <c r="D15" s="49"/>
      <c r="E15" s="15"/>
      <c r="F15" s="15"/>
      <c r="G15" s="15"/>
    </row>
    <row r="16" spans="1:7" ht="12.75">
      <c r="A16" s="109" t="s">
        <v>68</v>
      </c>
      <c r="B16" s="109"/>
      <c r="C16" s="110"/>
      <c r="D16" s="111">
        <f>+'3. 2005 Base Rate Schedule'!D14+'4. 2003 Data &amp; 2005 PILs'!B98</f>
        <v>0.004491307703539407</v>
      </c>
      <c r="E16" s="15"/>
      <c r="F16" s="15"/>
      <c r="G16" s="15"/>
    </row>
    <row r="17" spans="1:7" ht="12.75">
      <c r="A17" s="112"/>
      <c r="B17" s="112"/>
      <c r="C17" s="113"/>
      <c r="D17" s="113"/>
      <c r="E17" s="15"/>
      <c r="F17" s="15"/>
      <c r="G17" s="15"/>
    </row>
    <row r="18" spans="1:7" ht="12.75">
      <c r="A18" s="109" t="s">
        <v>69</v>
      </c>
      <c r="B18" s="109"/>
      <c r="C18" s="110"/>
      <c r="D18" s="114">
        <f>+'3. 2005 Base Rate Schedule'!D16+'4. 2003 Data &amp; 2005 PILs'!C100</f>
        <v>3.682510053146183</v>
      </c>
      <c r="E18" s="15"/>
      <c r="F18" s="15"/>
      <c r="G18" s="15"/>
    </row>
    <row r="19" spans="3:7" ht="12.75">
      <c r="C19" s="15"/>
      <c r="D19" s="15"/>
      <c r="E19" s="15"/>
      <c r="F19" s="15"/>
      <c r="G19" s="15"/>
    </row>
    <row r="20" spans="3:7" ht="12.75">
      <c r="C20" s="15"/>
      <c r="D20" s="15"/>
      <c r="E20" s="15"/>
      <c r="F20" s="15"/>
      <c r="G20" s="15"/>
    </row>
    <row r="21" spans="1:7" ht="12.75">
      <c r="A21" s="484" t="s">
        <v>212</v>
      </c>
      <c r="B21" s="15"/>
      <c r="C21" s="15"/>
      <c r="D21" s="49"/>
      <c r="E21" s="15"/>
      <c r="F21" s="15"/>
      <c r="G21" s="15"/>
    </row>
    <row r="22" spans="1:7" ht="12.75">
      <c r="A22" s="109" t="s">
        <v>68</v>
      </c>
      <c r="B22" s="109"/>
      <c r="C22" s="110"/>
      <c r="D22" s="111">
        <f>+'3. 2005 Base Rate Schedule'!D20+'4. 2003 Data &amp; 2005 PILs'!B115</f>
        <v>0.015042389620378398</v>
      </c>
      <c r="E22" s="15"/>
      <c r="F22" s="15"/>
      <c r="G22" s="15"/>
    </row>
    <row r="23" spans="1:7" ht="12.75">
      <c r="A23" s="112"/>
      <c r="B23" s="112"/>
      <c r="C23" s="113"/>
      <c r="D23" s="113"/>
      <c r="E23" s="15"/>
      <c r="F23" s="15"/>
      <c r="G23" s="15"/>
    </row>
    <row r="24" spans="1:7" ht="12.75">
      <c r="A24" s="109" t="s">
        <v>69</v>
      </c>
      <c r="B24" s="109"/>
      <c r="C24" s="110"/>
      <c r="D24" s="114">
        <f>+'3. 2005 Base Rate Schedule'!D22+'4. 2003 Data &amp; 2005 PILs'!C117</f>
        <v>13.86921420074977</v>
      </c>
      <c r="E24" s="15"/>
      <c r="F24" s="15"/>
      <c r="G24" s="15"/>
    </row>
    <row r="25" spans="3:7" ht="12.75">
      <c r="C25" s="15"/>
      <c r="D25" s="15"/>
      <c r="E25" s="15"/>
      <c r="F25" s="15"/>
      <c r="G25" s="15"/>
    </row>
    <row r="26" spans="3:7" ht="12.75">
      <c r="C26" s="15"/>
      <c r="D26" s="15"/>
      <c r="E26" s="15"/>
      <c r="F26" s="15"/>
      <c r="G26" s="15"/>
    </row>
    <row r="27" spans="1:7" ht="12.75">
      <c r="A27" s="484" t="s">
        <v>213</v>
      </c>
      <c r="B27" s="15"/>
      <c r="C27" s="15"/>
      <c r="D27" s="49"/>
      <c r="E27" s="15"/>
      <c r="F27" s="15"/>
      <c r="G27" s="15"/>
    </row>
    <row r="28" spans="1:7" ht="12.75">
      <c r="A28" s="109" t="s">
        <v>68</v>
      </c>
      <c r="B28" s="109"/>
      <c r="C28" s="110"/>
      <c r="D28" s="111">
        <f>+'3. 2005 Base Rate Schedule'!D26+'4. 2003 Data &amp; 2005 PILs'!B132</f>
        <v>0.014142049222917258</v>
      </c>
      <c r="E28" s="15"/>
      <c r="F28" s="15"/>
      <c r="G28" s="15"/>
    </row>
    <row r="29" spans="1:7" ht="12.75">
      <c r="A29" s="112"/>
      <c r="B29" s="112"/>
      <c r="C29" s="113"/>
      <c r="D29" s="113"/>
      <c r="E29" s="15"/>
      <c r="F29" s="15"/>
      <c r="G29" s="15"/>
    </row>
    <row r="30" spans="1:7" ht="12.75">
      <c r="A30" s="109" t="s">
        <v>69</v>
      </c>
      <c r="B30" s="109"/>
      <c r="C30" s="110"/>
      <c r="D30" s="114">
        <f>+'3. 2005 Base Rate Schedule'!D28+'4. 2003 Data &amp; 2005 PILs'!C134</f>
        <v>12.32927333576484</v>
      </c>
      <c r="E30" s="15"/>
      <c r="F30" s="15"/>
      <c r="G30" s="15"/>
    </row>
    <row r="31" spans="3:7" ht="12.75">
      <c r="C31" s="15"/>
      <c r="D31" s="15"/>
      <c r="E31" s="15"/>
      <c r="F31" s="15"/>
      <c r="G31" s="15"/>
    </row>
    <row r="32" spans="3:7" ht="12.75">
      <c r="C32" s="15"/>
      <c r="D32" s="15"/>
      <c r="E32" s="15"/>
      <c r="F32" s="15"/>
      <c r="G32" s="15"/>
    </row>
    <row r="33" spans="1:7" ht="12.75">
      <c r="A33" s="484" t="s">
        <v>214</v>
      </c>
      <c r="B33" s="15"/>
      <c r="C33" s="15"/>
      <c r="D33" s="49"/>
      <c r="E33" s="15"/>
      <c r="F33" s="15"/>
      <c r="G33" s="15"/>
    </row>
    <row r="34" spans="1:7" ht="12.75">
      <c r="A34" s="109" t="s">
        <v>68</v>
      </c>
      <c r="B34" s="109"/>
      <c r="C34" s="110"/>
      <c r="D34" s="111">
        <f>+'3. 2005 Base Rate Schedule'!D32+'4. 2003 Data &amp; 2005 PILs'!B149</f>
        <v>0.01346260433971893</v>
      </c>
      <c r="E34" s="15"/>
      <c r="F34" s="15"/>
      <c r="G34" s="15"/>
    </row>
    <row r="35" spans="1:7" ht="12.75">
      <c r="A35" s="112"/>
      <c r="B35" s="112"/>
      <c r="C35" s="113"/>
      <c r="D35" s="113"/>
      <c r="E35" s="15"/>
      <c r="F35" s="15"/>
      <c r="G35" s="15"/>
    </row>
    <row r="36" spans="1:7" ht="12.75">
      <c r="A36" s="109" t="s">
        <v>69</v>
      </c>
      <c r="B36" s="109"/>
      <c r="C36" s="110"/>
      <c r="D36" s="114">
        <f>+'3. 2005 Base Rate Schedule'!D34+'4. 2003 Data &amp; 2005 PILs'!C151</f>
        <v>12.329782012300532</v>
      </c>
      <c r="E36" s="15"/>
      <c r="F36" s="15"/>
      <c r="G36" s="15"/>
    </row>
    <row r="37" spans="3:7" ht="12.75">
      <c r="C37" s="15"/>
      <c r="D37" s="15"/>
      <c r="E37" s="15"/>
      <c r="F37" s="15"/>
      <c r="G37" s="15"/>
    </row>
    <row r="38" spans="3:7" ht="12.75">
      <c r="C38" s="15"/>
      <c r="D38" s="15"/>
      <c r="E38" s="15"/>
      <c r="F38" s="15"/>
      <c r="G38" s="15"/>
    </row>
    <row r="39" spans="1:7" ht="12.75">
      <c r="A39" s="484" t="s">
        <v>215</v>
      </c>
      <c r="B39" s="15"/>
      <c r="C39" s="15"/>
      <c r="D39" s="49"/>
      <c r="E39" s="15"/>
      <c r="F39" s="15"/>
      <c r="G39" s="15"/>
    </row>
    <row r="40" spans="1:7" ht="12.75">
      <c r="A40" s="109" t="s">
        <v>68</v>
      </c>
      <c r="B40" s="109"/>
      <c r="C40" s="110"/>
      <c r="D40" s="111">
        <f>+'3. 2005 Base Rate Schedule'!D38+'4. 2003 Data &amp; 2005 PILs'!B166</f>
        <v>0.011590113258050191</v>
      </c>
      <c r="E40" s="15"/>
      <c r="F40" s="15"/>
      <c r="G40" s="15"/>
    </row>
    <row r="41" spans="1:7" ht="12.75">
      <c r="A41" s="112"/>
      <c r="B41" s="112"/>
      <c r="C41" s="113"/>
      <c r="D41" s="113"/>
      <c r="E41" s="15"/>
      <c r="F41" s="15"/>
      <c r="G41" s="15"/>
    </row>
    <row r="42" spans="1:7" ht="12.75">
      <c r="A42" s="109" t="s">
        <v>69</v>
      </c>
      <c r="B42" s="109"/>
      <c r="C42" s="110"/>
      <c r="D42" s="114">
        <f>+'3. 2005 Base Rate Schedule'!D40+'4. 2003 Data &amp; 2005 PILs'!C168</f>
        <v>9.742855983694888</v>
      </c>
      <c r="E42" s="15"/>
      <c r="F42" s="15"/>
      <c r="G42" s="15"/>
    </row>
    <row r="43" spans="3:7" ht="12.75">
      <c r="C43" s="15"/>
      <c r="D43" s="15"/>
      <c r="E43" s="15"/>
      <c r="F43" s="15"/>
      <c r="G43" s="15"/>
    </row>
    <row r="44" spans="3:7" ht="12.75">
      <c r="C44" s="15"/>
      <c r="D44" s="15"/>
      <c r="E44" s="15"/>
      <c r="F44" s="15"/>
      <c r="G44" s="15"/>
    </row>
    <row r="45" spans="1:7" ht="12.75">
      <c r="A45" s="484" t="s">
        <v>216</v>
      </c>
      <c r="B45" s="15"/>
      <c r="C45" s="15"/>
      <c r="D45" s="49"/>
      <c r="E45" s="15"/>
      <c r="F45" s="15"/>
      <c r="G45" s="15"/>
    </row>
    <row r="46" spans="1:7" ht="12.75">
      <c r="A46" s="109" t="s">
        <v>68</v>
      </c>
      <c r="B46" s="109"/>
      <c r="C46" s="110"/>
      <c r="D46" s="111">
        <f>+'3. 2005 Base Rate Schedule'!D44+'4. 2003 Data &amp; 2005 PILs'!B183</f>
        <v>0.013603213726168042</v>
      </c>
      <c r="E46" s="15"/>
      <c r="F46" s="15"/>
      <c r="G46" s="15"/>
    </row>
    <row r="47" spans="1:7" ht="12.75">
      <c r="A47" s="112"/>
      <c r="B47" s="112"/>
      <c r="C47" s="113"/>
      <c r="D47" s="113"/>
      <c r="E47" s="15"/>
      <c r="F47" s="15"/>
      <c r="G47" s="15"/>
    </row>
    <row r="48" spans="1:7" ht="12.75">
      <c r="A48" s="109" t="s">
        <v>69</v>
      </c>
      <c r="B48" s="109"/>
      <c r="C48" s="110"/>
      <c r="D48" s="114">
        <f>+'3. 2005 Base Rate Schedule'!D46+'4. 2003 Data &amp; 2005 PILs'!C185</f>
        <v>13.580287018663661</v>
      </c>
      <c r="E48" s="15"/>
      <c r="F48" s="15"/>
      <c r="G48" s="15"/>
    </row>
    <row r="49" spans="3:7" ht="12.75">
      <c r="C49" s="15"/>
      <c r="D49" s="15"/>
      <c r="E49" s="15"/>
      <c r="F49" s="15"/>
      <c r="G49" s="15"/>
    </row>
    <row r="50" spans="3:7" ht="12.75">
      <c r="C50" s="15"/>
      <c r="D50" s="15"/>
      <c r="E50" s="15"/>
      <c r="F50" s="15"/>
      <c r="G50" s="15"/>
    </row>
    <row r="51" spans="1:7" ht="12.75">
      <c r="A51" s="484" t="s">
        <v>217</v>
      </c>
      <c r="B51" s="15"/>
      <c r="C51" s="15"/>
      <c r="D51" s="49"/>
      <c r="E51" s="15"/>
      <c r="F51" s="15"/>
      <c r="G51" s="15"/>
    </row>
    <row r="52" spans="1:7" ht="12.75">
      <c r="A52" s="109" t="s">
        <v>68</v>
      </c>
      <c r="B52" s="109"/>
      <c r="C52" s="110"/>
      <c r="D52" s="111">
        <f>+'3. 2005 Base Rate Schedule'!D50+'4. 2003 Data &amp; 2005 PILs'!B200</f>
        <v>0.01576618147774651</v>
      </c>
      <c r="E52" s="15"/>
      <c r="F52" s="15"/>
      <c r="G52" s="15"/>
    </row>
    <row r="53" spans="1:7" ht="12.75">
      <c r="A53" s="112"/>
      <c r="B53" s="112"/>
      <c r="C53" s="113"/>
      <c r="D53" s="113"/>
      <c r="E53" s="15"/>
      <c r="F53" s="15"/>
      <c r="G53" s="15"/>
    </row>
    <row r="54" spans="1:7" ht="12.75">
      <c r="A54" s="109" t="s">
        <v>69</v>
      </c>
      <c r="B54" s="109"/>
      <c r="C54" s="110"/>
      <c r="D54" s="114">
        <f>+'3. 2005 Base Rate Schedule'!D52+'4. 2003 Data &amp; 2005 PILs'!C202</f>
        <v>13.491499640108744</v>
      </c>
      <c r="E54" s="15"/>
      <c r="F54" s="15"/>
      <c r="G54" s="15"/>
    </row>
    <row r="55" spans="3:7" ht="12.75">
      <c r="C55" s="15"/>
      <c r="D55" s="15"/>
      <c r="E55" s="15"/>
      <c r="F55" s="15"/>
      <c r="G55" s="15"/>
    </row>
    <row r="56" spans="3:7" ht="12.75">
      <c r="C56" s="15"/>
      <c r="D56" s="15"/>
      <c r="E56" s="15"/>
      <c r="F56" s="15"/>
      <c r="G56" s="15"/>
    </row>
    <row r="57" spans="1:7" ht="12.75">
      <c r="A57" s="484" t="s">
        <v>218</v>
      </c>
      <c r="B57" s="15"/>
      <c r="C57" s="15"/>
      <c r="D57" s="49"/>
      <c r="E57" s="15"/>
      <c r="F57" s="15"/>
      <c r="G57" s="15"/>
    </row>
    <row r="58" spans="1:7" ht="12.75">
      <c r="A58" s="109" t="s">
        <v>68</v>
      </c>
      <c r="B58" s="109"/>
      <c r="C58" s="110"/>
      <c r="D58" s="111">
        <f>+'3. 2005 Base Rate Schedule'!D56+'4. 2003 Data &amp; 2005 PILs'!B217</f>
        <v>0.008183981946476702</v>
      </c>
      <c r="E58" s="15"/>
      <c r="F58" s="15"/>
      <c r="G58" s="15"/>
    </row>
    <row r="59" spans="1:7" ht="12.75">
      <c r="A59" s="112"/>
      <c r="B59" s="112"/>
      <c r="C59" s="113"/>
      <c r="D59" s="113"/>
      <c r="E59" s="15"/>
      <c r="F59" s="15"/>
      <c r="G59" s="15"/>
    </row>
    <row r="60" spans="1:7" ht="12.75">
      <c r="A60" s="109" t="s">
        <v>69</v>
      </c>
      <c r="B60" s="109"/>
      <c r="C60" s="110"/>
      <c r="D60" s="114">
        <f>+'3. 2005 Base Rate Schedule'!D58+'4. 2003 Data &amp; 2005 PILs'!C219</f>
        <v>7.057043226024896</v>
      </c>
      <c r="E60" s="15"/>
      <c r="F60" s="15"/>
      <c r="G60" s="15"/>
    </row>
    <row r="61" spans="3:7" ht="12.75">
      <c r="C61" s="15"/>
      <c r="D61" s="15"/>
      <c r="E61" s="15"/>
      <c r="F61" s="15"/>
      <c r="G61" s="15"/>
    </row>
    <row r="62" spans="3:7" ht="12.75">
      <c r="C62" s="15"/>
      <c r="D62" s="15"/>
      <c r="E62" s="15"/>
      <c r="F62" s="15"/>
      <c r="G62" s="15"/>
    </row>
    <row r="63" spans="1:7" ht="12.75">
      <c r="A63" s="484" t="s">
        <v>219</v>
      </c>
      <c r="B63" s="15"/>
      <c r="C63" s="15"/>
      <c r="D63" s="49"/>
      <c r="E63" s="15"/>
      <c r="F63" s="15"/>
      <c r="G63" s="15"/>
    </row>
    <row r="64" spans="1:7" ht="12.75">
      <c r="A64" s="109" t="s">
        <v>68</v>
      </c>
      <c r="B64" s="109"/>
      <c r="C64" s="110"/>
      <c r="D64" s="111">
        <f>+'3. 2005 Base Rate Schedule'!D62+'4. 2003 Data &amp; 2005 PILs'!B234</f>
        <v>0.011933054794231982</v>
      </c>
      <c r="E64" s="15"/>
      <c r="F64" s="15"/>
      <c r="G64" s="15"/>
    </row>
    <row r="65" spans="1:7" ht="12.75">
      <c r="A65" s="112"/>
      <c r="B65" s="112"/>
      <c r="C65" s="113"/>
      <c r="D65" s="113"/>
      <c r="E65" s="15"/>
      <c r="F65" s="15"/>
      <c r="G65" s="15"/>
    </row>
    <row r="66" spans="1:7" ht="12.75">
      <c r="A66" s="109" t="s">
        <v>69</v>
      </c>
      <c r="B66" s="109"/>
      <c r="C66" s="110"/>
      <c r="D66" s="114">
        <f>+'3. 2005 Base Rate Schedule'!D64+'4. 2003 Data &amp; 2005 PILs'!C236</f>
        <v>10.723239435311964</v>
      </c>
      <c r="E66" s="15"/>
      <c r="F66" s="15"/>
      <c r="G66" s="15"/>
    </row>
    <row r="67" spans="3:7" ht="12.75">
      <c r="C67" s="15"/>
      <c r="D67" s="15"/>
      <c r="E67" s="15"/>
      <c r="F67" s="15"/>
      <c r="G67" s="15"/>
    </row>
    <row r="68" spans="3:7" ht="12.75">
      <c r="C68" s="15"/>
      <c r="D68" s="15"/>
      <c r="E68" s="15"/>
      <c r="F68" s="15"/>
      <c r="G68" s="15"/>
    </row>
    <row r="69" spans="1:7" ht="12.75">
      <c r="A69" s="484" t="s">
        <v>220</v>
      </c>
      <c r="B69" s="15"/>
      <c r="C69" s="15"/>
      <c r="D69" s="49"/>
      <c r="E69" s="15"/>
      <c r="F69" s="15"/>
      <c r="G69" s="15"/>
    </row>
    <row r="70" spans="1:7" ht="12.75">
      <c r="A70" s="109" t="s">
        <v>68</v>
      </c>
      <c r="B70" s="109"/>
      <c r="C70" s="110"/>
      <c r="D70" s="111">
        <f>+'3. 2005 Base Rate Schedule'!D68+'4. 2003 Data &amp; 2005 PILs'!B251</f>
        <v>0.016086061586762103</v>
      </c>
      <c r="E70" s="15"/>
      <c r="F70" s="15"/>
      <c r="G70" s="15"/>
    </row>
    <row r="71" spans="1:7" ht="12.75">
      <c r="A71" s="112"/>
      <c r="B71" s="112"/>
      <c r="C71" s="113"/>
      <c r="D71" s="113"/>
      <c r="E71" s="15"/>
      <c r="F71" s="15"/>
      <c r="G71" s="15"/>
    </row>
    <row r="72" spans="1:7" ht="12.75">
      <c r="A72" s="109" t="s">
        <v>69</v>
      </c>
      <c r="B72" s="109"/>
      <c r="C72" s="110"/>
      <c r="D72" s="114">
        <f>+'3. 2005 Base Rate Schedule'!D70+'4. 2003 Data &amp; 2005 PILs'!C253</f>
        <v>14.222490480733107</v>
      </c>
      <c r="E72" s="15"/>
      <c r="F72" s="15"/>
      <c r="G72" s="15"/>
    </row>
    <row r="73" spans="3:7" ht="12.75">
      <c r="C73" s="15"/>
      <c r="D73" s="15"/>
      <c r="E73" s="15"/>
      <c r="F73" s="15"/>
      <c r="G73" s="15"/>
    </row>
    <row r="74" spans="3:7" ht="12.75">
      <c r="C74" s="15"/>
      <c r="D74" s="15"/>
      <c r="E74" s="15"/>
      <c r="F74" s="15"/>
      <c r="G74" s="15"/>
    </row>
    <row r="75" spans="1:7" ht="12.75">
      <c r="A75" s="484" t="s">
        <v>221</v>
      </c>
      <c r="B75" s="15"/>
      <c r="C75" s="15"/>
      <c r="D75" s="49"/>
      <c r="E75" s="15"/>
      <c r="F75" s="15"/>
      <c r="G75" s="15"/>
    </row>
    <row r="76" spans="1:7" ht="12.75">
      <c r="A76" s="109" t="s">
        <v>68</v>
      </c>
      <c r="B76" s="109"/>
      <c r="C76" s="110"/>
      <c r="D76" s="111">
        <f>+'3. 2005 Base Rate Schedule'!D74+'4. 2003 Data &amp; 2005 PILs'!B268</f>
        <v>0.010711346845987277</v>
      </c>
      <c r="E76" s="15"/>
      <c r="F76" s="15"/>
      <c r="G76" s="15"/>
    </row>
    <row r="77" spans="1:7" ht="12.75">
      <c r="A77" s="112"/>
      <c r="B77" s="112"/>
      <c r="C77" s="113"/>
      <c r="D77" s="113"/>
      <c r="E77" s="15"/>
      <c r="F77" s="15"/>
      <c r="G77" s="15"/>
    </row>
    <row r="78" spans="1:7" ht="12.75">
      <c r="A78" s="109" t="s">
        <v>69</v>
      </c>
      <c r="B78" s="109"/>
      <c r="C78" s="110"/>
      <c r="D78" s="114">
        <f>+'3. 2005 Base Rate Schedule'!D76+'4. 2003 Data &amp; 2005 PILs'!C270</f>
        <v>10.102733291558184</v>
      </c>
      <c r="E78" s="15"/>
      <c r="F78" s="15"/>
      <c r="G78" s="15"/>
    </row>
    <row r="79" spans="3:7" ht="12.75">
      <c r="C79" s="15"/>
      <c r="D79" s="15"/>
      <c r="E79" s="15"/>
      <c r="F79" s="15"/>
      <c r="G79" s="15"/>
    </row>
    <row r="80" spans="3:7" ht="12.75">
      <c r="C80" s="15"/>
      <c r="D80" s="15"/>
      <c r="E80" s="15"/>
      <c r="F80" s="15"/>
      <c r="G80" s="15"/>
    </row>
    <row r="81" spans="1:7" ht="18">
      <c r="A81" s="55" t="s">
        <v>2</v>
      </c>
      <c r="C81" s="53"/>
      <c r="D81" s="52"/>
      <c r="E81" s="15"/>
      <c r="F81" s="15"/>
      <c r="G81" s="15"/>
    </row>
    <row r="82" spans="3:7" ht="12.75">
      <c r="C82" s="15"/>
      <c r="D82" s="15"/>
      <c r="E82" s="15"/>
      <c r="F82" s="15"/>
      <c r="G82" s="15"/>
    </row>
    <row r="83" spans="1:7" ht="12.75">
      <c r="A83" s="109" t="s">
        <v>68</v>
      </c>
      <c r="B83" s="109"/>
      <c r="C83" s="110"/>
      <c r="D83" s="111"/>
      <c r="E83" s="15"/>
      <c r="F83" s="15"/>
      <c r="G83" s="15"/>
    </row>
    <row r="84" spans="1:7" ht="12.75">
      <c r="A84" s="112"/>
      <c r="B84" s="112"/>
      <c r="C84" s="113"/>
      <c r="D84" s="113"/>
      <c r="E84" s="15"/>
      <c r="F84" s="15"/>
      <c r="G84" s="15"/>
    </row>
    <row r="85" spans="1:7" ht="12.75">
      <c r="A85" s="109" t="s">
        <v>69</v>
      </c>
      <c r="B85" s="109"/>
      <c r="C85" s="110"/>
      <c r="D85" s="114"/>
      <c r="E85" s="15"/>
      <c r="F85" s="15"/>
      <c r="G85" s="15"/>
    </row>
    <row r="86" spans="3:7" ht="12.75">
      <c r="C86" s="15"/>
      <c r="D86" s="49"/>
      <c r="E86" s="15"/>
      <c r="F86" s="15"/>
      <c r="G86" s="15"/>
    </row>
    <row r="87" spans="3:7" ht="12.75">
      <c r="C87" s="15"/>
      <c r="D87" s="15"/>
      <c r="E87" s="15"/>
      <c r="F87" s="15"/>
      <c r="G87" s="15"/>
    </row>
    <row r="88" spans="1:7" ht="18">
      <c r="A88" s="55" t="s">
        <v>3</v>
      </c>
      <c r="C88" s="53"/>
      <c r="D88" s="52"/>
      <c r="E88" s="15"/>
      <c r="F88" s="15"/>
      <c r="G88" s="15"/>
    </row>
    <row r="89" spans="3:7" ht="12.75">
      <c r="C89" s="15"/>
      <c r="D89" s="15"/>
      <c r="E89" s="15"/>
      <c r="F89" s="15"/>
      <c r="G89" s="15"/>
    </row>
    <row r="90" spans="1:7" ht="12.75">
      <c r="A90" s="109" t="s">
        <v>68</v>
      </c>
      <c r="B90" s="34"/>
      <c r="C90" s="23"/>
      <c r="D90" s="107">
        <f>+'3. 2005 Base Rate Schedule'!D88+'4. 2003 Data &amp; 2005 PILs'!B288</f>
        <v>0.00924574632939034</v>
      </c>
      <c r="E90" s="15"/>
      <c r="F90" s="15"/>
      <c r="G90" s="15"/>
    </row>
    <row r="91" spans="1:7" ht="12.75">
      <c r="A91" s="112"/>
      <c r="C91" s="15"/>
      <c r="D91" s="15"/>
      <c r="E91" s="15"/>
      <c r="F91" s="15"/>
      <c r="G91" s="15"/>
    </row>
    <row r="92" spans="1:7" ht="12.75">
      <c r="A92" s="109" t="s">
        <v>69</v>
      </c>
      <c r="B92" s="34"/>
      <c r="C92" s="23"/>
      <c r="D92" s="108">
        <f>+'3. 2005 Base Rate Schedule'!D90+'4. 2003 Data &amp; 2005 PILs'!C310</f>
        <v>32.23453397499679</v>
      </c>
      <c r="E92" s="15"/>
      <c r="F92" s="15"/>
      <c r="G92" s="15"/>
    </row>
    <row r="93" spans="3:7" ht="12.75">
      <c r="C93" s="15"/>
      <c r="D93" s="15"/>
      <c r="E93" s="15"/>
      <c r="F93" s="15"/>
      <c r="G93" s="15"/>
    </row>
    <row r="94" spans="2:7" ht="12.75">
      <c r="B94" s="15"/>
      <c r="C94" s="15"/>
      <c r="D94" s="49"/>
      <c r="E94" s="15"/>
      <c r="F94" s="15"/>
      <c r="G94" s="15"/>
    </row>
    <row r="95" spans="1:7" ht="18">
      <c r="A95" s="55" t="s">
        <v>4</v>
      </c>
      <c r="B95" s="52"/>
      <c r="C95" s="53"/>
      <c r="D95" s="49"/>
      <c r="E95" s="15"/>
      <c r="F95" s="15"/>
      <c r="G95" s="15"/>
    </row>
    <row r="96" spans="2:7" ht="12.75">
      <c r="B96" s="15"/>
      <c r="C96" s="15"/>
      <c r="D96" s="49"/>
      <c r="E96" s="15"/>
      <c r="F96" s="15"/>
      <c r="G96" s="15"/>
    </row>
    <row r="97" spans="1:7" ht="12.75">
      <c r="A97" s="109" t="s">
        <v>70</v>
      </c>
      <c r="B97" s="34"/>
      <c r="C97" s="23"/>
      <c r="D97" s="107">
        <f>+'3. 2005 Base Rate Schedule'!D95+'4. 2003 Data &amp; 2005 PILs'!B308</f>
        <v>1.1154264894285477</v>
      </c>
      <c r="E97" s="15"/>
      <c r="F97" s="15"/>
      <c r="G97" s="15"/>
    </row>
    <row r="98" spans="1:7" ht="12.75">
      <c r="A98" s="112"/>
      <c r="C98" s="15"/>
      <c r="D98" s="15"/>
      <c r="E98" s="15"/>
      <c r="F98" s="15"/>
      <c r="G98" s="15"/>
    </row>
    <row r="99" spans="1:7" ht="12.75">
      <c r="A99" s="109" t="s">
        <v>69</v>
      </c>
      <c r="B99" s="34"/>
      <c r="C99" s="23"/>
      <c r="D99" s="108">
        <f>+'3. 2005 Base Rate Schedule'!D97+'4. 2003 Data &amp; 2005 PILs'!C310</f>
        <v>133.85747626351818</v>
      </c>
      <c r="E99" s="15"/>
      <c r="F99" s="15"/>
      <c r="G99" s="15"/>
    </row>
    <row r="100" spans="2:7" ht="12.75">
      <c r="B100" s="15"/>
      <c r="C100" s="15"/>
      <c r="D100" s="49"/>
      <c r="E100" s="15"/>
      <c r="F100" s="15"/>
      <c r="G100" s="15"/>
    </row>
    <row r="101" spans="2:7" ht="12.75">
      <c r="B101" s="15"/>
      <c r="C101" s="15"/>
      <c r="D101" s="49"/>
      <c r="E101" s="15"/>
      <c r="F101" s="15"/>
      <c r="G101" s="15"/>
    </row>
    <row r="102" spans="1:7" ht="18">
      <c r="A102" s="55" t="s">
        <v>5</v>
      </c>
      <c r="B102" s="52"/>
      <c r="C102" s="53"/>
      <c r="D102" s="49"/>
      <c r="E102" s="15"/>
      <c r="F102" s="15"/>
      <c r="G102" s="15"/>
    </row>
    <row r="103" spans="1:7" ht="12.75">
      <c r="A103" s="484" t="s">
        <v>211</v>
      </c>
      <c r="B103" s="15"/>
      <c r="C103" s="15"/>
      <c r="D103" s="49"/>
      <c r="E103" s="15"/>
      <c r="F103" s="15"/>
      <c r="G103" s="15"/>
    </row>
    <row r="104" spans="1:7" ht="12.75">
      <c r="A104" s="109" t="s">
        <v>70</v>
      </c>
      <c r="B104" s="23"/>
      <c r="C104" s="23"/>
      <c r="D104" s="107">
        <f>+'3. 2005 Base Rate Schedule'!D102+'4. 2003 Data &amp; 2005 PILs'!B328</f>
        <v>1.2144098315184366</v>
      </c>
      <c r="E104" s="15"/>
      <c r="F104" s="15"/>
      <c r="G104" s="15"/>
    </row>
    <row r="105" spans="1:7" ht="12.75">
      <c r="A105" s="112"/>
      <c r="B105" s="15"/>
      <c r="C105" s="15"/>
      <c r="D105" s="49"/>
      <c r="E105" s="15"/>
      <c r="F105" s="15"/>
      <c r="G105" s="15"/>
    </row>
    <row r="106" spans="1:7" ht="12.75">
      <c r="A106" s="109" t="s">
        <v>69</v>
      </c>
      <c r="B106" s="51"/>
      <c r="C106" s="23"/>
      <c r="D106" s="108">
        <f>+'3. 2005 Base Rate Schedule'!D104+'4. 2003 Data &amp; 2005 PILs'!C330</f>
        <v>2302.371858459347</v>
      </c>
      <c r="E106" s="15"/>
      <c r="F106" s="15"/>
      <c r="G106" s="15"/>
    </row>
    <row r="107" spans="2:7" ht="12.75">
      <c r="B107" s="15"/>
      <c r="C107" s="15"/>
      <c r="D107" s="49"/>
      <c r="E107" s="15"/>
      <c r="F107" s="15"/>
      <c r="G107" s="15"/>
    </row>
    <row r="108" spans="1:7" ht="18">
      <c r="A108" s="8"/>
      <c r="B108" s="15"/>
      <c r="C108" s="15"/>
      <c r="D108" s="49"/>
      <c r="E108" s="15"/>
      <c r="F108" s="15"/>
      <c r="G108" s="15"/>
    </row>
    <row r="109" spans="1:7" ht="12.75">
      <c r="A109" s="484" t="s">
        <v>213</v>
      </c>
      <c r="B109" s="15"/>
      <c r="C109" s="15"/>
      <c r="D109" s="49"/>
      <c r="E109" s="15"/>
      <c r="F109" s="15"/>
      <c r="G109" s="15"/>
    </row>
    <row r="110" spans="1:7" ht="12.75">
      <c r="A110" s="109" t="s">
        <v>70</v>
      </c>
      <c r="B110" s="23"/>
      <c r="C110" s="23"/>
      <c r="D110" s="107">
        <f>+'3. 2005 Base Rate Schedule'!D108+'4. 2003 Data &amp; 2005 PILs'!B345</f>
        <v>1.7150451513573508</v>
      </c>
      <c r="E110" s="15"/>
      <c r="F110" s="15"/>
      <c r="G110" s="15"/>
    </row>
    <row r="111" spans="1:7" ht="12.75">
      <c r="A111" s="112"/>
      <c r="B111" s="15"/>
      <c r="C111" s="15"/>
      <c r="D111" s="49"/>
      <c r="E111" s="15"/>
      <c r="F111" s="15"/>
      <c r="G111" s="15"/>
    </row>
    <row r="112" spans="1:7" ht="12.75">
      <c r="A112" s="109" t="s">
        <v>69</v>
      </c>
      <c r="B112" s="51"/>
      <c r="C112" s="23"/>
      <c r="D112" s="108">
        <f>+'3. 2005 Base Rate Schedule'!D110+'4. 2003 Data &amp; 2005 PILs'!C347</f>
        <v>3857.508826100473</v>
      </c>
      <c r="E112" s="15"/>
      <c r="F112" s="15"/>
      <c r="G112" s="15"/>
    </row>
    <row r="113" spans="1:7" ht="12.75">
      <c r="A113" s="296"/>
      <c r="B113" s="50"/>
      <c r="C113" s="20"/>
      <c r="D113" s="15"/>
      <c r="E113" s="15"/>
      <c r="F113" s="15"/>
      <c r="G113" s="15"/>
    </row>
    <row r="114" spans="1:7" ht="12.75">
      <c r="A114" s="296"/>
      <c r="B114" s="50"/>
      <c r="C114" s="20"/>
      <c r="D114" s="15"/>
      <c r="E114" s="15"/>
      <c r="F114" s="15"/>
      <c r="G114" s="15"/>
    </row>
    <row r="115" spans="1:7" ht="18">
      <c r="A115" s="55" t="s">
        <v>199</v>
      </c>
      <c r="B115" s="15"/>
      <c r="C115" s="15"/>
      <c r="D115" s="49"/>
      <c r="E115" s="15"/>
      <c r="F115" s="15"/>
      <c r="G115" s="15"/>
    </row>
    <row r="116" spans="1:7" ht="12.75">
      <c r="A116" s="296"/>
      <c r="B116" s="15"/>
      <c r="C116" s="15"/>
      <c r="D116" s="49"/>
      <c r="E116" s="15"/>
      <c r="F116" s="15"/>
      <c r="G116" s="15"/>
    </row>
    <row r="117" spans="1:7" ht="12.75">
      <c r="A117" s="109" t="s">
        <v>70</v>
      </c>
      <c r="B117" s="34"/>
      <c r="C117" s="23"/>
      <c r="D117" s="107"/>
      <c r="E117" s="15"/>
      <c r="F117" s="15"/>
      <c r="G117" s="15"/>
    </row>
    <row r="118" spans="1:7" ht="12.75">
      <c r="A118" s="112"/>
      <c r="C118" s="15"/>
      <c r="D118" s="15"/>
      <c r="E118" s="15"/>
      <c r="F118" s="15"/>
      <c r="G118" s="15"/>
    </row>
    <row r="119" spans="1:7" ht="12.75">
      <c r="A119" s="109" t="s">
        <v>69</v>
      </c>
      <c r="B119" s="34"/>
      <c r="C119" s="23"/>
      <c r="D119" s="108"/>
      <c r="E119" s="15"/>
      <c r="F119" s="15"/>
      <c r="G119" s="15"/>
    </row>
    <row r="120" spans="1:7" ht="12.75">
      <c r="A120" s="296"/>
      <c r="B120" s="31"/>
      <c r="C120" s="20"/>
      <c r="D120" s="15"/>
      <c r="E120" s="15"/>
      <c r="F120" s="15"/>
      <c r="G120" s="15"/>
    </row>
    <row r="121" spans="2:7" ht="12.75">
      <c r="B121" s="15"/>
      <c r="C121" s="15"/>
      <c r="D121" s="49"/>
      <c r="E121" s="15"/>
      <c r="F121" s="15"/>
      <c r="G121" s="15"/>
    </row>
    <row r="122" spans="1:7" ht="18">
      <c r="A122" s="55" t="s">
        <v>1</v>
      </c>
      <c r="B122" s="15"/>
      <c r="C122" s="15"/>
      <c r="D122" s="49"/>
      <c r="E122" s="15"/>
      <c r="F122" s="15"/>
      <c r="G122" s="15"/>
    </row>
    <row r="123" spans="1:7" ht="12.75">
      <c r="A123" s="484" t="s">
        <v>213</v>
      </c>
      <c r="B123" s="15"/>
      <c r="C123" s="15"/>
      <c r="D123" s="49"/>
      <c r="E123" s="15"/>
      <c r="F123" s="15"/>
      <c r="G123" s="15"/>
    </row>
    <row r="124" spans="1:7" ht="12.75">
      <c r="A124" s="109" t="s">
        <v>70</v>
      </c>
      <c r="B124" s="23"/>
      <c r="C124" s="23"/>
      <c r="D124" s="107">
        <f>+'3. 2005 Base Rate Schedule'!D122+'4. 2003 Data &amp; 2005 PILs'!B386</f>
        <v>2.355882768450915</v>
      </c>
      <c r="E124" s="15"/>
      <c r="F124" s="15"/>
      <c r="G124" s="15"/>
    </row>
    <row r="125" spans="1:7" ht="12.75">
      <c r="A125" s="112"/>
      <c r="B125" s="15"/>
      <c r="C125" s="15"/>
      <c r="D125" s="49"/>
      <c r="E125" s="15"/>
      <c r="F125" s="15"/>
      <c r="G125" s="15"/>
    </row>
    <row r="126" spans="1:7" ht="12.75">
      <c r="A126" s="109" t="s">
        <v>69</v>
      </c>
      <c r="B126" s="51"/>
      <c r="C126" s="23"/>
      <c r="D126" s="108">
        <f>+'3. 2005 Base Rate Schedule'!D124+'4. 2003 Data &amp; 2005 PILs'!C388</f>
        <v>10069.069583156099</v>
      </c>
      <c r="E126" s="15"/>
      <c r="F126" s="15"/>
      <c r="G126" s="15"/>
    </row>
    <row r="127" spans="2:7" ht="12.75">
      <c r="B127" s="15"/>
      <c r="C127" s="15"/>
      <c r="D127" s="49"/>
      <c r="E127" s="15"/>
      <c r="F127" s="15"/>
      <c r="G127" s="15"/>
    </row>
    <row r="128" spans="3:7" ht="12.75">
      <c r="C128" s="15"/>
      <c r="E128" s="15"/>
      <c r="F128" s="15"/>
      <c r="G128" s="15"/>
    </row>
    <row r="129" spans="1:7" ht="12.75">
      <c r="A129" s="485" t="s">
        <v>220</v>
      </c>
      <c r="B129" s="23"/>
      <c r="C129" s="23"/>
      <c r="D129" s="107">
        <f>+'3. 2005 Base Rate Schedule'!D127+'4. 2003 Data &amp; 2005 PILs'!B403</f>
        <v>2.448249787274606</v>
      </c>
      <c r="E129" s="15"/>
      <c r="F129" s="15"/>
      <c r="G129" s="15"/>
    </row>
    <row r="130" spans="1:7" ht="12.75">
      <c r="A130" s="112"/>
      <c r="B130" s="15"/>
      <c r="C130" s="15"/>
      <c r="D130" s="49"/>
      <c r="E130" s="15"/>
      <c r="F130" s="15"/>
      <c r="G130" s="15"/>
    </row>
    <row r="131" spans="1:7" ht="12.75">
      <c r="A131" s="109" t="s">
        <v>69</v>
      </c>
      <c r="B131" s="51"/>
      <c r="C131" s="23"/>
      <c r="D131" s="108">
        <f>+'3. 2005 Base Rate Schedule'!D129+'4. 2003 Data &amp; 2005 PILs'!C405</f>
        <v>12771.823754726202</v>
      </c>
      <c r="E131" s="15"/>
      <c r="F131" s="15"/>
      <c r="G131" s="15"/>
    </row>
    <row r="132" spans="1:7" ht="12.75">
      <c r="A132" s="296"/>
      <c r="B132" s="50"/>
      <c r="C132" s="20"/>
      <c r="D132" s="15"/>
      <c r="E132" s="15"/>
      <c r="F132" s="15"/>
      <c r="G132" s="15"/>
    </row>
    <row r="133" spans="1:7" ht="12.75">
      <c r="A133" s="296"/>
      <c r="B133" s="50"/>
      <c r="C133" s="20"/>
      <c r="D133" s="15"/>
      <c r="E133" s="15"/>
      <c r="F133" s="15"/>
      <c r="G133" s="15"/>
    </row>
    <row r="134" spans="1:7" ht="18">
      <c r="A134" s="55" t="s">
        <v>6</v>
      </c>
      <c r="B134" s="15"/>
      <c r="C134" s="15"/>
      <c r="D134" s="49"/>
      <c r="E134" s="15"/>
      <c r="F134" s="15"/>
      <c r="G134" s="15"/>
    </row>
    <row r="135" spans="1:7" ht="12.75">
      <c r="A135" s="484" t="s">
        <v>211</v>
      </c>
      <c r="B135" s="15"/>
      <c r="C135" s="15"/>
      <c r="D135" s="49"/>
      <c r="E135" s="15"/>
      <c r="F135" s="15"/>
      <c r="G135" s="15"/>
    </row>
    <row r="136" spans="1:7" ht="12.75">
      <c r="A136" s="109" t="s">
        <v>70</v>
      </c>
      <c r="B136" s="34"/>
      <c r="C136" s="23"/>
      <c r="D136" s="107">
        <f>+'3. 2005 Base Rate Schedule'!D134+'4. 2003 Data &amp; 2005 PILs'!B424</f>
        <v>1.5143168881707836</v>
      </c>
      <c r="E136" s="15"/>
      <c r="F136" s="15"/>
      <c r="G136" s="15"/>
    </row>
    <row r="137" spans="1:7" ht="12.75">
      <c r="A137" s="112"/>
      <c r="C137" s="15"/>
      <c r="D137" s="15"/>
      <c r="E137" s="15"/>
      <c r="F137" s="15"/>
      <c r="G137" s="15"/>
    </row>
    <row r="138" spans="1:7" ht="12.75">
      <c r="A138" s="109" t="s">
        <v>195</v>
      </c>
      <c r="B138" s="34"/>
      <c r="C138" s="23"/>
      <c r="D138" s="108">
        <f>+'3. 2005 Base Rate Schedule'!D136+'4. 2003 Data &amp; 2005 PILs'!C426</f>
        <v>1.708792589588354</v>
      </c>
      <c r="E138" s="15"/>
      <c r="F138" s="15"/>
      <c r="G138" s="15"/>
    </row>
    <row r="139" spans="2:7" ht="12.75">
      <c r="B139" s="15"/>
      <c r="C139" s="15"/>
      <c r="D139" s="49"/>
      <c r="E139" s="15"/>
      <c r="F139" s="15"/>
      <c r="G139" s="15"/>
    </row>
    <row r="140" spans="2:7" ht="12.75">
      <c r="B140" s="15"/>
      <c r="C140" s="15"/>
      <c r="D140" s="49"/>
      <c r="E140" s="15"/>
      <c r="F140" s="15"/>
      <c r="G140" s="15"/>
    </row>
    <row r="141" spans="1:7" ht="12.75">
      <c r="A141" s="484" t="s">
        <v>212</v>
      </c>
      <c r="B141" s="15"/>
      <c r="C141" s="15"/>
      <c r="D141" s="49"/>
      <c r="E141" s="15"/>
      <c r="F141" s="15"/>
      <c r="G141" s="15"/>
    </row>
    <row r="142" spans="1:7" ht="12.75">
      <c r="A142" s="109" t="s">
        <v>70</v>
      </c>
      <c r="B142" s="34"/>
      <c r="C142" s="23"/>
      <c r="D142" s="107">
        <f>+'3. 2005 Base Rate Schedule'!D140+'4. 2003 Data &amp; 2005 PILs'!B441</f>
        <v>3.2311407333708058</v>
      </c>
      <c r="E142" s="15"/>
      <c r="F142" s="15"/>
      <c r="G142" s="15"/>
    </row>
    <row r="143" spans="1:7" ht="12.75">
      <c r="A143" s="112"/>
      <c r="C143" s="15"/>
      <c r="D143" s="15"/>
      <c r="E143" s="15"/>
      <c r="F143" s="15"/>
      <c r="G143" s="15"/>
    </row>
    <row r="144" spans="1:7" ht="12.75">
      <c r="A144" s="109" t="s">
        <v>195</v>
      </c>
      <c r="B144" s="34"/>
      <c r="C144" s="23"/>
      <c r="D144" s="108">
        <f>+'3. 2005 Base Rate Schedule'!D142+'4. 2003 Data &amp; 2005 PILs'!C443</f>
        <v>3.139050610774767</v>
      </c>
      <c r="E144" s="15"/>
      <c r="F144" s="15"/>
      <c r="G144" s="15"/>
    </row>
    <row r="145" spans="2:7" ht="12.75">
      <c r="B145" s="15"/>
      <c r="C145" s="15"/>
      <c r="D145" s="49"/>
      <c r="E145" s="15"/>
      <c r="F145" s="15"/>
      <c r="G145" s="15"/>
    </row>
    <row r="146" spans="2:7" ht="12.75">
      <c r="B146" s="15"/>
      <c r="C146" s="15"/>
      <c r="D146" s="49"/>
      <c r="E146" s="15"/>
      <c r="F146" s="15"/>
      <c r="G146" s="15"/>
    </row>
    <row r="147" spans="1:7" ht="12.75">
      <c r="A147" s="484" t="s">
        <v>213</v>
      </c>
      <c r="B147" s="15"/>
      <c r="C147" s="15"/>
      <c r="D147" s="49"/>
      <c r="E147" s="15"/>
      <c r="F147" s="15"/>
      <c r="G147" s="15"/>
    </row>
    <row r="148" spans="1:7" ht="12.75">
      <c r="A148" s="109" t="s">
        <v>70</v>
      </c>
      <c r="B148" s="34"/>
      <c r="C148" s="23"/>
      <c r="D148" s="107">
        <f>+'3. 2005 Base Rate Schedule'!D146+'4. 2003 Data &amp; 2005 PILs'!B458</f>
        <v>2.9201137311228855</v>
      </c>
      <c r="E148" s="15"/>
      <c r="F148" s="15"/>
      <c r="G148" s="15"/>
    </row>
    <row r="149" spans="1:7" ht="12.75">
      <c r="A149" s="112"/>
      <c r="C149" s="15"/>
      <c r="D149" s="15"/>
      <c r="E149" s="15"/>
      <c r="F149" s="15"/>
      <c r="G149" s="15"/>
    </row>
    <row r="150" spans="1:7" ht="12.75">
      <c r="A150" s="109" t="s">
        <v>195</v>
      </c>
      <c r="B150" s="34"/>
      <c r="C150" s="23"/>
      <c r="D150" s="108">
        <f>+'3. 2005 Base Rate Schedule'!D148+'4. 2003 Data &amp; 2005 PILs'!C460</f>
        <v>4.851132973099862</v>
      </c>
      <c r="E150" s="15"/>
      <c r="F150" s="15"/>
      <c r="G150" s="15"/>
    </row>
    <row r="151" spans="2:7" ht="12.75">
      <c r="B151" s="15"/>
      <c r="C151" s="15"/>
      <c r="D151" s="49"/>
      <c r="E151" s="15"/>
      <c r="F151" s="15"/>
      <c r="G151" s="15"/>
    </row>
    <row r="152" spans="2:7" ht="12.75">
      <c r="B152" s="15"/>
      <c r="C152" s="15"/>
      <c r="D152" s="49"/>
      <c r="E152" s="15"/>
      <c r="F152" s="15"/>
      <c r="G152" s="15"/>
    </row>
    <row r="153" spans="1:7" ht="12.75">
      <c r="A153" s="484" t="s">
        <v>214</v>
      </c>
      <c r="B153" s="15"/>
      <c r="C153" s="15"/>
      <c r="D153" s="49"/>
      <c r="E153" s="15"/>
      <c r="F153" s="15"/>
      <c r="G153" s="15"/>
    </row>
    <row r="154" spans="1:7" ht="12.75">
      <c r="A154" s="109" t="s">
        <v>70</v>
      </c>
      <c r="B154" s="34"/>
      <c r="C154" s="23"/>
      <c r="D154" s="107">
        <f>+'3. 2005 Base Rate Schedule'!D152+'4. 2003 Data &amp; 2005 PILs'!B475</f>
        <v>2.9373783493550705</v>
      </c>
      <c r="E154" s="15"/>
      <c r="F154" s="15"/>
      <c r="G154" s="15"/>
    </row>
    <row r="155" spans="1:7" ht="12.75">
      <c r="A155" s="112"/>
      <c r="C155" s="15"/>
      <c r="D155" s="15"/>
      <c r="E155" s="15"/>
      <c r="F155" s="15"/>
      <c r="G155" s="15"/>
    </row>
    <row r="156" spans="1:7" ht="12.75">
      <c r="A156" s="109" t="s">
        <v>195</v>
      </c>
      <c r="B156" s="34"/>
      <c r="C156" s="23"/>
      <c r="D156" s="108">
        <f>+'3. 2005 Base Rate Schedule'!D154+'4. 2003 Data &amp; 2005 PILs'!C477</f>
        <v>4.519230142673625</v>
      </c>
      <c r="E156" s="15"/>
      <c r="F156" s="15"/>
      <c r="G156" s="15"/>
    </row>
    <row r="157" spans="2:7" ht="12.75">
      <c r="B157" s="15"/>
      <c r="C157" s="15"/>
      <c r="D157" s="49"/>
      <c r="E157" s="15"/>
      <c r="F157" s="15"/>
      <c r="G157" s="15"/>
    </row>
    <row r="158" spans="2:7" ht="12.75">
      <c r="B158" s="15"/>
      <c r="C158" s="15"/>
      <c r="D158" s="49"/>
      <c r="E158" s="15"/>
      <c r="F158" s="15"/>
      <c r="G158" s="15"/>
    </row>
    <row r="159" spans="1:7" ht="12.75">
      <c r="A159" s="484" t="s">
        <v>215</v>
      </c>
      <c r="B159" s="15"/>
      <c r="C159" s="15"/>
      <c r="D159" s="49"/>
      <c r="E159" s="15"/>
      <c r="F159" s="15"/>
      <c r="G159" s="15"/>
    </row>
    <row r="160" spans="1:7" ht="12.75">
      <c r="A160" s="109" t="s">
        <v>70</v>
      </c>
      <c r="B160" s="34"/>
      <c r="C160" s="23"/>
      <c r="D160" s="107">
        <f>+'3. 2005 Base Rate Schedule'!D158+'4. 2003 Data &amp; 2005 PILs'!B492</f>
        <v>0.17</v>
      </c>
      <c r="E160" s="15"/>
      <c r="F160" s="15"/>
      <c r="G160" s="15"/>
    </row>
    <row r="161" spans="1:7" ht="12.75">
      <c r="A161" s="112"/>
      <c r="C161" s="15"/>
      <c r="D161" s="15"/>
      <c r="E161" s="15"/>
      <c r="F161" s="15"/>
      <c r="G161" s="15"/>
    </row>
    <row r="162" spans="1:7" ht="12.75">
      <c r="A162" s="109" t="s">
        <v>195</v>
      </c>
      <c r="B162" s="34"/>
      <c r="C162" s="23"/>
      <c r="D162" s="108">
        <f>+'3. 2005 Base Rate Schedule'!D160+'4. 2003 Data &amp; 2005 PILs'!C494</f>
        <v>2.87</v>
      </c>
      <c r="E162" s="15"/>
      <c r="F162" s="15"/>
      <c r="G162" s="15"/>
    </row>
    <row r="163" spans="2:7" ht="12.75">
      <c r="B163" s="15"/>
      <c r="C163" s="15"/>
      <c r="D163" s="49"/>
      <c r="E163" s="15"/>
      <c r="F163" s="15"/>
      <c r="G163" s="15"/>
    </row>
    <row r="164" spans="2:7" ht="12.75">
      <c r="B164" s="15"/>
      <c r="C164" s="15"/>
      <c r="D164" s="49"/>
      <c r="E164" s="15"/>
      <c r="F164" s="15"/>
      <c r="G164" s="15"/>
    </row>
    <row r="165" spans="1:7" ht="12.75">
      <c r="A165" s="484" t="s">
        <v>216</v>
      </c>
      <c r="B165" s="15"/>
      <c r="C165" s="15"/>
      <c r="D165" s="49"/>
      <c r="E165" s="15"/>
      <c r="F165" s="15"/>
      <c r="G165" s="15"/>
    </row>
    <row r="166" spans="1:7" ht="12.75">
      <c r="A166" s="109" t="s">
        <v>70</v>
      </c>
      <c r="B166" s="34"/>
      <c r="C166" s="23"/>
      <c r="D166" s="107">
        <f>+'3. 2005 Base Rate Schedule'!D164+'4. 2003 Data &amp; 2005 PILs'!B509</f>
        <v>0.4705637771476718</v>
      </c>
      <c r="E166" s="15"/>
      <c r="F166" s="15"/>
      <c r="G166" s="15"/>
    </row>
    <row r="167" spans="1:7" ht="12.75">
      <c r="A167" s="112"/>
      <c r="C167" s="15"/>
      <c r="D167" s="15"/>
      <c r="E167" s="15"/>
      <c r="F167" s="15"/>
      <c r="G167" s="15"/>
    </row>
    <row r="168" spans="1:7" ht="12.75">
      <c r="A168" s="109" t="s">
        <v>195</v>
      </c>
      <c r="B168" s="34"/>
      <c r="C168" s="23"/>
      <c r="D168" s="108">
        <f>+'3. 2005 Base Rate Schedule'!D166+'4. 2003 Data &amp; 2005 PILs'!C511</f>
        <v>0.5224524096962097</v>
      </c>
      <c r="E168" s="15"/>
      <c r="F168" s="15"/>
      <c r="G168" s="15"/>
    </row>
    <row r="169" spans="2:7" ht="12.75">
      <c r="B169" s="15"/>
      <c r="C169" s="15"/>
      <c r="D169" s="49"/>
      <c r="E169" s="15"/>
      <c r="F169" s="15"/>
      <c r="G169" s="15"/>
    </row>
    <row r="170" spans="2:7" ht="12.75">
      <c r="B170" s="15"/>
      <c r="C170" s="15"/>
      <c r="D170" s="49"/>
      <c r="E170" s="15"/>
      <c r="F170" s="15"/>
      <c r="G170" s="15"/>
    </row>
    <row r="171" spans="1:7" ht="12.75">
      <c r="A171" s="484" t="s">
        <v>217</v>
      </c>
      <c r="B171" s="15"/>
      <c r="C171" s="15"/>
      <c r="D171" s="49"/>
      <c r="E171" s="15"/>
      <c r="F171" s="15"/>
      <c r="G171" s="15"/>
    </row>
    <row r="172" spans="1:7" ht="12.75">
      <c r="A172" s="109" t="s">
        <v>70</v>
      </c>
      <c r="B172" s="34"/>
      <c r="C172" s="23"/>
      <c r="D172" s="107">
        <f>+'3. 2005 Base Rate Schedule'!D170+'4. 2003 Data &amp; 2005 PILs'!B526</f>
        <v>2.312704518818933</v>
      </c>
      <c r="E172" s="15"/>
      <c r="F172" s="15"/>
      <c r="G172" s="15"/>
    </row>
    <row r="173" spans="1:7" ht="12.75">
      <c r="A173" s="112"/>
      <c r="C173" s="15"/>
      <c r="D173" s="15"/>
      <c r="E173" s="15"/>
      <c r="F173" s="15"/>
      <c r="G173" s="15"/>
    </row>
    <row r="174" spans="1:7" ht="12.75">
      <c r="A174" s="109" t="s">
        <v>195</v>
      </c>
      <c r="B174" s="34"/>
      <c r="C174" s="23"/>
      <c r="D174" s="108">
        <f>+'3. 2005 Base Rate Schedule'!D172+'4. 2003 Data &amp; 2005 PILs'!C528</f>
        <v>2.54736083886073</v>
      </c>
      <c r="E174" s="15"/>
      <c r="F174" s="15"/>
      <c r="G174" s="15"/>
    </row>
    <row r="175" spans="2:7" ht="12.75">
      <c r="B175" s="15"/>
      <c r="C175" s="15"/>
      <c r="D175" s="49"/>
      <c r="E175" s="15"/>
      <c r="F175" s="15"/>
      <c r="G175" s="15"/>
    </row>
    <row r="176" spans="2:7" ht="12.75">
      <c r="B176" s="15"/>
      <c r="C176" s="15"/>
      <c r="D176" s="49"/>
      <c r="E176" s="15"/>
      <c r="F176" s="15"/>
      <c r="G176" s="15"/>
    </row>
    <row r="177" spans="1:7" ht="12.75">
      <c r="A177" s="484" t="s">
        <v>218</v>
      </c>
      <c r="B177" s="15"/>
      <c r="C177" s="15"/>
      <c r="D177" s="49"/>
      <c r="E177" s="15"/>
      <c r="F177" s="15"/>
      <c r="G177" s="15"/>
    </row>
    <row r="178" spans="1:7" ht="12.75">
      <c r="A178" s="109" t="s">
        <v>70</v>
      </c>
      <c r="B178" s="34"/>
      <c r="C178" s="23"/>
      <c r="D178" s="107">
        <f>+'3. 2005 Base Rate Schedule'!D176+'4. 2003 Data &amp; 2005 PILs'!B543</f>
        <v>3.7565422115036773</v>
      </c>
      <c r="E178" s="15"/>
      <c r="F178" s="15"/>
      <c r="G178" s="15"/>
    </row>
    <row r="179" spans="1:7" ht="12.75">
      <c r="A179" s="112"/>
      <c r="C179" s="15"/>
      <c r="D179" s="15"/>
      <c r="E179" s="15"/>
      <c r="F179" s="15"/>
      <c r="G179" s="15"/>
    </row>
    <row r="180" spans="1:7" ht="12.75">
      <c r="A180" s="109" t="s">
        <v>195</v>
      </c>
      <c r="B180" s="34"/>
      <c r="C180" s="23"/>
      <c r="D180" s="108">
        <f>+'3. 2005 Base Rate Schedule'!D178+'4. 2003 Data &amp; 2005 PILs'!C545</f>
        <v>3.120638991195132</v>
      </c>
      <c r="E180" s="15"/>
      <c r="F180" s="15"/>
      <c r="G180" s="15"/>
    </row>
    <row r="181" spans="2:7" ht="12.75">
      <c r="B181" s="15"/>
      <c r="C181" s="15"/>
      <c r="D181" s="49"/>
      <c r="E181" s="15"/>
      <c r="F181" s="15"/>
      <c r="G181" s="15"/>
    </row>
    <row r="182" spans="2:7" ht="12.75">
      <c r="B182" s="15"/>
      <c r="C182" s="15"/>
      <c r="D182" s="49"/>
      <c r="E182" s="15"/>
      <c r="F182" s="15"/>
      <c r="G182" s="15"/>
    </row>
    <row r="183" spans="1:7" ht="12.75">
      <c r="A183" s="484" t="s">
        <v>219</v>
      </c>
      <c r="B183" s="15"/>
      <c r="C183" s="15"/>
      <c r="D183" s="49"/>
      <c r="E183" s="15"/>
      <c r="F183" s="15"/>
      <c r="G183" s="15"/>
    </row>
    <row r="184" spans="1:7" ht="12.75">
      <c r="A184" s="109" t="s">
        <v>70</v>
      </c>
      <c r="B184" s="34"/>
      <c r="C184" s="23"/>
      <c r="D184" s="107">
        <f>+'3. 2005 Base Rate Schedule'!D182+'4. 2003 Data &amp; 2005 PILs'!B560</f>
        <v>2.545308125601304</v>
      </c>
      <c r="E184" s="15"/>
      <c r="F184" s="15"/>
      <c r="G184" s="15"/>
    </row>
    <row r="185" spans="1:7" ht="12.75">
      <c r="A185" s="112"/>
      <c r="C185" s="15"/>
      <c r="D185" s="15"/>
      <c r="E185" s="15"/>
      <c r="F185" s="15"/>
      <c r="G185" s="15"/>
    </row>
    <row r="186" spans="1:7" ht="12.75">
      <c r="A186" s="109" t="s">
        <v>195</v>
      </c>
      <c r="B186" s="34"/>
      <c r="C186" s="23"/>
      <c r="D186" s="108">
        <f>+'3. 2005 Base Rate Schedule'!D184+'4. 2003 Data &amp; 2005 PILs'!C562</f>
        <v>3.6888194632301112</v>
      </c>
      <c r="E186" s="15"/>
      <c r="F186" s="15"/>
      <c r="G186" s="15"/>
    </row>
    <row r="187" spans="2:7" ht="12.75">
      <c r="B187" s="15"/>
      <c r="C187" s="15"/>
      <c r="D187" s="49"/>
      <c r="E187" s="15"/>
      <c r="F187" s="15"/>
      <c r="G187" s="15"/>
    </row>
    <row r="188" spans="2:7" ht="12.75">
      <c r="B188" s="15"/>
      <c r="C188" s="15"/>
      <c r="D188" s="49"/>
      <c r="E188" s="15"/>
      <c r="F188" s="15"/>
      <c r="G188" s="15"/>
    </row>
    <row r="189" spans="1:7" ht="12.75">
      <c r="A189" s="484" t="s">
        <v>220</v>
      </c>
      <c r="B189" s="15"/>
      <c r="C189" s="15"/>
      <c r="D189" s="49"/>
      <c r="E189" s="15"/>
      <c r="F189" s="15"/>
      <c r="G189" s="15"/>
    </row>
    <row r="190" spans="1:7" ht="12.75">
      <c r="A190" s="109" t="s">
        <v>70</v>
      </c>
      <c r="B190" s="34"/>
      <c r="C190" s="23"/>
      <c r="D190" s="107">
        <f>+'3. 2005 Base Rate Schedule'!D188+'4. 2003 Data &amp; 2005 PILs'!B577</f>
        <v>3.1454687443317653</v>
      </c>
      <c r="E190" s="15"/>
      <c r="F190" s="15"/>
      <c r="G190" s="15"/>
    </row>
    <row r="191" spans="1:7" ht="12.75">
      <c r="A191" s="112"/>
      <c r="C191" s="15"/>
      <c r="D191" s="15"/>
      <c r="E191" s="15"/>
      <c r="F191" s="15"/>
      <c r="G191" s="15"/>
    </row>
    <row r="192" spans="1:7" ht="12.75">
      <c r="A192" s="109" t="s">
        <v>195</v>
      </c>
      <c r="B192" s="34"/>
      <c r="C192" s="23"/>
      <c r="D192" s="108">
        <f>+'3. 2005 Base Rate Schedule'!D190+'4. 2003 Data &amp; 2005 PILs'!C579</f>
        <v>4.603533236187455</v>
      </c>
      <c r="E192" s="15"/>
      <c r="F192" s="15"/>
      <c r="G192" s="15"/>
    </row>
    <row r="193" spans="2:7" ht="12.75">
      <c r="B193" s="15"/>
      <c r="C193" s="15"/>
      <c r="D193" s="49"/>
      <c r="E193" s="15"/>
      <c r="F193" s="15"/>
      <c r="G193" s="15"/>
    </row>
    <row r="194" spans="2:7" ht="12.75">
      <c r="B194" s="15"/>
      <c r="C194" s="15"/>
      <c r="D194" s="49"/>
      <c r="E194" s="15"/>
      <c r="F194" s="15"/>
      <c r="G194" s="15"/>
    </row>
    <row r="195" spans="1:7" ht="12.75">
      <c r="A195" s="484" t="s">
        <v>221</v>
      </c>
      <c r="B195" s="15"/>
      <c r="C195" s="15"/>
      <c r="D195" s="49"/>
      <c r="E195" s="15"/>
      <c r="F195" s="15"/>
      <c r="G195" s="15"/>
    </row>
    <row r="196" spans="1:7" ht="12.75">
      <c r="A196" s="109" t="s">
        <v>70</v>
      </c>
      <c r="B196" s="34"/>
      <c r="C196" s="23"/>
      <c r="D196" s="107">
        <f>+'3. 2005 Base Rate Schedule'!D194+'4. 2003 Data &amp; 2005 PILs'!B594</f>
        <v>1.0031809752329042</v>
      </c>
      <c r="E196" s="15"/>
      <c r="F196" s="15"/>
      <c r="G196" s="15"/>
    </row>
    <row r="197" spans="1:7" ht="12.75">
      <c r="A197" s="112"/>
      <c r="C197" s="15"/>
      <c r="D197" s="15"/>
      <c r="E197" s="15"/>
      <c r="F197" s="15"/>
      <c r="G197" s="15"/>
    </row>
    <row r="198" spans="1:7" ht="12.75">
      <c r="A198" s="109" t="s">
        <v>195</v>
      </c>
      <c r="B198" s="34"/>
      <c r="C198" s="23"/>
      <c r="D198" s="108">
        <f>+'3. 2005 Base Rate Schedule'!D196+'4. 2003 Data &amp; 2005 PILs'!C596</f>
        <v>2.0154789635923094</v>
      </c>
      <c r="E198" s="15"/>
      <c r="F198" s="15"/>
      <c r="G198" s="15"/>
    </row>
    <row r="199" spans="2:7" ht="12.75">
      <c r="B199" s="15"/>
      <c r="C199" s="15"/>
      <c r="D199" s="49"/>
      <c r="E199" s="15"/>
      <c r="F199" s="15"/>
      <c r="G199" s="15"/>
    </row>
    <row r="200" spans="2:7" ht="12.75">
      <c r="B200" s="15"/>
      <c r="C200" s="15"/>
      <c r="D200" s="49"/>
      <c r="E200" s="15"/>
      <c r="F200" s="15"/>
      <c r="G200" s="15"/>
    </row>
    <row r="201" spans="1:7" ht="12.75">
      <c r="A201" s="12" t="s">
        <v>7</v>
      </c>
      <c r="B201" s="15"/>
      <c r="C201" s="15"/>
      <c r="D201" s="49"/>
      <c r="E201" s="15"/>
      <c r="F201" s="15"/>
      <c r="G201" s="15"/>
    </row>
    <row r="202" spans="2:7" ht="12.75">
      <c r="B202" s="15"/>
      <c r="C202" s="15"/>
      <c r="D202" s="49"/>
      <c r="E202" s="15"/>
      <c r="F202" s="15"/>
      <c r="G202" s="15"/>
    </row>
    <row r="203" spans="1:7" ht="18">
      <c r="A203" s="55" t="s">
        <v>8</v>
      </c>
      <c r="B203" s="15"/>
      <c r="C203" s="15"/>
      <c r="D203" s="49"/>
      <c r="E203" s="15"/>
      <c r="F203" s="15"/>
      <c r="G203" s="15"/>
    </row>
    <row r="204" spans="2:7" ht="12.75">
      <c r="B204" s="15"/>
      <c r="C204" s="15"/>
      <c r="D204" s="49"/>
      <c r="E204" s="15"/>
      <c r="F204" s="15"/>
      <c r="G204" s="15"/>
    </row>
    <row r="205" spans="1:7" ht="12.75">
      <c r="A205" s="109" t="s">
        <v>70</v>
      </c>
      <c r="B205" s="23"/>
      <c r="C205" s="23"/>
      <c r="D205" s="107"/>
      <c r="E205" s="15"/>
      <c r="F205" s="15"/>
      <c r="G205" s="15"/>
    </row>
    <row r="206" spans="1:7" ht="12.75">
      <c r="A206" s="112"/>
      <c r="B206" s="15"/>
      <c r="C206" s="15"/>
      <c r="D206" s="49"/>
      <c r="E206" s="15"/>
      <c r="F206" s="15"/>
      <c r="G206" s="15"/>
    </row>
    <row r="207" spans="1:7" ht="12.75">
      <c r="A207" s="109" t="s">
        <v>195</v>
      </c>
      <c r="B207" s="51"/>
      <c r="C207" s="23"/>
      <c r="D207" s="108"/>
      <c r="E207" s="15"/>
      <c r="F207" s="15"/>
      <c r="G207" s="15"/>
    </row>
    <row r="208" spans="2:7" ht="12.75">
      <c r="B208" s="15"/>
      <c r="C208" s="15"/>
      <c r="D208" s="49"/>
      <c r="E208" s="15"/>
      <c r="F208" s="15"/>
      <c r="G208" s="15"/>
    </row>
    <row r="209" spans="2:7" ht="12.75">
      <c r="B209" s="15"/>
      <c r="C209" s="15"/>
      <c r="D209" s="49"/>
      <c r="E209" s="15"/>
      <c r="F209" s="15"/>
      <c r="G209" s="15"/>
    </row>
    <row r="210" spans="1:7" ht="18">
      <c r="A210" s="55" t="s">
        <v>9</v>
      </c>
      <c r="B210" s="15"/>
      <c r="C210" s="15"/>
      <c r="D210" s="49"/>
      <c r="E210" s="15"/>
      <c r="F210" s="15"/>
      <c r="G210" s="15"/>
    </row>
    <row r="211" spans="2:7" ht="12.75">
      <c r="B211" s="15"/>
      <c r="C211" s="15"/>
      <c r="D211" s="49"/>
      <c r="E211" s="15"/>
      <c r="F211" s="15"/>
      <c r="G211" s="15"/>
    </row>
    <row r="212" spans="1:7" ht="12.75">
      <c r="A212" s="109" t="s">
        <v>70</v>
      </c>
      <c r="B212" s="34"/>
      <c r="C212" s="23"/>
      <c r="D212" s="107">
        <f>+'3. 2005 Base Rate Schedule'!D210+'4. 2003 Data &amp; 2005 PILs'!B614</f>
        <v>3.0503944931199127</v>
      </c>
      <c r="E212" s="15"/>
      <c r="F212" s="15"/>
      <c r="G212" s="15"/>
    </row>
    <row r="213" spans="1:7" ht="12.75">
      <c r="A213" s="112"/>
      <c r="C213" s="15"/>
      <c r="D213" s="15"/>
      <c r="E213" s="15"/>
      <c r="F213" s="15"/>
      <c r="G213" s="15"/>
    </row>
    <row r="214" spans="1:7" ht="12.75">
      <c r="A214" s="109" t="s">
        <v>195</v>
      </c>
      <c r="B214" s="34"/>
      <c r="C214" s="23"/>
      <c r="D214" s="108">
        <f>+'3. 2005 Base Rate Schedule'!D212+'4. 2003 Data &amp; 2005 PILs'!C616</f>
        <v>5164.943274510951</v>
      </c>
      <c r="E214" s="15"/>
      <c r="F214" s="15"/>
      <c r="G214" s="15"/>
    </row>
    <row r="215" spans="2:7" ht="12.75">
      <c r="B215" s="15"/>
      <c r="C215" s="15"/>
      <c r="D215" s="49"/>
      <c r="E215" s="15"/>
      <c r="F215" s="15"/>
      <c r="G215" s="15"/>
    </row>
    <row r="216" spans="1:7" ht="12.75">
      <c r="A216" s="12" t="s">
        <v>7</v>
      </c>
      <c r="B216" s="15"/>
      <c r="C216" s="15"/>
      <c r="D216" s="49"/>
      <c r="E216" s="15"/>
      <c r="F216" s="15"/>
      <c r="G216" s="15"/>
    </row>
    <row r="217" spans="2:7" ht="12.75">
      <c r="B217" s="15"/>
      <c r="C217" s="15"/>
      <c r="D217" s="49"/>
      <c r="E217" s="15"/>
      <c r="F217" s="15"/>
      <c r="G217" s="15"/>
    </row>
    <row r="218" spans="1:7" ht="18">
      <c r="A218" s="55" t="s">
        <v>10</v>
      </c>
      <c r="B218" s="15"/>
      <c r="C218" s="15"/>
      <c r="D218" s="49"/>
      <c r="E218" s="15"/>
      <c r="F218" s="15"/>
      <c r="G218" s="15"/>
    </row>
    <row r="219" spans="2:7" ht="12.75">
      <c r="B219" s="15"/>
      <c r="C219" s="15"/>
      <c r="D219" s="6"/>
      <c r="E219" s="15"/>
      <c r="F219" s="15"/>
      <c r="G219" s="15"/>
    </row>
    <row r="220" spans="1:7" ht="12.75">
      <c r="A220" s="109" t="s">
        <v>70</v>
      </c>
      <c r="B220" s="23"/>
      <c r="C220" s="23"/>
      <c r="D220" s="107"/>
      <c r="E220" s="15"/>
      <c r="F220" s="15"/>
      <c r="G220" s="15"/>
    </row>
    <row r="221" spans="1:7" ht="12.75">
      <c r="A221" s="112"/>
      <c r="B221" s="15"/>
      <c r="C221" s="15"/>
      <c r="D221" s="49"/>
      <c r="E221" s="15"/>
      <c r="F221" s="15"/>
      <c r="G221" s="15"/>
    </row>
    <row r="222" spans="1:7" ht="12.75">
      <c r="A222" s="109" t="s">
        <v>195</v>
      </c>
      <c r="B222" s="51"/>
      <c r="C222" s="23"/>
      <c r="D222" s="108"/>
      <c r="E222" s="15"/>
      <c r="F222" s="15"/>
      <c r="G222" s="15"/>
    </row>
    <row r="223" spans="2:7" ht="12.75">
      <c r="B223" s="15"/>
      <c r="C223" s="15"/>
      <c r="D223" s="49"/>
      <c r="E223" s="15"/>
      <c r="F223" s="15"/>
      <c r="G223" s="15"/>
    </row>
    <row r="224" spans="5:7" ht="12.75">
      <c r="E224" s="15"/>
      <c r="F224" s="15"/>
      <c r="G224" s="15"/>
    </row>
    <row r="225" spans="2:7" ht="12.75">
      <c r="B225" s="15"/>
      <c r="C225" s="15"/>
      <c r="D225" s="6"/>
      <c r="E225" s="15"/>
      <c r="F225" s="15"/>
      <c r="G225" s="15"/>
    </row>
    <row r="226" spans="1:7" ht="12.75">
      <c r="A226" s="109" t="s">
        <v>70</v>
      </c>
      <c r="B226" s="23"/>
      <c r="C226" s="23"/>
      <c r="D226" s="107"/>
      <c r="E226" s="15"/>
      <c r="F226" s="15"/>
      <c r="G226" s="15"/>
    </row>
    <row r="227" spans="1:7" ht="12.75">
      <c r="A227" s="112"/>
      <c r="B227" s="15"/>
      <c r="C227" s="15"/>
      <c r="D227" s="49"/>
      <c r="E227" s="15"/>
      <c r="F227" s="15"/>
      <c r="G227" s="15"/>
    </row>
    <row r="228" spans="1:7" ht="12.75">
      <c r="A228" s="109" t="s">
        <v>195</v>
      </c>
      <c r="B228" s="51"/>
      <c r="C228" s="23"/>
      <c r="D228" s="108"/>
      <c r="E228" s="15"/>
      <c r="F228" s="15"/>
      <c r="G228" s="15"/>
    </row>
    <row r="229" spans="2:7" ht="12.75">
      <c r="B229" s="15"/>
      <c r="C229" s="15"/>
      <c r="D229" s="49"/>
      <c r="E229" s="15"/>
      <c r="F229" s="15"/>
      <c r="G229" s="15"/>
    </row>
  </sheetData>
  <sheetProtection/>
  <mergeCells count="5">
    <mergeCell ref="A3:C3"/>
    <mergeCell ref="A6:C6"/>
    <mergeCell ref="A8:C8"/>
    <mergeCell ref="A5:C5"/>
    <mergeCell ref="B7:C7"/>
  </mergeCells>
  <printOptions/>
  <pageMargins left="0.4724409448818898" right="0.3937007874015748" top="0.4330708661417323" bottom="1.53" header="0.2755905511811024" footer="0.2362204724409449"/>
  <pageSetup horizontalDpi="600" verticalDpi="600" orientation="portrait" scale="90" r:id="rId1"/>
  <headerFooter alignWithMargins="0">
    <oddHeader>&amp;R&amp;P of &amp;N</oddHeader>
  </headerFooter>
  <rowBreaks count="5" manualBreakCount="5">
    <brk id="49" max="255" man="1"/>
    <brk id="86" max="255" man="1"/>
    <brk id="132" max="255" man="1"/>
    <brk id="169" max="255" man="1"/>
    <brk id="199" max="255" man="1"/>
  </rowBreaks>
</worksheet>
</file>

<file path=xl/worksheets/sheet7.xml><?xml version="1.0" encoding="utf-8"?>
<worksheet xmlns="http://schemas.openxmlformats.org/spreadsheetml/2006/main" xmlns:r="http://schemas.openxmlformats.org/officeDocument/2006/relationships">
  <dimension ref="A1:F206"/>
  <sheetViews>
    <sheetView zoomScalePageLayoutView="0" workbookViewId="0" topLeftCell="A1">
      <pane ySplit="1" topLeftCell="A36" activePane="bottomLeft" state="frozen"/>
      <selection pane="topLeft" activeCell="H27" sqref="H27"/>
      <selection pane="bottomLeft" activeCell="D44" sqref="D44"/>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139</v>
      </c>
      <c r="B1" s="35"/>
      <c r="C1" s="35"/>
      <c r="D1" s="10"/>
    </row>
    <row r="2" ht="13.5" thickBot="1"/>
    <row r="3" spans="1:3" ht="15.75">
      <c r="A3" s="518" t="str">
        <f>"Name of Utility:      "&amp;'Info Sheet'!B4</f>
        <v>Name of Utility:      Chatham-Kent Hydro</v>
      </c>
      <c r="B3" s="519"/>
      <c r="C3" s="455" t="str">
        <f>'Info Sheet'!$B$21</f>
        <v>2005.V1.1</v>
      </c>
    </row>
    <row r="4" spans="1:3" ht="15.75">
      <c r="A4" s="301" t="str">
        <f>"License Number:   "&amp;'Info Sheet'!B6</f>
        <v>License Number:   ED-2002-0563</v>
      </c>
      <c r="B4" s="456"/>
      <c r="C4" s="395" t="str">
        <f>'Info Sheet'!B8</f>
        <v>RP-2005-0013</v>
      </c>
    </row>
    <row r="5" spans="1:3" ht="18" customHeight="1">
      <c r="A5" s="515" t="str">
        <f>"Name of Contact:  "&amp;'Info Sheet'!B12</f>
        <v>Name of Contact:  Jim Hogan</v>
      </c>
      <c r="B5" s="516"/>
      <c r="C5" s="395" t="str">
        <f>'Info Sheet'!B10</f>
        <v>EB-2005-0017</v>
      </c>
    </row>
    <row r="6" spans="1:3" ht="15.75">
      <c r="A6" s="520" t="str">
        <f>"E- Mail Address:    "&amp;'Info Sheet'!B14</f>
        <v>E- Mail Address:    jimhogan@ckenergy.com</v>
      </c>
      <c r="B6" s="517"/>
      <c r="C6" s="460"/>
    </row>
    <row r="7" spans="1:4" ht="20.25">
      <c r="A7" s="301" t="str">
        <f>"Phone Number:     "&amp;'Info Sheet'!B16</f>
        <v>Phone Number:     </v>
      </c>
      <c r="B7" s="517" t="str">
        <f>'Info Sheet'!$C$16&amp;" "&amp;'Info Sheet'!$D$16</f>
        <v>519-352-6300 (277) </v>
      </c>
      <c r="C7" s="538"/>
      <c r="D7" s="13"/>
    </row>
    <row r="8" spans="1:4" ht="21" thickBot="1">
      <c r="A8" s="525" t="str">
        <f>"Date:                      "&amp;('Info Sheet'!B18)</f>
        <v>Date:                      March 10, 2005</v>
      </c>
      <c r="B8" s="526"/>
      <c r="C8" s="463"/>
      <c r="D8" s="13"/>
    </row>
    <row r="9" spans="2:4" ht="12" customHeight="1">
      <c r="B9" s="29"/>
      <c r="C9" s="27"/>
      <c r="D9" s="13"/>
    </row>
    <row r="10" spans="1:4" ht="64.5" customHeight="1">
      <c r="A10" s="537" t="s">
        <v>197</v>
      </c>
      <c r="B10" s="537"/>
      <c r="C10" s="537"/>
      <c r="D10" s="537"/>
    </row>
    <row r="11" spans="1:4" ht="13.5" customHeight="1">
      <c r="A11" s="38"/>
      <c r="B11" s="39"/>
      <c r="C11" s="40"/>
      <c r="D11" s="539" t="s">
        <v>148</v>
      </c>
    </row>
    <row r="12" spans="1:4" ht="15" customHeight="1">
      <c r="A12" s="541" t="s">
        <v>33</v>
      </c>
      <c r="B12" s="539" t="s">
        <v>59</v>
      </c>
      <c r="C12" s="40" t="s">
        <v>153</v>
      </c>
      <c r="D12" s="539"/>
    </row>
    <row r="13" spans="1:4" ht="15" customHeight="1">
      <c r="A13" s="542"/>
      <c r="B13" s="540"/>
      <c r="C13" s="41"/>
      <c r="D13" s="540"/>
    </row>
    <row r="14" spans="1:5" ht="14.25" customHeight="1">
      <c r="A14" s="42"/>
      <c r="C14" s="43"/>
      <c r="E14" s="15"/>
    </row>
    <row r="15" spans="1:5" ht="7.5" customHeight="1" thickBot="1">
      <c r="A15" s="11"/>
      <c r="B15" s="17"/>
      <c r="C15" s="17"/>
      <c r="D15" s="44"/>
      <c r="E15" s="15"/>
    </row>
    <row r="16" spans="1:5" ht="15">
      <c r="A16" s="320" t="s">
        <v>34</v>
      </c>
      <c r="B16" s="321">
        <v>1580</v>
      </c>
      <c r="C16" s="322"/>
      <c r="D16" s="323">
        <v>1393842</v>
      </c>
      <c r="E16" s="15"/>
    </row>
    <row r="17" spans="1:5" ht="15">
      <c r="A17" s="324" t="s">
        <v>38</v>
      </c>
      <c r="B17" s="58">
        <v>1582</v>
      </c>
      <c r="C17" s="59"/>
      <c r="D17" s="325">
        <v>30407</v>
      </c>
      <c r="E17" s="15"/>
    </row>
    <row r="18" spans="1:5" ht="15">
      <c r="A18" s="324" t="s">
        <v>35</v>
      </c>
      <c r="B18" s="58">
        <v>1584</v>
      </c>
      <c r="C18" s="59"/>
      <c r="D18" s="325">
        <v>-104484</v>
      </c>
      <c r="E18" s="15"/>
    </row>
    <row r="19" spans="1:5" ht="15">
      <c r="A19" s="324" t="s">
        <v>36</v>
      </c>
      <c r="B19" s="58">
        <v>1586</v>
      </c>
      <c r="C19" s="59"/>
      <c r="D19" s="325">
        <v>471680</v>
      </c>
      <c r="E19" s="15"/>
    </row>
    <row r="20" spans="1:5" ht="15">
      <c r="A20" s="324" t="s">
        <v>37</v>
      </c>
      <c r="B20" s="58">
        <v>1588</v>
      </c>
      <c r="C20" s="59"/>
      <c r="D20" s="325">
        <v>85453</v>
      </c>
      <c r="E20" s="15"/>
    </row>
    <row r="21" spans="1:5" ht="15">
      <c r="A21" s="326" t="s">
        <v>116</v>
      </c>
      <c r="B21" s="327"/>
      <c r="C21" s="328"/>
      <c r="D21" s="329">
        <f>SUM(D16:D20)</f>
        <v>1876898</v>
      </c>
      <c r="E21" s="15"/>
    </row>
    <row r="22" spans="1:5" ht="15">
      <c r="A22" s="101"/>
      <c r="B22" s="318"/>
      <c r="C22" s="21"/>
      <c r="D22" s="87"/>
      <c r="E22" s="15"/>
    </row>
    <row r="23" spans="1:5" ht="15">
      <c r="A23" s="533" t="s">
        <v>184</v>
      </c>
      <c r="B23" s="524"/>
      <c r="C23" s="524"/>
      <c r="D23" s="325">
        <v>533258</v>
      </c>
      <c r="E23" s="15"/>
    </row>
    <row r="24" spans="1:5" ht="15">
      <c r="A24" s="101"/>
      <c r="B24" s="318"/>
      <c r="C24" s="21"/>
      <c r="D24" s="87"/>
      <c r="E24" s="15"/>
    </row>
    <row r="25" spans="1:5" ht="15.75" thickBot="1">
      <c r="A25" s="330" t="s">
        <v>118</v>
      </c>
      <c r="B25" s="331"/>
      <c r="C25" s="332"/>
      <c r="D25" s="333">
        <f>D21-D23</f>
        <v>1343640</v>
      </c>
      <c r="E25" s="15"/>
    </row>
    <row r="26" ht="13.5" thickBot="1"/>
    <row r="27" spans="1:5" ht="15">
      <c r="A27" s="320" t="s">
        <v>39</v>
      </c>
      <c r="B27" s="321">
        <v>1508</v>
      </c>
      <c r="C27" s="322"/>
      <c r="D27" s="323"/>
      <c r="E27" s="15"/>
    </row>
    <row r="28" spans="1:5" ht="15">
      <c r="A28" s="334" t="s">
        <v>40</v>
      </c>
      <c r="B28" s="60">
        <v>1518</v>
      </c>
      <c r="C28" s="61"/>
      <c r="D28" s="335">
        <v>-27331</v>
      </c>
      <c r="E28" s="15"/>
    </row>
    <row r="29" spans="1:5" ht="15">
      <c r="A29" s="334" t="s">
        <v>41</v>
      </c>
      <c r="B29" s="60">
        <v>1548</v>
      </c>
      <c r="C29" s="62"/>
      <c r="D29" s="335">
        <v>37069</v>
      </c>
      <c r="E29" s="15"/>
    </row>
    <row r="30" spans="1:5" ht="15">
      <c r="A30" s="334" t="s">
        <v>42</v>
      </c>
      <c r="B30" s="60">
        <v>1525</v>
      </c>
      <c r="C30" s="61"/>
      <c r="D30" s="335">
        <v>273062</v>
      </c>
      <c r="E30" s="15"/>
    </row>
    <row r="31" spans="1:5" ht="15">
      <c r="A31" s="334" t="s">
        <v>43</v>
      </c>
      <c r="B31" s="60">
        <v>1562</v>
      </c>
      <c r="C31" s="61"/>
      <c r="D31" s="335">
        <v>158334</v>
      </c>
      <c r="E31" s="15"/>
    </row>
    <row r="32" spans="1:5" ht="15">
      <c r="A32" s="336" t="s">
        <v>56</v>
      </c>
      <c r="B32" s="60">
        <v>1563</v>
      </c>
      <c r="C32" s="61"/>
      <c r="D32" s="335">
        <v>0</v>
      </c>
      <c r="E32" s="15"/>
    </row>
    <row r="33" spans="1:5" ht="15">
      <c r="A33" s="334" t="s">
        <v>44</v>
      </c>
      <c r="B33" s="60">
        <v>1570</v>
      </c>
      <c r="C33" s="61"/>
      <c r="D33" s="335">
        <v>592001</v>
      </c>
      <c r="E33" s="15"/>
    </row>
    <row r="34" spans="1:5" ht="15">
      <c r="A34" s="334" t="s">
        <v>53</v>
      </c>
      <c r="B34" s="60">
        <v>1571</v>
      </c>
      <c r="C34" s="61"/>
      <c r="D34" s="335">
        <v>-612900</v>
      </c>
      <c r="E34" s="15"/>
    </row>
    <row r="35" spans="1:5" ht="15">
      <c r="A35" s="334" t="s">
        <v>45</v>
      </c>
      <c r="B35" s="60">
        <v>1572</v>
      </c>
      <c r="C35" s="61"/>
      <c r="D35" s="335"/>
      <c r="E35" s="15"/>
    </row>
    <row r="36" spans="1:5" ht="15">
      <c r="A36" s="334" t="s">
        <v>46</v>
      </c>
      <c r="B36" s="60">
        <v>1574</v>
      </c>
      <c r="C36" s="63"/>
      <c r="D36" s="337"/>
      <c r="E36" s="15"/>
    </row>
    <row r="37" spans="1:5" ht="15">
      <c r="A37" s="334" t="s">
        <v>47</v>
      </c>
      <c r="B37" s="60">
        <v>2425</v>
      </c>
      <c r="C37" s="63"/>
      <c r="D37" s="337"/>
      <c r="E37" s="15"/>
    </row>
    <row r="38" spans="1:5" ht="15">
      <c r="A38" s="326" t="s">
        <v>117</v>
      </c>
      <c r="B38" s="327"/>
      <c r="C38" s="328"/>
      <c r="D38" s="329">
        <f>SUM(D27:D37)</f>
        <v>420235</v>
      </c>
      <c r="E38" s="15"/>
    </row>
    <row r="39" spans="1:5" ht="15">
      <c r="A39" s="92"/>
      <c r="B39" s="318"/>
      <c r="C39" s="70"/>
      <c r="D39" s="338"/>
      <c r="E39" s="15"/>
    </row>
    <row r="40" spans="1:5" ht="15">
      <c r="A40" s="533" t="s">
        <v>185</v>
      </c>
      <c r="B40" s="524"/>
      <c r="C40" s="524"/>
      <c r="D40" s="325"/>
      <c r="E40" s="15"/>
    </row>
    <row r="41" spans="1:5" ht="15">
      <c r="A41" s="101"/>
      <c r="B41" s="318"/>
      <c r="C41" s="21"/>
      <c r="D41" s="87"/>
      <c r="E41" s="15"/>
    </row>
    <row r="42" spans="1:5" ht="15.75" thickBot="1">
      <c r="A42" s="330" t="s">
        <v>119</v>
      </c>
      <c r="B42" s="331"/>
      <c r="C42" s="332"/>
      <c r="D42" s="333">
        <f>D38-D40</f>
        <v>420235</v>
      </c>
      <c r="E42" s="15"/>
    </row>
    <row r="43" spans="1:5" ht="15.75" thickBot="1">
      <c r="A43" s="257"/>
      <c r="B43" s="318"/>
      <c r="C43" s="21"/>
      <c r="D43" s="319"/>
      <c r="E43" s="15"/>
    </row>
    <row r="44" spans="1:5" ht="15.75" thickBot="1">
      <c r="A44" s="64" t="s">
        <v>111</v>
      </c>
      <c r="B44" s="65"/>
      <c r="C44" s="77"/>
      <c r="D44" s="66">
        <f>D25+D42</f>
        <v>1763875</v>
      </c>
      <c r="E44" s="15"/>
    </row>
    <row r="45" spans="1:5" ht="15" thickTop="1">
      <c r="A45" s="11"/>
      <c r="B45" s="46"/>
      <c r="C45" s="78"/>
      <c r="D45" s="44"/>
      <c r="E45" s="15"/>
    </row>
    <row r="46" spans="1:5" ht="15" thickBot="1">
      <c r="A46" s="343"/>
      <c r="B46" s="344"/>
      <c r="C46" s="345"/>
      <c r="D46" s="346"/>
      <c r="E46" s="15"/>
    </row>
    <row r="47" spans="1:5" ht="16.5" thickBot="1" thickTop="1">
      <c r="A47" s="339" t="s">
        <v>112</v>
      </c>
      <c r="B47" s="340"/>
      <c r="C47" s="341"/>
      <c r="D47" s="342">
        <f>D44*1/3</f>
        <v>587958.3333333334</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34" t="str">
        <f>IF(D47&gt;D25,"---------------------------------------- Please go to Section 2 ----------------------------------------",IF(D47&lt;D25,"---------------------------------------- Please go to Section 1 ----------------------------------------",""))</f>
        <v>---------------------------------------- Please go to Section 1 ----------------------------------------</v>
      </c>
      <c r="B51" s="534"/>
      <c r="C51" s="534"/>
      <c r="D51" s="534"/>
      <c r="E51" s="15"/>
      <c r="F51" s="18"/>
    </row>
    <row r="52" spans="1:6" ht="18">
      <c r="A52" s="67"/>
      <c r="E52" s="15"/>
      <c r="F52" s="18"/>
    </row>
    <row r="53" spans="1:6" ht="13.5" thickBot="1">
      <c r="A53" s="31"/>
      <c r="B53" s="31"/>
      <c r="E53" s="15"/>
      <c r="F53" s="18"/>
    </row>
    <row r="54" spans="1:5" ht="15">
      <c r="A54" s="82" t="s">
        <v>120</v>
      </c>
      <c r="B54" s="97"/>
      <c r="C54" s="84"/>
      <c r="D54" s="85"/>
      <c r="E54" s="15"/>
    </row>
    <row r="55" spans="1:5" ht="15">
      <c r="A55" s="98"/>
      <c r="B55" s="31"/>
      <c r="C55" s="20"/>
      <c r="D55" s="87"/>
      <c r="E55" s="15"/>
    </row>
    <row r="56" spans="1:5" ht="12.75">
      <c r="A56" s="86"/>
      <c r="B56" s="50"/>
      <c r="C56" s="20"/>
      <c r="D56" s="89"/>
      <c r="E56" s="15"/>
    </row>
    <row r="57" spans="1:5" ht="31.5" customHeight="1">
      <c r="A57" s="535" t="s">
        <v>122</v>
      </c>
      <c r="B57" s="536"/>
      <c r="C57" s="73" t="s">
        <v>54</v>
      </c>
      <c r="D57" s="102">
        <f>IF(D47&lt;D25,D25,"N/A")</f>
        <v>1343640</v>
      </c>
      <c r="E57" s="15"/>
    </row>
    <row r="58" spans="1:6" ht="15">
      <c r="A58" s="88"/>
      <c r="B58" s="21"/>
      <c r="C58" s="21"/>
      <c r="D58" s="87"/>
      <c r="E58" s="15"/>
      <c r="F58" s="22"/>
    </row>
    <row r="59" spans="1:6" ht="15">
      <c r="A59" s="533" t="s">
        <v>112</v>
      </c>
      <c r="B59" s="524"/>
      <c r="C59" s="73" t="s">
        <v>55</v>
      </c>
      <c r="D59" s="102">
        <f>IF(D47&lt;D25,D47,"N/A")</f>
        <v>587958.3333333334</v>
      </c>
      <c r="E59" s="15"/>
      <c r="F59" s="21"/>
    </row>
    <row r="60" spans="1:6" ht="15" thickBot="1">
      <c r="A60" s="92"/>
      <c r="B60" s="21"/>
      <c r="C60" s="21"/>
      <c r="D60" s="99"/>
      <c r="E60" s="15"/>
      <c r="F60" s="11"/>
    </row>
    <row r="61" spans="1:6" ht="15.75" thickBot="1">
      <c r="A61" s="88" t="s">
        <v>126</v>
      </c>
      <c r="B61" s="21"/>
      <c r="C61" s="21"/>
      <c r="D61" s="104">
        <f>IF(D47&lt;D25,D57-D59,"N/A")</f>
        <v>755681.6666666666</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121</v>
      </c>
      <c r="B67" s="83"/>
      <c r="C67" s="84"/>
      <c r="D67" s="85"/>
      <c r="E67" s="15"/>
    </row>
    <row r="68" spans="1:5" ht="14.25">
      <c r="A68" s="86"/>
      <c r="B68" s="20"/>
      <c r="C68" s="20"/>
      <c r="D68" s="87"/>
      <c r="E68" s="15"/>
    </row>
    <row r="69" spans="1:5" ht="15">
      <c r="A69" s="88"/>
      <c r="B69" s="50"/>
      <c r="C69" s="20"/>
      <c r="D69" s="89"/>
      <c r="E69" s="15"/>
    </row>
    <row r="70" spans="1:5" ht="15">
      <c r="A70" s="535" t="s">
        <v>123</v>
      </c>
      <c r="B70" s="536"/>
      <c r="C70" s="73"/>
      <c r="D70" s="102" t="str">
        <f>IF(D47&gt;D25,D47,"N/A")</f>
        <v>N/A</v>
      </c>
      <c r="E70" s="15"/>
    </row>
    <row r="71" spans="1:5" ht="15">
      <c r="A71" s="88"/>
      <c r="B71" s="21"/>
      <c r="C71" s="74"/>
      <c r="D71" s="90"/>
      <c r="E71" s="15"/>
    </row>
    <row r="72" spans="1:5" ht="15">
      <c r="A72" s="533" t="s">
        <v>122</v>
      </c>
      <c r="B72" s="524"/>
      <c r="C72" s="73"/>
      <c r="D72" s="103" t="str">
        <f>IF(D47&gt;D25,D25,"N/A")</f>
        <v>N/A</v>
      </c>
      <c r="E72" s="15"/>
    </row>
    <row r="73" spans="1:6" ht="15">
      <c r="A73" s="88"/>
      <c r="B73" s="21"/>
      <c r="C73" s="74"/>
      <c r="D73" s="91"/>
      <c r="E73" s="15"/>
      <c r="F73" s="21"/>
    </row>
    <row r="74" spans="1:6" ht="15">
      <c r="A74" s="533" t="s">
        <v>125</v>
      </c>
      <c r="B74" s="524"/>
      <c r="C74" s="75"/>
      <c r="D74" s="103" t="str">
        <f>IF(D47&gt;D25,D72,"N/A")</f>
        <v>N/A</v>
      </c>
      <c r="E74" s="15"/>
      <c r="F74" s="11"/>
    </row>
    <row r="75" spans="1:5" ht="14.25">
      <c r="A75" s="92"/>
      <c r="B75" s="21"/>
      <c r="C75" s="74"/>
      <c r="D75" s="93"/>
      <c r="E75" s="15"/>
    </row>
    <row r="76" spans="1:5" ht="15">
      <c r="A76" s="533" t="s">
        <v>124</v>
      </c>
      <c r="B76" s="524"/>
      <c r="C76" s="76"/>
      <c r="D76" s="103" t="str">
        <f>IF(D47&gt;D25,D70-D74,"N/A")</f>
        <v>N/A</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57</v>
      </c>
      <c r="B81" s="52"/>
      <c r="C81" s="53"/>
      <c r="D81" s="24"/>
      <c r="E81" s="15"/>
    </row>
    <row r="82" spans="2:5" ht="12.75">
      <c r="B82" s="15"/>
      <c r="C82" s="15"/>
      <c r="D82" s="16"/>
      <c r="E82" s="15"/>
    </row>
    <row r="83" spans="1:5" ht="24.75" customHeight="1">
      <c r="A83" s="531" t="s">
        <v>66</v>
      </c>
      <c r="B83" s="531"/>
      <c r="C83" s="19"/>
      <c r="D83" s="80"/>
      <c r="E83" s="15"/>
    </row>
    <row r="84" spans="1:5" ht="21" customHeight="1">
      <c r="A84" s="532"/>
      <c r="B84" s="532"/>
      <c r="C84" s="23"/>
      <c r="D84" s="51"/>
      <c r="E84" s="15"/>
    </row>
    <row r="85" spans="2:5" ht="12.75">
      <c r="B85" s="49"/>
      <c r="C85" s="15"/>
      <c r="D85" s="49"/>
      <c r="E85" s="15"/>
    </row>
    <row r="86" spans="2:5" ht="12.75">
      <c r="B86" s="15"/>
      <c r="C86" s="15"/>
      <c r="D86" s="49"/>
      <c r="E86" s="15"/>
    </row>
    <row r="87" spans="1:5" ht="23.25" customHeight="1">
      <c r="A87" s="531" t="s">
        <v>67</v>
      </c>
      <c r="B87" s="531"/>
      <c r="C87" s="19"/>
      <c r="D87" s="80"/>
      <c r="E87" s="15"/>
    </row>
    <row r="88" spans="1:5" ht="24.75" customHeight="1">
      <c r="A88" s="532"/>
      <c r="B88" s="532"/>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0">
    <mergeCell ref="A3:B3"/>
    <mergeCell ref="A6:B6"/>
    <mergeCell ref="A8:B8"/>
    <mergeCell ref="A83:B84"/>
    <mergeCell ref="A57:B57"/>
    <mergeCell ref="A70:B70"/>
    <mergeCell ref="A59:B59"/>
    <mergeCell ref="A10:D10"/>
    <mergeCell ref="B7:C7"/>
    <mergeCell ref="A23:C23"/>
    <mergeCell ref="A87:B88"/>
    <mergeCell ref="A72:B72"/>
    <mergeCell ref="A74:B74"/>
    <mergeCell ref="A76:B76"/>
    <mergeCell ref="A51:D51"/>
    <mergeCell ref="A5:B5"/>
    <mergeCell ref="A40:C40"/>
    <mergeCell ref="D11:D13"/>
    <mergeCell ref="B12:B13"/>
    <mergeCell ref="A12:A13"/>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Q616"/>
  <sheetViews>
    <sheetView zoomScalePageLayoutView="0" workbookViewId="0" topLeftCell="A29">
      <selection activeCell="A598" sqref="A598"/>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166</v>
      </c>
    </row>
    <row r="2" ht="18.75" thickBot="1">
      <c r="A2" s="116"/>
    </row>
    <row r="3" spans="1:7" ht="18">
      <c r="A3" s="518" t="str">
        <f>"Name of Utility:      "&amp;'Info Sheet'!B4</f>
        <v>Name of Utility:      Chatham-Kent Hydro</v>
      </c>
      <c r="B3" s="519"/>
      <c r="C3" s="519"/>
      <c r="D3" s="455" t="str">
        <f>'Info Sheet'!$B$21</f>
        <v>2005.V1.1</v>
      </c>
      <c r="E3" s="36"/>
      <c r="F3" s="116"/>
      <c r="G3" s="117"/>
    </row>
    <row r="4" spans="1:7" ht="18">
      <c r="A4" s="301" t="str">
        <f>"License Number:   "&amp;'Info Sheet'!B6</f>
        <v>License Number:   ED-2002-0563</v>
      </c>
      <c r="B4" s="456"/>
      <c r="C4" s="391"/>
      <c r="D4" s="395" t="str">
        <f>'Info Sheet'!B8</f>
        <v>RP-2005-0013</v>
      </c>
      <c r="E4" s="36"/>
      <c r="F4" s="116"/>
      <c r="G4" s="117"/>
    </row>
    <row r="5" spans="1:4" ht="15.75">
      <c r="A5" s="515" t="str">
        <f>"Name of Contact:  "&amp;'Info Sheet'!B12</f>
        <v>Name of Contact:  Jim Hogan</v>
      </c>
      <c r="B5" s="516"/>
      <c r="C5" s="462"/>
      <c r="D5" s="395" t="str">
        <f>'Info Sheet'!B10</f>
        <v>EB-2005-0017</v>
      </c>
    </row>
    <row r="6" spans="1:4" ht="15.75">
      <c r="A6" s="520" t="str">
        <f>"E- Mail Address:    "&amp;'Info Sheet'!B14</f>
        <v>E- Mail Address:    jimhogan@ckenergy.com</v>
      </c>
      <c r="B6" s="517"/>
      <c r="C6" s="517"/>
      <c r="D6" s="460"/>
    </row>
    <row r="7" spans="1:4" ht="15.75">
      <c r="A7" s="301" t="str">
        <f>"Phone Number:     "&amp;'Info Sheet'!B16</f>
        <v>Phone Number:     </v>
      </c>
      <c r="B7" s="517" t="str">
        <f>'Info Sheet'!$C$16&amp;" "&amp;'Info Sheet'!$D$16</f>
        <v>519-352-6300 (277) </v>
      </c>
      <c r="C7" s="517"/>
      <c r="D7" s="460"/>
    </row>
    <row r="8" spans="1:4" ht="16.5" thickBot="1">
      <c r="A8" s="302" t="str">
        <f>"Date:                      "&amp;('Info Sheet'!B18)</f>
        <v>Date:                      March 10, 2005</v>
      </c>
      <c r="B8" s="458"/>
      <c r="C8" s="459"/>
      <c r="D8" s="461"/>
    </row>
    <row r="9" spans="1:3" ht="15.75">
      <c r="A9" s="28"/>
      <c r="B9" s="29"/>
      <c r="C9" s="27"/>
    </row>
    <row r="10" spans="1:7" ht="14.25">
      <c r="A10" s="136"/>
      <c r="B10" s="137"/>
      <c r="C10" s="137"/>
      <c r="D10" s="137"/>
      <c r="E10" s="137"/>
      <c r="F10" s="137"/>
      <c r="G10" s="137"/>
    </row>
    <row r="11" spans="1:7" ht="14.25">
      <c r="A11" s="136"/>
      <c r="B11" s="137"/>
      <c r="C11" s="137"/>
      <c r="D11" s="137"/>
      <c r="E11" s="137"/>
      <c r="F11" s="137"/>
      <c r="G11" s="137"/>
    </row>
    <row r="12" ht="12.75" customHeight="1">
      <c r="A12" s="118"/>
    </row>
    <row r="13" spans="2:3" ht="12.75">
      <c r="B13" s="106"/>
      <c r="C13" s="105"/>
    </row>
    <row r="14" spans="1:7" ht="15">
      <c r="A14" s="524" t="s">
        <v>108</v>
      </c>
      <c r="B14" s="524"/>
      <c r="C14" s="524"/>
      <c r="D14" s="524"/>
      <c r="E14" s="34"/>
      <c r="F14" s="138"/>
      <c r="G14" s="384">
        <f>IF('6. Dec. 31, 2003 Reg. Assets'!D59="N/A",'6. Dec. 31, 2003 Reg. Assets'!D74,'6. Dec. 31, 2003 Reg. Assets'!D59)</f>
        <v>587958.3333333334</v>
      </c>
    </row>
    <row r="15" spans="1:7" ht="14.25">
      <c r="A15" s="140"/>
      <c r="B15" s="141"/>
      <c r="C15" s="142"/>
      <c r="D15" s="143"/>
      <c r="E15" s="143"/>
      <c r="F15" s="105"/>
      <c r="G15" s="105"/>
    </row>
    <row r="16" spans="1:7" ht="14.25">
      <c r="A16" s="140"/>
      <c r="B16" s="141"/>
      <c r="C16" s="142"/>
      <c r="D16" s="143"/>
      <c r="E16" s="143"/>
      <c r="F16" s="105"/>
      <c r="G16" s="119"/>
    </row>
    <row r="17" spans="1:7" ht="15">
      <c r="A17" s="385" t="s">
        <v>167</v>
      </c>
      <c r="B17" s="137"/>
      <c r="C17" s="137"/>
      <c r="D17" s="137"/>
      <c r="E17" s="137"/>
      <c r="F17" s="137"/>
      <c r="G17" s="137"/>
    </row>
    <row r="18" spans="2:7" ht="12.75">
      <c r="B18" s="137"/>
      <c r="C18" s="137"/>
      <c r="D18" s="137"/>
      <c r="E18" s="137"/>
      <c r="F18" s="137"/>
      <c r="G18" s="137"/>
    </row>
    <row r="19" ht="13.5" thickBot="1"/>
    <row r="20" spans="1:8" ht="37.5" thickBot="1">
      <c r="A20" s="150" t="s">
        <v>163</v>
      </c>
      <c r="B20" s="151" t="s">
        <v>11</v>
      </c>
      <c r="C20" s="151" t="s">
        <v>12</v>
      </c>
      <c r="D20" s="151" t="s">
        <v>20</v>
      </c>
      <c r="E20" s="151" t="s">
        <v>13</v>
      </c>
      <c r="F20" s="151" t="s">
        <v>128</v>
      </c>
      <c r="G20" s="152" t="s">
        <v>129</v>
      </c>
      <c r="H20" s="121"/>
    </row>
    <row r="21" spans="1:7" ht="12.75">
      <c r="A21" s="86"/>
      <c r="B21" s="31"/>
      <c r="C21" s="122"/>
      <c r="D21" s="122"/>
      <c r="E21" s="31"/>
      <c r="F21" s="31"/>
      <c r="G21" s="100"/>
    </row>
    <row r="22" spans="1:8" ht="12.75">
      <c r="A22" s="147" t="s">
        <v>16</v>
      </c>
      <c r="B22" s="124">
        <f>'4. 2003 Data &amp; 2005 PILs'!B22</f>
        <v>0</v>
      </c>
      <c r="C22" s="124">
        <f>'4. 2003 Data &amp; 2005 PILs'!C22</f>
        <v>248324523</v>
      </c>
      <c r="D22" s="124">
        <f>'4. 2003 Data &amp; 2005 PILs'!D22</f>
        <v>28204</v>
      </c>
      <c r="E22" s="379">
        <f>'4. 2003 Data &amp; 2005 PILs'!E22</f>
        <v>6789194</v>
      </c>
      <c r="F22" s="144">
        <f>IF(ISERROR(C22/C$31),"",C22/C$31)</f>
        <v>0.28732795444187237</v>
      </c>
      <c r="G22" s="415">
        <f>IF(ISERROR($G$32*F22),0,$G$32*F22)</f>
        <v>168936.86521371923</v>
      </c>
      <c r="H22" s="125"/>
    </row>
    <row r="23" spans="1:8" ht="12.75">
      <c r="A23" s="147" t="s">
        <v>72</v>
      </c>
      <c r="B23" s="124">
        <f>'4. 2003 Data &amp; 2005 PILs'!B23</f>
        <v>42776</v>
      </c>
      <c r="C23" s="124">
        <f>'4. 2003 Data &amp; 2005 PILs'!C23</f>
        <v>107128527</v>
      </c>
      <c r="D23" s="124">
        <f>'4. 2003 Data &amp; 2005 PILs'!D23</f>
        <v>3273</v>
      </c>
      <c r="E23" s="379">
        <f>'4. 2003 Data &amp; 2005 PILs'!E23</f>
        <v>2052938</v>
      </c>
      <c r="F23" s="144">
        <f aca="true" t="shared" si="0" ref="F23:F29">IF(ISERROR(C23/C$31),"",C23/C$31)</f>
        <v>0.12395481587326314</v>
      </c>
      <c r="G23" s="415">
        <f aca="true" t="shared" si="1" ref="G23:G29">IF(ISERROR($G$32*F23),0,$G$32*F23)</f>
        <v>72880.26694948401</v>
      </c>
      <c r="H23" s="125"/>
    </row>
    <row r="24" spans="1:8" ht="12.75">
      <c r="A24" s="147" t="s">
        <v>73</v>
      </c>
      <c r="B24" s="124">
        <f>'4. 2003 Data &amp; 2005 PILs'!B24</f>
        <v>1013027</v>
      </c>
      <c r="C24" s="124">
        <f>'4. 2003 Data &amp; 2005 PILs'!C24</f>
        <v>396146453</v>
      </c>
      <c r="D24" s="124">
        <f>'4. 2003 Data &amp; 2005 PILs'!D24</f>
        <v>438</v>
      </c>
      <c r="E24" s="379">
        <f>'4. 2003 Data &amp; 2005 PILs'!E24</f>
        <v>1437248</v>
      </c>
      <c r="F24" s="144">
        <f t="shared" si="0"/>
        <v>0.45836773841258255</v>
      </c>
      <c r="G24" s="415">
        <f t="shared" si="1"/>
        <v>269501.1315308314</v>
      </c>
      <c r="H24" s="125"/>
    </row>
    <row r="25" spans="1:8" ht="12.75">
      <c r="A25" s="147" t="s">
        <v>74</v>
      </c>
      <c r="B25" s="124">
        <f>'4. 2003 Data &amp; 2005 PILs'!B25</f>
        <v>141975</v>
      </c>
      <c r="C25" s="124">
        <f>'4. 2003 Data &amp; 2005 PILs'!C25</f>
        <v>64160678</v>
      </c>
      <c r="D25" s="124">
        <f>'4. 2003 Data &amp; 2005 PILs'!D25</f>
        <v>4</v>
      </c>
      <c r="E25" s="379">
        <f>'4. 2003 Data &amp; 2005 PILs'!E25</f>
        <v>352321</v>
      </c>
      <c r="F25" s="144">
        <f t="shared" si="0"/>
        <v>0.07423816279853941</v>
      </c>
      <c r="G25" s="415">
        <f t="shared" si="1"/>
        <v>43648.9464687579</v>
      </c>
      <c r="H25" s="126"/>
    </row>
    <row r="26" spans="1:8" ht="12.75">
      <c r="A26" s="147" t="s">
        <v>141</v>
      </c>
      <c r="B26" s="124">
        <f>'4. 2003 Data &amp; 2005 PILs'!B26</f>
        <v>0</v>
      </c>
      <c r="C26" s="124">
        <f>'4. 2003 Data &amp; 2005 PILs'!C26</f>
        <v>0</v>
      </c>
      <c r="D26" s="124">
        <f>'4. 2003 Data &amp; 2005 PILs'!D26</f>
        <v>0</v>
      </c>
      <c r="E26" s="379">
        <f>'4. 2003 Data &amp; 2005 PILs'!E26</f>
        <v>0</v>
      </c>
      <c r="F26" s="144">
        <f t="shared" si="0"/>
        <v>0</v>
      </c>
      <c r="G26" s="415">
        <f t="shared" si="1"/>
        <v>0</v>
      </c>
      <c r="H26" s="126"/>
    </row>
    <row r="27" spans="1:8" ht="12.75">
      <c r="A27" s="147" t="s">
        <v>75</v>
      </c>
      <c r="B27" s="124">
        <f>'4. 2003 Data &amp; 2005 PILs'!B27</f>
        <v>116775</v>
      </c>
      <c r="C27" s="124">
        <f>'4. 2003 Data &amp; 2005 PILs'!C27</f>
        <v>40010798</v>
      </c>
      <c r="D27" s="124">
        <f>'4. 2003 Data &amp; 2005 PILs'!D27</f>
        <v>2</v>
      </c>
      <c r="E27" s="379">
        <f>'4. 2003 Data &amp; 2005 PILs'!E27</f>
        <v>394763</v>
      </c>
      <c r="F27" s="144">
        <f t="shared" si="0"/>
        <v>0.04629514880786445</v>
      </c>
      <c r="G27" s="415">
        <f t="shared" si="1"/>
        <v>27219.618534490637</v>
      </c>
      <c r="H27" s="126"/>
    </row>
    <row r="28" spans="1:8" ht="12.75">
      <c r="A28" s="147" t="s">
        <v>76</v>
      </c>
      <c r="B28" s="124">
        <f>'4. 2003 Data &amp; 2005 PILs'!B28</f>
        <v>1361</v>
      </c>
      <c r="C28" s="124">
        <f>'4. 2003 Data &amp; 2005 PILs'!C28</f>
        <v>418184</v>
      </c>
      <c r="D28" s="124">
        <f>'4. 2003 Data &amp; 2005 PILs'!D28</f>
        <v>363</v>
      </c>
      <c r="E28" s="379">
        <f>'4. 2003 Data &amp; 2005 PILs'!E28</f>
        <v>17678</v>
      </c>
      <c r="F28" s="144">
        <f t="shared" si="0"/>
        <v>0.0004838666429264417</v>
      </c>
      <c r="G28" s="415">
        <f t="shared" si="1"/>
        <v>284.4934249306258</v>
      </c>
      <c r="H28" s="125"/>
    </row>
    <row r="29" spans="1:8" ht="12.75">
      <c r="A29" s="147" t="s">
        <v>77</v>
      </c>
      <c r="B29" s="362">
        <f>'4. 2003 Data &amp; 2005 PILs'!B29</f>
        <v>22225</v>
      </c>
      <c r="C29" s="362">
        <f>'4. 2003 Data &amp; 2005 PILs'!C29</f>
        <v>8065495</v>
      </c>
      <c r="D29" s="362">
        <f>'4. 2003 Data &amp; 2005 PILs'!D29</f>
        <v>1</v>
      </c>
      <c r="E29" s="380">
        <f>'4. 2003 Data &amp; 2005 PILs'!E29</f>
        <v>110490</v>
      </c>
      <c r="F29" s="145">
        <f t="shared" si="0"/>
        <v>0.009332313022951622</v>
      </c>
      <c r="G29" s="416">
        <f t="shared" si="1"/>
        <v>5487.011211119598</v>
      </c>
      <c r="H29" s="127"/>
    </row>
    <row r="30" spans="1:8" ht="12.75">
      <c r="A30" s="147"/>
      <c r="B30" s="119"/>
      <c r="C30" s="128"/>
      <c r="D30" s="129"/>
      <c r="E30" s="119"/>
      <c r="F30" s="146"/>
      <c r="G30" s="415"/>
      <c r="H30" s="105"/>
    </row>
    <row r="31" spans="1:8" ht="12.75">
      <c r="A31" s="147" t="s">
        <v>14</v>
      </c>
      <c r="B31" s="31"/>
      <c r="C31" s="153">
        <f>SUM(C22:C29)</f>
        <v>864254658</v>
      </c>
      <c r="D31" s="153">
        <f>SUM(D22:D29)</f>
        <v>32285</v>
      </c>
      <c r="E31" s="154">
        <f>SUM(E22:E29)</f>
        <v>11154632</v>
      </c>
      <c r="F31" s="155">
        <f>SUM(F22:F29)</f>
        <v>1</v>
      </c>
      <c r="G31" s="409">
        <f>SUM(G22:G29)</f>
        <v>587958.3333333334</v>
      </c>
      <c r="H31" s="105"/>
    </row>
    <row r="32" spans="1:8" ht="12.75">
      <c r="A32" s="86"/>
      <c r="B32" s="31"/>
      <c r="C32" s="527" t="s">
        <v>194</v>
      </c>
      <c r="D32" s="527"/>
      <c r="E32" s="527"/>
      <c r="F32" s="528"/>
      <c r="G32" s="417">
        <f>G14</f>
        <v>587958.3333333334</v>
      </c>
      <c r="H32" s="130"/>
    </row>
    <row r="33" spans="1:7" ht="13.5" thickBot="1">
      <c r="A33" s="94"/>
      <c r="B33" s="148"/>
      <c r="C33" s="148"/>
      <c r="D33" s="148"/>
      <c r="E33" s="148"/>
      <c r="F33" s="148"/>
      <c r="G33" s="149"/>
    </row>
    <row r="35" ht="15.75">
      <c r="A35" s="163" t="s">
        <v>168</v>
      </c>
    </row>
    <row r="36" ht="15.75">
      <c r="A36" s="54"/>
    </row>
    <row r="37" ht="10.5" customHeight="1" thickBot="1">
      <c r="A37" s="54"/>
    </row>
    <row r="38" spans="1:8" ht="37.5" thickBot="1">
      <c r="A38" s="54" t="s">
        <v>235</v>
      </c>
      <c r="B38" s="9"/>
      <c r="C38" s="492" t="s">
        <v>12</v>
      </c>
      <c r="D38" s="151" t="s">
        <v>20</v>
      </c>
      <c r="E38" s="151" t="s">
        <v>13</v>
      </c>
      <c r="F38" s="151" t="s">
        <v>234</v>
      </c>
      <c r="G38" s="151" t="s">
        <v>238</v>
      </c>
      <c r="H38" s="9"/>
    </row>
    <row r="39" ht="10.5" customHeight="1">
      <c r="A39" s="132"/>
    </row>
    <row r="40" spans="1:8" ht="15">
      <c r="A40" s="132" t="s">
        <v>223</v>
      </c>
      <c r="B40" s="9"/>
      <c r="C40" s="488">
        <f>+'4. 2003 Data &amp; 2005 PILs'!C40</f>
        <v>15819391</v>
      </c>
      <c r="D40" s="488">
        <f>+'4. 2003 Data &amp; 2005 PILs'!D40</f>
        <v>1687</v>
      </c>
      <c r="E40" s="486">
        <f>+'4. 2003 Data &amp; 2005 PILs'!E40</f>
        <v>139805</v>
      </c>
      <c r="F40" s="490">
        <f>+E40/$E$51</f>
        <v>0.02059228238285723</v>
      </c>
      <c r="G40" s="494">
        <f>+F40*$G$22</f>
        <v>3478.7956333555967</v>
      </c>
      <c r="H40" s="9"/>
    </row>
    <row r="41" spans="1:8" ht="15">
      <c r="A41" s="132" t="s">
        <v>224</v>
      </c>
      <c r="B41" s="9"/>
      <c r="C41" s="488">
        <f>+'4. 2003 Data &amp; 2005 PILs'!C41</f>
        <v>3680038</v>
      </c>
      <c r="D41" s="488">
        <f>+'4. 2003 Data &amp; 2005 PILs'!D41</f>
        <v>388</v>
      </c>
      <c r="E41" s="486">
        <f>+'4. 2003 Data &amp; 2005 PILs'!E41</f>
        <v>110639</v>
      </c>
      <c r="F41" s="490">
        <f aca="true" t="shared" si="2" ref="F41:F50">+E41/$E$51</f>
        <v>0.016296337974728663</v>
      </c>
      <c r="G41" s="494">
        <f aca="true" t="shared" si="3" ref="G41:G50">+F41*$G$22</f>
        <v>2753.0522519139504</v>
      </c>
      <c r="H41" s="9"/>
    </row>
    <row r="42" spans="1:8" ht="15">
      <c r="A42" s="132" t="s">
        <v>225</v>
      </c>
      <c r="B42" s="9"/>
      <c r="C42" s="488">
        <f>+'4. 2003 Data &amp; 2005 PILs'!C42</f>
        <v>139169853</v>
      </c>
      <c r="D42" s="488">
        <f>+'4. 2003 Data &amp; 2005 PILs'!D42</f>
        <v>15994</v>
      </c>
      <c r="E42" s="486">
        <f>+'4. 2003 Data &amp; 2005 PILs'!E42</f>
        <v>3993514</v>
      </c>
      <c r="F42" s="490">
        <f t="shared" si="2"/>
        <v>0.5882162153563442</v>
      </c>
      <c r="G42" s="494">
        <f t="shared" si="3"/>
        <v>99371.40349017875</v>
      </c>
      <c r="H42" s="9"/>
    </row>
    <row r="43" spans="1:8" ht="15">
      <c r="A43" s="132" t="s">
        <v>226</v>
      </c>
      <c r="B43" s="9"/>
      <c r="C43" s="488">
        <f>+'4. 2003 Data &amp; 2005 PILs'!C43</f>
        <v>9624043</v>
      </c>
      <c r="D43" s="488">
        <f>+'4. 2003 Data &amp; 2005 PILs'!D43</f>
        <v>1006</v>
      </c>
      <c r="E43" s="486">
        <f>+'4. 2003 Data &amp; 2005 PILs'!E43</f>
        <v>256444</v>
      </c>
      <c r="F43" s="490">
        <f t="shared" si="2"/>
        <v>0.037772377693140013</v>
      </c>
      <c r="G43" s="494">
        <f t="shared" si="3"/>
        <v>6381.1470791476895</v>
      </c>
      <c r="H43" s="9"/>
    </row>
    <row r="44" spans="1:8" ht="15">
      <c r="A44" s="132" t="s">
        <v>227</v>
      </c>
      <c r="B44" s="9"/>
      <c r="C44" s="488">
        <f>+'4. 2003 Data &amp; 2005 PILs'!C44</f>
        <v>2597275</v>
      </c>
      <c r="D44" s="488">
        <f>+'4. 2003 Data &amp; 2005 PILs'!D44</f>
        <v>335</v>
      </c>
      <c r="E44" s="486">
        <f>+'4. 2003 Data &amp; 2005 PILs'!E44</f>
        <v>63911</v>
      </c>
      <c r="F44" s="490">
        <f t="shared" si="2"/>
        <v>0.0094136358454332</v>
      </c>
      <c r="G44" s="494">
        <f t="shared" si="3"/>
        <v>1590.3101299909843</v>
      </c>
      <c r="H44" s="9"/>
    </row>
    <row r="45" spans="1:8" ht="15">
      <c r="A45" s="132" t="s">
        <v>228</v>
      </c>
      <c r="B45" s="9"/>
      <c r="C45" s="488">
        <f>+'4. 2003 Data &amp; 2005 PILs'!C45</f>
        <v>2237409</v>
      </c>
      <c r="D45" s="488">
        <f>+'4. 2003 Data &amp; 2005 PILs'!D45</f>
        <v>282</v>
      </c>
      <c r="E45" s="486">
        <f>+'4. 2003 Data &amp; 2005 PILs'!E45</f>
        <v>64423</v>
      </c>
      <c r="F45" s="490">
        <f t="shared" si="2"/>
        <v>0.009489049804733817</v>
      </c>
      <c r="G45" s="494">
        <f t="shared" si="3"/>
        <v>1603.0503278685856</v>
      </c>
      <c r="H45" s="9"/>
    </row>
    <row r="46" spans="1:8" ht="15">
      <c r="A46" s="132" t="s">
        <v>229</v>
      </c>
      <c r="B46" s="9"/>
      <c r="C46" s="488">
        <f>+'4. 2003 Data &amp; 2005 PILs'!C46</f>
        <v>10742282</v>
      </c>
      <c r="D46" s="488">
        <f>+'4. 2003 Data &amp; 2005 PILs'!D46</f>
        <v>1345</v>
      </c>
      <c r="E46" s="486">
        <f>+'4. 2003 Data &amp; 2005 PILs'!E46</f>
        <v>354740</v>
      </c>
      <c r="F46" s="490">
        <f t="shared" si="2"/>
        <v>0.052250679535744596</v>
      </c>
      <c r="G46" s="494">
        <f t="shared" si="3"/>
        <v>8827.066006055322</v>
      </c>
      <c r="H46" s="9"/>
    </row>
    <row r="47" spans="1:8" ht="15">
      <c r="A47" s="132" t="s">
        <v>230</v>
      </c>
      <c r="B47" s="9"/>
      <c r="C47" s="488">
        <f>+'4. 2003 Data &amp; 2005 PILs'!C47</f>
        <v>3373917</v>
      </c>
      <c r="D47" s="488">
        <f>+'4. 2003 Data &amp; 2005 PILs'!D47</f>
        <v>361</v>
      </c>
      <c r="E47" s="486">
        <f>+'4. 2003 Data &amp; 2005 PILs'!E47</f>
        <v>54799</v>
      </c>
      <c r="F47" s="490">
        <f t="shared" si="2"/>
        <v>0.008071503038505012</v>
      </c>
      <c r="G47" s="494">
        <f t="shared" si="3"/>
        <v>1363.5744208880465</v>
      </c>
      <c r="H47" s="9"/>
    </row>
    <row r="48" spans="1:8" ht="15">
      <c r="A48" s="132" t="s">
        <v>231</v>
      </c>
      <c r="B48" s="9"/>
      <c r="C48" s="488">
        <f>+'4. 2003 Data &amp; 2005 PILs'!C48</f>
        <v>17653441</v>
      </c>
      <c r="D48" s="488">
        <f>+'4. 2003 Data &amp; 2005 PILs'!D48</f>
        <v>1839</v>
      </c>
      <c r="E48" s="486">
        <f>+'4. 2003 Data &amp; 2005 PILs'!E48</f>
        <v>411759</v>
      </c>
      <c r="F48" s="490">
        <f t="shared" si="2"/>
        <v>0.060649172788404634</v>
      </c>
      <c r="G48" s="494">
        <f t="shared" si="3"/>
        <v>10245.881128678282</v>
      </c>
      <c r="H48" s="9"/>
    </row>
    <row r="49" spans="1:8" ht="15">
      <c r="A49" s="132" t="s">
        <v>232</v>
      </c>
      <c r="B49" s="9"/>
      <c r="C49" s="488">
        <f>+'4. 2003 Data &amp; 2005 PILs'!C49</f>
        <v>37331183</v>
      </c>
      <c r="D49" s="488">
        <f>+'4. 2003 Data &amp; 2005 PILs'!D49</f>
        <v>4348</v>
      </c>
      <c r="E49" s="486">
        <f>+'4. 2003 Data &amp; 2005 PILs'!E49</f>
        <v>1215082</v>
      </c>
      <c r="F49" s="490">
        <f t="shared" si="2"/>
        <v>0.17897293846662798</v>
      </c>
      <c r="G49" s="494">
        <f t="shared" si="3"/>
        <v>30235.127182639997</v>
      </c>
      <c r="H49" s="9"/>
    </row>
    <row r="50" spans="1:8" ht="15">
      <c r="A50" s="132" t="s">
        <v>233</v>
      </c>
      <c r="B50" s="9"/>
      <c r="C50" s="488">
        <f>+'4. 2003 Data &amp; 2005 PILs'!C50</f>
        <v>6095691</v>
      </c>
      <c r="D50" s="488">
        <f>+'4. 2003 Data &amp; 2005 PILs'!D50</f>
        <v>619</v>
      </c>
      <c r="E50" s="486">
        <f>+'4. 2003 Data &amp; 2005 PILs'!E50</f>
        <v>124078</v>
      </c>
      <c r="F50" s="490">
        <f t="shared" si="2"/>
        <v>0.01827580711348063</v>
      </c>
      <c r="G50" s="494">
        <f t="shared" si="3"/>
        <v>3087.457563002008</v>
      </c>
      <c r="H50" s="9"/>
    </row>
    <row r="51" spans="1:8" ht="15.75" thickBot="1">
      <c r="A51" s="132"/>
      <c r="C51" s="489">
        <f>SUM(C40:C50)</f>
        <v>248324523</v>
      </c>
      <c r="D51" s="489">
        <f>SUM(D40:D50)</f>
        <v>28204</v>
      </c>
      <c r="E51" s="487">
        <f>SUM(E40:E50)</f>
        <v>6789194</v>
      </c>
      <c r="F51" s="491">
        <f>SUM(F40:F50)</f>
        <v>1</v>
      </c>
      <c r="G51" s="495">
        <f>SUM(G40:G50)</f>
        <v>168936.8652137192</v>
      </c>
      <c r="H51" s="9"/>
    </row>
    <row r="52" ht="15.75" thickTop="1">
      <c r="A52" s="132"/>
    </row>
    <row r="53" ht="10.5" customHeight="1" thickBot="1">
      <c r="A53" s="54"/>
    </row>
    <row r="54" spans="1:8" ht="37.5" thickBot="1">
      <c r="A54" s="54" t="s">
        <v>239</v>
      </c>
      <c r="B54" s="492" t="s">
        <v>11</v>
      </c>
      <c r="C54" s="492" t="s">
        <v>12</v>
      </c>
      <c r="D54" s="151" t="s">
        <v>20</v>
      </c>
      <c r="E54" s="151" t="s">
        <v>13</v>
      </c>
      <c r="F54" s="151" t="s">
        <v>234</v>
      </c>
      <c r="G54" s="151" t="s">
        <v>238</v>
      </c>
      <c r="H54" s="9"/>
    </row>
    <row r="55" ht="10.5" customHeight="1">
      <c r="A55" s="54"/>
    </row>
    <row r="56" spans="1:8" ht="15">
      <c r="A56" s="132" t="s">
        <v>223</v>
      </c>
      <c r="B56" s="488">
        <f>+'4. 2003 Data &amp; 2005 PILs'!B56</f>
        <v>45432</v>
      </c>
      <c r="C56" s="488">
        <f>+'4. 2003 Data &amp; 2005 PILs'!C56</f>
        <v>17323383</v>
      </c>
      <c r="D56" s="488">
        <f>+'4. 2003 Data &amp; 2005 PILs'!D56</f>
        <v>1</v>
      </c>
      <c r="E56" s="486">
        <f>+'4. 2003 Data &amp; 2005 PILs'!E56</f>
        <v>70464</v>
      </c>
      <c r="F56" s="490">
        <f>+E56/$E$58</f>
        <v>0.2</v>
      </c>
      <c r="G56" s="494">
        <f>+F56*$G$25</f>
        <v>8729.78929375158</v>
      </c>
      <c r="H56" s="9"/>
    </row>
    <row r="57" spans="1:8" ht="15">
      <c r="A57" s="132" t="s">
        <v>225</v>
      </c>
      <c r="B57" s="488">
        <f>+'4. 2003 Data &amp; 2005 PILs'!B57</f>
        <v>96543</v>
      </c>
      <c r="C57" s="488">
        <f>+'4. 2003 Data &amp; 2005 PILs'!C57</f>
        <v>46837295</v>
      </c>
      <c r="D57" s="488">
        <f>+'4. 2003 Data &amp; 2005 PILs'!D57</f>
        <v>3</v>
      </c>
      <c r="E57" s="486">
        <f>+'4. 2003 Data &amp; 2005 PILs'!E57</f>
        <v>281856</v>
      </c>
      <c r="F57" s="490">
        <f>+E57/$E$58</f>
        <v>0.8</v>
      </c>
      <c r="G57" s="494">
        <f>+F57*$G$25</f>
        <v>34919.15717500632</v>
      </c>
      <c r="H57" s="9"/>
    </row>
    <row r="58" spans="1:8" ht="16.5" thickBot="1">
      <c r="A58" s="54"/>
      <c r="B58" s="489">
        <f>SUM(B56:B57)</f>
        <v>141975</v>
      </c>
      <c r="C58" s="489">
        <f>SUM(C56:C57)</f>
        <v>64160678</v>
      </c>
      <c r="D58" s="489">
        <f>SUM(D56:D57)</f>
        <v>4</v>
      </c>
      <c r="E58" s="487">
        <f>SUM(E56:E57)</f>
        <v>352320</v>
      </c>
      <c r="F58" s="493">
        <f>+E58/$E$58</f>
        <v>1</v>
      </c>
      <c r="G58" s="495">
        <f>SUM(G56:G57)</f>
        <v>43648.9464687579</v>
      </c>
      <c r="H58" s="9"/>
    </row>
    <row r="59" ht="16.5" thickTop="1">
      <c r="A59" s="54"/>
    </row>
    <row r="60" ht="10.5" customHeight="1" thickBot="1">
      <c r="A60" s="54"/>
    </row>
    <row r="61" spans="1:8" ht="37.5" thickBot="1">
      <c r="A61" s="54" t="s">
        <v>236</v>
      </c>
      <c r="B61" s="492" t="s">
        <v>11</v>
      </c>
      <c r="C61" s="492" t="s">
        <v>12</v>
      </c>
      <c r="D61" s="151" t="s">
        <v>20</v>
      </c>
      <c r="E61" s="151" t="s">
        <v>13</v>
      </c>
      <c r="F61" s="151" t="s">
        <v>234</v>
      </c>
      <c r="G61" s="151" t="s">
        <v>238</v>
      </c>
      <c r="H61" s="9"/>
    </row>
    <row r="62" ht="10.5" customHeight="1">
      <c r="A62" s="54"/>
    </row>
    <row r="63" spans="1:8" ht="15">
      <c r="A63" s="132" t="s">
        <v>225</v>
      </c>
      <c r="B63" s="488">
        <f>+'4. 2003 Data &amp; 2005 PILs'!B63</f>
        <v>55024</v>
      </c>
      <c r="C63" s="488">
        <f>+'4. 2003 Data &amp; 2005 PILs'!C63</f>
        <v>24323494</v>
      </c>
      <c r="D63" s="488">
        <f>+'4. 2003 Data &amp; 2005 PILs'!D63</f>
        <v>1</v>
      </c>
      <c r="E63" s="486">
        <f>+'4. 2003 Data &amp; 2005 PILs'!E63</f>
        <v>207856</v>
      </c>
      <c r="F63" s="490">
        <f>+E63/$E$65</f>
        <v>0.5256707577684991</v>
      </c>
      <c r="G63" s="494">
        <f>+F63*$G$27</f>
        <v>14308.557501195177</v>
      </c>
      <c r="H63" s="9"/>
    </row>
    <row r="64" spans="1:8" ht="15">
      <c r="A64" s="132" t="s">
        <v>232</v>
      </c>
      <c r="B64" s="488">
        <v>61751</v>
      </c>
      <c r="C64" s="488">
        <v>15687604</v>
      </c>
      <c r="D64" s="488">
        <v>1</v>
      </c>
      <c r="E64" s="486">
        <v>187555</v>
      </c>
      <c r="F64" s="490">
        <f>+E64/$E$65</f>
        <v>0.4743292422315009</v>
      </c>
      <c r="G64" s="494">
        <f>+F64*$G$27</f>
        <v>12911.061033295462</v>
      </c>
      <c r="H64" s="9"/>
    </row>
    <row r="65" spans="1:8" ht="16.5" thickBot="1">
      <c r="A65" s="54"/>
      <c r="B65" s="489">
        <f>SUM(B63:B64)</f>
        <v>116775</v>
      </c>
      <c r="C65" s="489">
        <f>SUM(C63:C64)</f>
        <v>40011098</v>
      </c>
      <c r="D65" s="489">
        <f>SUM(D63:D64)</f>
        <v>2</v>
      </c>
      <c r="E65" s="487">
        <f>SUM(E63:E64)</f>
        <v>395411</v>
      </c>
      <c r="F65" s="493">
        <f>+E65/$E$65</f>
        <v>1</v>
      </c>
      <c r="G65" s="495">
        <f>SUM(G63:G64)</f>
        <v>27219.61853449064</v>
      </c>
      <c r="H65" s="9"/>
    </row>
    <row r="66" ht="10.5" customHeight="1" thickTop="1">
      <c r="A66" s="54"/>
    </row>
    <row r="67" ht="10.5" customHeight="1" thickBot="1">
      <c r="A67" s="54"/>
    </row>
    <row r="68" spans="1:8" ht="37.5" thickBot="1">
      <c r="A68" s="54" t="s">
        <v>237</v>
      </c>
      <c r="B68" s="492" t="s">
        <v>11</v>
      </c>
      <c r="C68" s="492" t="s">
        <v>12</v>
      </c>
      <c r="D68" s="151" t="s">
        <v>20</v>
      </c>
      <c r="E68" s="151" t="s">
        <v>13</v>
      </c>
      <c r="F68" s="151" t="s">
        <v>234</v>
      </c>
      <c r="G68" s="151" t="s">
        <v>238</v>
      </c>
      <c r="H68" s="9"/>
    </row>
    <row r="69" ht="15">
      <c r="A69" s="132"/>
    </row>
    <row r="70" spans="1:8" ht="15">
      <c r="A70" s="132" t="s">
        <v>223</v>
      </c>
      <c r="B70" s="9">
        <f>+'4. 2003 Data &amp; 2005 PILs'!B70</f>
        <v>127</v>
      </c>
      <c r="C70" s="9">
        <f>+'4. 2003 Data &amp; 2005 PILs'!C70</f>
        <v>38893</v>
      </c>
      <c r="D70" s="9">
        <f>+'4. 2003 Data &amp; 2005 PILs'!D70</f>
        <v>35</v>
      </c>
      <c r="E70" s="486">
        <f>+'4. 2003 Data &amp; 2005 PILs'!E70</f>
        <v>651</v>
      </c>
      <c r="F70" s="490">
        <f>+E70/$E$81</f>
        <v>0.036829599456890696</v>
      </c>
      <c r="G70" s="494">
        <f>+F70*$G$28</f>
        <v>10.47777888831395</v>
      </c>
      <c r="H70" s="9"/>
    </row>
    <row r="71" spans="1:8" ht="15">
      <c r="A71" s="132" t="s">
        <v>224</v>
      </c>
      <c r="B71" s="9">
        <f>+'4. 2003 Data &amp; 2005 PILs'!B71</f>
        <v>36</v>
      </c>
      <c r="C71" s="9">
        <f>+'4. 2003 Data &amp; 2005 PILs'!C71</f>
        <v>10979</v>
      </c>
      <c r="D71" s="9">
        <f>+'4. 2003 Data &amp; 2005 PILs'!D71</f>
        <v>11</v>
      </c>
      <c r="E71" s="486">
        <f>+'4. 2003 Data &amp; 2005 PILs'!E71</f>
        <v>570</v>
      </c>
      <c r="F71" s="490">
        <f aca="true" t="shared" si="4" ref="F71:F80">+E71/$E$81</f>
        <v>0.032247114731839784</v>
      </c>
      <c r="G71" s="494">
        <f aca="true" t="shared" si="5" ref="G71:G80">+F71*$G$28</f>
        <v>9.17409211419194</v>
      </c>
      <c r="H71" s="9"/>
    </row>
    <row r="72" spans="1:8" ht="15">
      <c r="A72" s="132" t="s">
        <v>225</v>
      </c>
      <c r="B72" s="9">
        <f>+'4. 2003 Data &amp; 2005 PILs'!B72</f>
        <v>478</v>
      </c>
      <c r="C72" s="9">
        <f>+'4. 2003 Data &amp; 2005 PILs'!C72</f>
        <v>146773</v>
      </c>
      <c r="D72" s="9">
        <f>+'4. 2003 Data &amp; 2005 PILs'!D72</f>
        <v>108</v>
      </c>
      <c r="E72" s="486">
        <f>+'4. 2003 Data &amp; 2005 PILs'!E72</f>
        <v>6570</v>
      </c>
      <c r="F72" s="490">
        <f t="shared" si="4"/>
        <v>0.37169042769857435</v>
      </c>
      <c r="G72" s="494">
        <f t="shared" si="5"/>
        <v>105.74348278989656</v>
      </c>
      <c r="H72" s="9"/>
    </row>
    <row r="73" spans="1:8" ht="15">
      <c r="A73" s="132" t="s">
        <v>226</v>
      </c>
      <c r="B73" s="9">
        <f>+'4. 2003 Data &amp; 2005 PILs'!B73</f>
        <v>109</v>
      </c>
      <c r="C73" s="9">
        <f>+'4. 2003 Data &amp; 2005 PILs'!C73</f>
        <v>33488</v>
      </c>
      <c r="D73" s="9">
        <f>+'4. 2003 Data &amp; 2005 PILs'!D73</f>
        <v>26</v>
      </c>
      <c r="E73" s="486">
        <f>+'4. 2003 Data &amp; 2005 PILs'!E73</f>
        <v>1500</v>
      </c>
      <c r="F73" s="490">
        <f t="shared" si="4"/>
        <v>0.08486082824168364</v>
      </c>
      <c r="G73" s="494">
        <f t="shared" si="5"/>
        <v>24.142347668926156</v>
      </c>
      <c r="H73" s="9"/>
    </row>
    <row r="74" spans="1:8" ht="15">
      <c r="A74" s="132" t="s">
        <v>227</v>
      </c>
      <c r="B74" s="9">
        <f>+'4. 2003 Data &amp; 2005 PILs'!B74</f>
        <v>0</v>
      </c>
      <c r="C74" s="9">
        <f>+'4. 2003 Data &amp; 2005 PILs'!C74</f>
        <v>0</v>
      </c>
      <c r="D74" s="9">
        <f>+'4. 2003 Data &amp; 2005 PILs'!D74</f>
        <v>0</v>
      </c>
      <c r="E74" s="486">
        <f>+'4. 2003 Data &amp; 2005 PILs'!E74</f>
        <v>0</v>
      </c>
      <c r="F74" s="490">
        <f t="shared" si="4"/>
        <v>0</v>
      </c>
      <c r="G74" s="494">
        <f t="shared" si="5"/>
        <v>0</v>
      </c>
      <c r="H74" s="9"/>
    </row>
    <row r="75" spans="1:8" ht="15">
      <c r="A75" s="132" t="s">
        <v>228</v>
      </c>
      <c r="B75" s="9">
        <f>+'4. 2003 Data &amp; 2005 PILs'!B75</f>
        <v>9</v>
      </c>
      <c r="C75" s="9">
        <f>+'4. 2003 Data &amp; 2005 PILs'!C75</f>
        <v>2650</v>
      </c>
      <c r="D75" s="9">
        <f>+'4. 2003 Data &amp; 2005 PILs'!D75</f>
        <v>4</v>
      </c>
      <c r="E75" s="486">
        <f>+'4. 2003 Data &amp; 2005 PILs'!E75</f>
        <v>25</v>
      </c>
      <c r="F75" s="490">
        <f t="shared" si="4"/>
        <v>0.001414347137361394</v>
      </c>
      <c r="G75" s="494">
        <f t="shared" si="5"/>
        <v>0.40237246114876923</v>
      </c>
      <c r="H75" s="9"/>
    </row>
    <row r="76" spans="1:8" ht="15">
      <c r="A76" s="132" t="s">
        <v>229</v>
      </c>
      <c r="B76" s="9">
        <f>+'4. 2003 Data &amp; 2005 PILs'!B76</f>
        <v>62</v>
      </c>
      <c r="C76" s="9">
        <f>+'4. 2003 Data &amp; 2005 PILs'!C76</f>
        <v>19093</v>
      </c>
      <c r="D76" s="9">
        <f>+'4. 2003 Data &amp; 2005 PILs'!D76</f>
        <v>20</v>
      </c>
      <c r="E76" s="486">
        <f>+'4. 2003 Data &amp; 2005 PILs'!E76</f>
        <v>649</v>
      </c>
      <c r="F76" s="490">
        <f t="shared" si="4"/>
        <v>0.03671645168590179</v>
      </c>
      <c r="G76" s="494">
        <f t="shared" si="5"/>
        <v>10.44558909142205</v>
      </c>
      <c r="H76" s="9"/>
    </row>
    <row r="77" spans="1:8" ht="15">
      <c r="A77" s="132" t="s">
        <v>230</v>
      </c>
      <c r="B77" s="9">
        <f>+'4. 2003 Data &amp; 2005 PILs'!B77</f>
        <v>59</v>
      </c>
      <c r="C77" s="9">
        <f>+'4. 2003 Data &amp; 2005 PILs'!C77</f>
        <v>18239</v>
      </c>
      <c r="D77" s="9">
        <f>+'4. 2003 Data &amp; 2005 PILs'!D77</f>
        <v>16</v>
      </c>
      <c r="E77" s="486">
        <f>+'4. 2003 Data &amp; 2005 PILs'!E77</f>
        <v>938</v>
      </c>
      <c r="F77" s="490">
        <f t="shared" si="4"/>
        <v>0.053066304593799504</v>
      </c>
      <c r="G77" s="494">
        <f t="shared" si="5"/>
        <v>15.097014742301821</v>
      </c>
      <c r="H77" s="9"/>
    </row>
    <row r="78" spans="1:8" ht="15">
      <c r="A78" s="132" t="s">
        <v>231</v>
      </c>
      <c r="B78" s="9">
        <f>+'4. 2003 Data &amp; 2005 PILs'!B78</f>
        <v>141</v>
      </c>
      <c r="C78" s="9">
        <f>+'4. 2003 Data &amp; 2005 PILs'!C78</f>
        <v>43213</v>
      </c>
      <c r="D78" s="9">
        <f>+'4. 2003 Data &amp; 2005 PILs'!D78</f>
        <v>32</v>
      </c>
      <c r="E78" s="486">
        <f>+'4. 2003 Data &amp; 2005 PILs'!E78</f>
        <v>1721</v>
      </c>
      <c r="F78" s="490">
        <f t="shared" si="4"/>
        <v>0.09736365693595836</v>
      </c>
      <c r="G78" s="494">
        <f t="shared" si="5"/>
        <v>27.699320225481273</v>
      </c>
      <c r="H78" s="9"/>
    </row>
    <row r="79" spans="1:8" ht="15">
      <c r="A79" s="132" t="s">
        <v>232</v>
      </c>
      <c r="B79" s="9">
        <f>+'4. 2003 Data &amp; 2005 PILs'!B79</f>
        <v>302</v>
      </c>
      <c r="C79" s="9">
        <f>+'4. 2003 Data &amp; 2005 PILs'!C79</f>
        <v>92816</v>
      </c>
      <c r="D79" s="9">
        <f>+'4. 2003 Data &amp; 2005 PILs'!D79</f>
        <v>102</v>
      </c>
      <c r="E79" s="486">
        <f>+'4. 2003 Data &amp; 2005 PILs'!E79</f>
        <v>4898</v>
      </c>
      <c r="F79" s="490">
        <f t="shared" si="4"/>
        <v>0.27709889115184433</v>
      </c>
      <c r="G79" s="494">
        <f t="shared" si="5"/>
        <v>78.83281258826688</v>
      </c>
      <c r="H79" s="9"/>
    </row>
    <row r="80" spans="1:8" ht="15">
      <c r="A80" s="132" t="s">
        <v>233</v>
      </c>
      <c r="B80" s="9">
        <f>+'4. 2003 Data &amp; 2005 PILs'!B80</f>
        <v>39</v>
      </c>
      <c r="C80" s="9">
        <f>+'4. 2003 Data &amp; 2005 PILs'!C80</f>
        <v>12039</v>
      </c>
      <c r="D80" s="9">
        <f>+'4. 2003 Data &amp; 2005 PILs'!D80</f>
        <v>9</v>
      </c>
      <c r="E80" s="486">
        <f>+'4. 2003 Data &amp; 2005 PILs'!E80</f>
        <v>154</v>
      </c>
      <c r="F80" s="490">
        <f t="shared" si="4"/>
        <v>0.008712378366146186</v>
      </c>
      <c r="G80" s="494">
        <f t="shared" si="5"/>
        <v>2.4786143606764184</v>
      </c>
      <c r="H80" s="9"/>
    </row>
    <row r="81" spans="1:8" ht="15.75" thickBot="1">
      <c r="A81" s="132"/>
      <c r="B81" s="489">
        <f aca="true" t="shared" si="6" ref="B81:G81">SUM(B70:B80)</f>
        <v>1362</v>
      </c>
      <c r="C81" s="489">
        <f t="shared" si="6"/>
        <v>418183</v>
      </c>
      <c r="D81" s="489">
        <f t="shared" si="6"/>
        <v>363</v>
      </c>
      <c r="E81" s="487">
        <f t="shared" si="6"/>
        <v>17676</v>
      </c>
      <c r="F81" s="491">
        <f t="shared" si="6"/>
        <v>0.9999999999999999</v>
      </c>
      <c r="G81" s="495">
        <f t="shared" si="6"/>
        <v>284.4934249306258</v>
      </c>
      <c r="H81" s="9"/>
    </row>
    <row r="82" ht="10.5" customHeight="1" thickTop="1">
      <c r="A82" s="54"/>
    </row>
    <row r="83" spans="1:17" ht="15.75">
      <c r="A83" s="54" t="s">
        <v>16</v>
      </c>
      <c r="I83"/>
      <c r="J83"/>
      <c r="K83"/>
      <c r="L83"/>
      <c r="M83"/>
      <c r="N83"/>
      <c r="O83"/>
      <c r="P83"/>
      <c r="Q83"/>
    </row>
    <row r="84" spans="1:17" ht="10.5" customHeight="1">
      <c r="A84" s="131"/>
      <c r="I84"/>
      <c r="J84"/>
      <c r="K84"/>
      <c r="L84"/>
      <c r="M84"/>
      <c r="N84"/>
      <c r="O84"/>
      <c r="P84"/>
      <c r="Q84"/>
    </row>
    <row r="85" spans="1:17" ht="9" customHeight="1">
      <c r="A85" s="132"/>
      <c r="I85"/>
      <c r="J85"/>
      <c r="K85"/>
      <c r="L85"/>
      <c r="M85"/>
      <c r="N85"/>
      <c r="O85"/>
      <c r="P85"/>
      <c r="Q85"/>
    </row>
    <row r="86" spans="1:17" ht="51.75" thickBot="1">
      <c r="A86" s="132"/>
      <c r="B86" s="283" t="s">
        <v>104</v>
      </c>
      <c r="C86" s="283" t="s">
        <v>188</v>
      </c>
      <c r="D86" s="283" t="s">
        <v>103</v>
      </c>
      <c r="E86" s="280"/>
      <c r="F86" s="280"/>
      <c r="G86" s="280"/>
      <c r="I86"/>
      <c r="J86"/>
      <c r="K86"/>
      <c r="L86"/>
      <c r="M86"/>
      <c r="N86"/>
      <c r="O86"/>
      <c r="P86"/>
      <c r="Q86"/>
    </row>
    <row r="87" spans="1:17" ht="15">
      <c r="A87" s="481" t="s">
        <v>211</v>
      </c>
      <c r="B87" s="30"/>
      <c r="C87" s="30"/>
      <c r="I87"/>
      <c r="J87"/>
      <c r="K87"/>
      <c r="L87"/>
      <c r="M87"/>
      <c r="N87"/>
      <c r="O87"/>
      <c r="P87"/>
      <c r="Q87"/>
    </row>
    <row r="88" spans="1:17" ht="12.75">
      <c r="A88" s="109" t="s">
        <v>99</v>
      </c>
      <c r="B88" s="290"/>
      <c r="C88" s="290"/>
      <c r="D88" s="407">
        <f>+G40</f>
        <v>3478.7956333555967</v>
      </c>
      <c r="E88" s="112"/>
      <c r="I88"/>
      <c r="J88"/>
      <c r="K88"/>
      <c r="L88"/>
      <c r="M88"/>
      <c r="N88"/>
      <c r="O88"/>
      <c r="P88"/>
      <c r="Q88"/>
    </row>
    <row r="89" spans="1:17" ht="7.5" customHeight="1">
      <c r="A89" s="112"/>
      <c r="B89" s="284"/>
      <c r="C89" s="284"/>
      <c r="D89" s="285"/>
      <c r="E89" s="112"/>
      <c r="I89"/>
      <c r="J89"/>
      <c r="K89"/>
      <c r="L89"/>
      <c r="M89"/>
      <c r="N89"/>
      <c r="O89"/>
      <c r="P89"/>
      <c r="Q89"/>
    </row>
    <row r="90" spans="1:17" ht="12.75">
      <c r="A90" s="109" t="s">
        <v>102</v>
      </c>
      <c r="B90" s="479">
        <v>1</v>
      </c>
      <c r="C90" s="479">
        <f>1-B90</f>
        <v>0</v>
      </c>
      <c r="D90" s="291">
        <f>B90+C90</f>
        <v>1</v>
      </c>
      <c r="E90" s="112"/>
      <c r="I90"/>
      <c r="J90"/>
      <c r="K90"/>
      <c r="L90"/>
      <c r="M90"/>
      <c r="N90"/>
      <c r="O90"/>
      <c r="P90"/>
      <c r="Q90"/>
    </row>
    <row r="91" spans="1:17" ht="7.5" customHeight="1">
      <c r="A91" s="112"/>
      <c r="B91" s="286"/>
      <c r="C91" s="286"/>
      <c r="D91" s="286"/>
      <c r="E91" s="112"/>
      <c r="I91"/>
      <c r="J91"/>
      <c r="K91"/>
      <c r="L91"/>
      <c r="M91"/>
      <c r="N91"/>
      <c r="O91"/>
      <c r="P91"/>
      <c r="Q91"/>
    </row>
    <row r="92" spans="1:17" ht="13.5" customHeight="1">
      <c r="A92" s="109" t="s">
        <v>105</v>
      </c>
      <c r="B92" s="402">
        <f>$B90*$D88</f>
        <v>3478.7956333555967</v>
      </c>
      <c r="C92" s="402">
        <f>C90*D88</f>
        <v>0</v>
      </c>
      <c r="D92" s="402">
        <f>SUM(B92:C92)</f>
        <v>3478.7956333555967</v>
      </c>
      <c r="E92" s="112"/>
      <c r="I92"/>
      <c r="J92"/>
      <c r="K92"/>
      <c r="L92"/>
      <c r="M92"/>
      <c r="N92"/>
      <c r="O92"/>
      <c r="P92"/>
      <c r="Q92"/>
    </row>
    <row r="93" spans="1:17" ht="7.5" customHeight="1">
      <c r="A93" s="112"/>
      <c r="B93" s="287"/>
      <c r="C93" s="287"/>
      <c r="D93" s="287"/>
      <c r="E93" s="112"/>
      <c r="I93"/>
      <c r="J93"/>
      <c r="K93"/>
      <c r="L93"/>
      <c r="M93"/>
      <c r="N93"/>
      <c r="O93"/>
      <c r="P93"/>
      <c r="Q93"/>
    </row>
    <row r="94" spans="1:17" ht="13.5" customHeight="1">
      <c r="A94" s="109" t="s">
        <v>100</v>
      </c>
      <c r="B94" s="293">
        <f>+C40</f>
        <v>15819391</v>
      </c>
      <c r="C94" s="292"/>
      <c r="D94" s="292"/>
      <c r="E94" s="112"/>
      <c r="I94"/>
      <c r="J94"/>
      <c r="K94"/>
      <c r="L94"/>
      <c r="M94"/>
      <c r="N94"/>
      <c r="O94"/>
      <c r="P94"/>
      <c r="Q94"/>
    </row>
    <row r="95" spans="1:17" ht="7.5" customHeight="1">
      <c r="A95" s="112"/>
      <c r="B95" s="288"/>
      <c r="C95" s="287"/>
      <c r="D95" s="287"/>
      <c r="E95" s="112"/>
      <c r="I95"/>
      <c r="J95"/>
      <c r="K95"/>
      <c r="L95"/>
      <c r="M95"/>
      <c r="N95"/>
      <c r="O95"/>
      <c r="P95"/>
      <c r="Q95"/>
    </row>
    <row r="96" spans="1:17" ht="13.5" customHeight="1">
      <c r="A96" s="109" t="s">
        <v>101</v>
      </c>
      <c r="B96" s="292"/>
      <c r="C96" s="293">
        <f>+D40</f>
        <v>1687</v>
      </c>
      <c r="D96" s="292"/>
      <c r="E96" s="112"/>
      <c r="I96"/>
      <c r="J96"/>
      <c r="K96"/>
      <c r="L96"/>
      <c r="M96"/>
      <c r="N96"/>
      <c r="O96"/>
      <c r="P96"/>
      <c r="Q96"/>
    </row>
    <row r="97" spans="1:17" ht="7.5" customHeight="1">
      <c r="A97" s="112"/>
      <c r="B97" s="287"/>
      <c r="C97" s="288"/>
      <c r="D97" s="287"/>
      <c r="E97" s="112"/>
      <c r="I97"/>
      <c r="J97"/>
      <c r="K97"/>
      <c r="L97"/>
      <c r="M97"/>
      <c r="N97"/>
      <c r="O97"/>
      <c r="P97"/>
      <c r="Q97"/>
    </row>
    <row r="98" spans="1:17" ht="13.5" customHeight="1">
      <c r="A98" s="109" t="s">
        <v>159</v>
      </c>
      <c r="B98" s="403">
        <f>IF(ISERROR($B92/$B94),0,$B92/$B94)</f>
        <v>0.00021990705162768887</v>
      </c>
      <c r="C98" s="403"/>
      <c r="D98" s="294"/>
      <c r="E98" s="112"/>
      <c r="I98"/>
      <c r="J98"/>
      <c r="K98"/>
      <c r="L98"/>
      <c r="M98"/>
      <c r="N98"/>
      <c r="O98"/>
      <c r="P98"/>
      <c r="Q98"/>
    </row>
    <row r="99" spans="1:17" ht="7.5" customHeight="1">
      <c r="A99" s="112"/>
      <c r="B99" s="404"/>
      <c r="C99" s="404"/>
      <c r="D99" s="289"/>
      <c r="E99" s="112"/>
      <c r="I99"/>
      <c r="J99"/>
      <c r="K99"/>
      <c r="L99"/>
      <c r="M99"/>
      <c r="N99"/>
      <c r="O99"/>
      <c r="P99"/>
      <c r="Q99"/>
    </row>
    <row r="100" spans="1:17" ht="12.75">
      <c r="A100" s="109" t="s">
        <v>160</v>
      </c>
      <c r="B100" s="405"/>
      <c r="C100" s="406">
        <f>IF(ISERROR($C92/$C96/12),0,$C92/$C96/12)</f>
        <v>0</v>
      </c>
      <c r="D100" s="295"/>
      <c r="E100" s="112"/>
      <c r="I100"/>
      <c r="J100"/>
      <c r="K100"/>
      <c r="L100"/>
      <c r="M100"/>
      <c r="N100"/>
      <c r="O100"/>
      <c r="P100"/>
      <c r="Q100"/>
    </row>
    <row r="101" spans="1:17" ht="15">
      <c r="A101" s="132"/>
      <c r="B101" s="56"/>
      <c r="C101" s="56"/>
      <c r="D101" s="56"/>
      <c r="I101"/>
      <c r="J101"/>
      <c r="K101"/>
      <c r="L101"/>
      <c r="M101"/>
      <c r="N101"/>
      <c r="O101"/>
      <c r="P101"/>
      <c r="Q101"/>
    </row>
    <row r="102" spans="2:17" ht="12.75">
      <c r="B102" s="56"/>
      <c r="C102" s="56"/>
      <c r="D102" s="56"/>
      <c r="I102"/>
      <c r="J102"/>
      <c r="K102"/>
      <c r="L102"/>
      <c r="M102"/>
      <c r="N102"/>
      <c r="O102"/>
      <c r="P102"/>
      <c r="Q102"/>
    </row>
    <row r="103" spans="1:17" ht="51.75" thickBot="1">
      <c r="A103" s="132"/>
      <c r="B103" s="283" t="s">
        <v>104</v>
      </c>
      <c r="C103" s="283" t="s">
        <v>188</v>
      </c>
      <c r="D103" s="283" t="s">
        <v>103</v>
      </c>
      <c r="I103"/>
      <c r="J103"/>
      <c r="K103"/>
      <c r="L103"/>
      <c r="M103"/>
      <c r="N103"/>
      <c r="O103"/>
      <c r="P103"/>
      <c r="Q103"/>
    </row>
    <row r="104" spans="1:17" ht="15">
      <c r="A104" s="481" t="s">
        <v>212</v>
      </c>
      <c r="B104" s="30"/>
      <c r="C104" s="30"/>
      <c r="I104"/>
      <c r="J104"/>
      <c r="K104"/>
      <c r="L104"/>
      <c r="M104"/>
      <c r="N104"/>
      <c r="O104"/>
      <c r="P104"/>
      <c r="Q104"/>
    </row>
    <row r="105" spans="1:17" ht="12.75">
      <c r="A105" s="109" t="s">
        <v>99</v>
      </c>
      <c r="B105" s="290"/>
      <c r="C105" s="290"/>
      <c r="D105" s="407">
        <f>+G41</f>
        <v>2753.0522519139504</v>
      </c>
      <c r="I105"/>
      <c r="J105"/>
      <c r="K105"/>
      <c r="L105"/>
      <c r="M105"/>
      <c r="N105"/>
      <c r="O105"/>
      <c r="P105"/>
      <c r="Q105"/>
    </row>
    <row r="106" spans="1:17" ht="12.75">
      <c r="A106" s="112"/>
      <c r="B106" s="284"/>
      <c r="C106" s="284"/>
      <c r="D106" s="285"/>
      <c r="I106"/>
      <c r="J106"/>
      <c r="K106"/>
      <c r="L106"/>
      <c r="M106"/>
      <c r="N106"/>
      <c r="O106"/>
      <c r="P106"/>
      <c r="Q106"/>
    </row>
    <row r="107" spans="1:17" ht="12.75">
      <c r="A107" s="109" t="s">
        <v>102</v>
      </c>
      <c r="B107" s="479">
        <f>+B90</f>
        <v>1</v>
      </c>
      <c r="C107" s="479">
        <f>+C90</f>
        <v>0</v>
      </c>
      <c r="D107" s="291">
        <f>B107+C107</f>
        <v>1</v>
      </c>
      <c r="I107"/>
      <c r="J107"/>
      <c r="K107"/>
      <c r="L107"/>
      <c r="M107"/>
      <c r="N107"/>
      <c r="O107"/>
      <c r="P107"/>
      <c r="Q107"/>
    </row>
    <row r="108" spans="1:17" ht="12.75">
      <c r="A108" s="112"/>
      <c r="B108" s="286"/>
      <c r="C108" s="286"/>
      <c r="D108" s="286"/>
      <c r="I108"/>
      <c r="J108"/>
      <c r="K108"/>
      <c r="L108"/>
      <c r="M108"/>
      <c r="N108"/>
      <c r="O108"/>
      <c r="P108"/>
      <c r="Q108"/>
    </row>
    <row r="109" spans="1:17" ht="12.75">
      <c r="A109" s="109" t="s">
        <v>105</v>
      </c>
      <c r="B109" s="402">
        <f>$B107*$D105</f>
        <v>2753.0522519139504</v>
      </c>
      <c r="C109" s="402">
        <f>C107*D105</f>
        <v>0</v>
      </c>
      <c r="D109" s="402">
        <f>SUM(B109:C109)</f>
        <v>2753.0522519139504</v>
      </c>
      <c r="I109"/>
      <c r="J109"/>
      <c r="K109"/>
      <c r="L109"/>
      <c r="M109"/>
      <c r="N109"/>
      <c r="O109"/>
      <c r="P109"/>
      <c r="Q109"/>
    </row>
    <row r="110" spans="1:17" ht="12.75">
      <c r="A110" s="112"/>
      <c r="B110" s="287"/>
      <c r="C110" s="287"/>
      <c r="D110" s="287"/>
      <c r="I110"/>
      <c r="J110"/>
      <c r="K110"/>
      <c r="L110"/>
      <c r="M110"/>
      <c r="N110"/>
      <c r="O110"/>
      <c r="P110"/>
      <c r="Q110"/>
    </row>
    <row r="111" spans="1:17" ht="12.75">
      <c r="A111" s="109" t="s">
        <v>100</v>
      </c>
      <c r="B111" s="293">
        <f>+C41</f>
        <v>3680038</v>
      </c>
      <c r="C111" s="292"/>
      <c r="D111" s="292"/>
      <c r="I111"/>
      <c r="J111"/>
      <c r="K111"/>
      <c r="L111"/>
      <c r="M111"/>
      <c r="N111"/>
      <c r="O111"/>
      <c r="P111"/>
      <c r="Q111"/>
    </row>
    <row r="112" spans="1:17" ht="12.75">
      <c r="A112" s="112"/>
      <c r="B112" s="288"/>
      <c r="C112" s="287"/>
      <c r="D112" s="287"/>
      <c r="I112"/>
      <c r="J112"/>
      <c r="K112"/>
      <c r="L112"/>
      <c r="M112"/>
      <c r="N112"/>
      <c r="O112"/>
      <c r="P112"/>
      <c r="Q112"/>
    </row>
    <row r="113" spans="1:17" ht="12.75">
      <c r="A113" s="109" t="s">
        <v>101</v>
      </c>
      <c r="B113" s="292"/>
      <c r="C113" s="293">
        <f>+D41</f>
        <v>388</v>
      </c>
      <c r="D113" s="292"/>
      <c r="I113"/>
      <c r="J113"/>
      <c r="K113"/>
      <c r="L113"/>
      <c r="M113"/>
      <c r="N113"/>
      <c r="O113"/>
      <c r="P113"/>
      <c r="Q113"/>
    </row>
    <row r="114" spans="1:17" ht="12.75">
      <c r="A114" s="112"/>
      <c r="B114" s="287"/>
      <c r="C114" s="288"/>
      <c r="D114" s="287"/>
      <c r="I114"/>
      <c r="J114"/>
      <c r="K114"/>
      <c r="L114"/>
      <c r="M114"/>
      <c r="N114"/>
      <c r="O114"/>
      <c r="P114"/>
      <c r="Q114"/>
    </row>
    <row r="115" spans="1:17" ht="12.75">
      <c r="A115" s="109" t="s">
        <v>159</v>
      </c>
      <c r="B115" s="403">
        <f>IF(ISERROR($B109/$B111),0,$B109/$B111)</f>
        <v>0.0007481042999865627</v>
      </c>
      <c r="C115" s="403"/>
      <c r="D115" s="294"/>
      <c r="I115"/>
      <c r="J115"/>
      <c r="K115"/>
      <c r="L115"/>
      <c r="M115"/>
      <c r="N115"/>
      <c r="O115"/>
      <c r="P115"/>
      <c r="Q115"/>
    </row>
    <row r="116" spans="1:17" ht="12.75">
      <c r="A116" s="112"/>
      <c r="B116" s="404"/>
      <c r="C116" s="404"/>
      <c r="D116" s="289"/>
      <c r="I116"/>
      <c r="J116"/>
      <c r="K116"/>
      <c r="L116"/>
      <c r="M116"/>
      <c r="N116"/>
      <c r="O116"/>
      <c r="P116"/>
      <c r="Q116"/>
    </row>
    <row r="117" spans="1:17" ht="12.75">
      <c r="A117" s="109" t="s">
        <v>160</v>
      </c>
      <c r="B117" s="405"/>
      <c r="C117" s="406">
        <f>IF(ISERROR($C109/$C113/12),0,$C109/$C113/12)</f>
        <v>0</v>
      </c>
      <c r="D117" s="295"/>
      <c r="I117"/>
      <c r="J117"/>
      <c r="K117"/>
      <c r="L117"/>
      <c r="M117"/>
      <c r="N117"/>
      <c r="O117"/>
      <c r="P117"/>
      <c r="Q117"/>
    </row>
    <row r="118" spans="2:17" ht="12.75">
      <c r="B118" s="56"/>
      <c r="C118" s="56"/>
      <c r="D118" s="56"/>
      <c r="I118"/>
      <c r="J118"/>
      <c r="K118"/>
      <c r="L118"/>
      <c r="M118"/>
      <c r="N118"/>
      <c r="O118"/>
      <c r="P118"/>
      <c r="Q118"/>
    </row>
    <row r="119" spans="2:17" ht="12.75">
      <c r="B119" s="56"/>
      <c r="C119" s="56"/>
      <c r="D119" s="56"/>
      <c r="I119"/>
      <c r="J119"/>
      <c r="K119"/>
      <c r="L119"/>
      <c r="M119"/>
      <c r="N119"/>
      <c r="O119"/>
      <c r="P119"/>
      <c r="Q119"/>
    </row>
    <row r="120" spans="1:17" ht="51.75" thickBot="1">
      <c r="A120" s="132"/>
      <c r="B120" s="283" t="s">
        <v>104</v>
      </c>
      <c r="C120" s="283" t="s">
        <v>188</v>
      </c>
      <c r="D120" s="283" t="s">
        <v>103</v>
      </c>
      <c r="I120"/>
      <c r="J120"/>
      <c r="K120"/>
      <c r="L120"/>
      <c r="M120"/>
      <c r="N120"/>
      <c r="O120"/>
      <c r="P120"/>
      <c r="Q120"/>
    </row>
    <row r="121" spans="1:17" ht="15">
      <c r="A121" s="481" t="s">
        <v>213</v>
      </c>
      <c r="B121" s="30"/>
      <c r="C121" s="30"/>
      <c r="I121"/>
      <c r="J121"/>
      <c r="K121"/>
      <c r="L121"/>
      <c r="M121"/>
      <c r="N121"/>
      <c r="O121"/>
      <c r="P121"/>
      <c r="Q121"/>
    </row>
    <row r="122" spans="1:17" ht="12.75">
      <c r="A122" s="109" t="s">
        <v>99</v>
      </c>
      <c r="B122" s="290"/>
      <c r="C122" s="290"/>
      <c r="D122" s="407">
        <f>+G42</f>
        <v>99371.40349017875</v>
      </c>
      <c r="I122"/>
      <c r="J122"/>
      <c r="K122"/>
      <c r="L122"/>
      <c r="M122"/>
      <c r="N122"/>
      <c r="O122"/>
      <c r="P122"/>
      <c r="Q122"/>
    </row>
    <row r="123" spans="1:17" ht="12.75">
      <c r="A123" s="112"/>
      <c r="B123" s="284"/>
      <c r="C123" s="284"/>
      <c r="D123" s="285"/>
      <c r="I123"/>
      <c r="J123"/>
      <c r="K123"/>
      <c r="L123"/>
      <c r="M123"/>
      <c r="N123"/>
      <c r="O123"/>
      <c r="P123"/>
      <c r="Q123"/>
    </row>
    <row r="124" spans="1:17" ht="12.75">
      <c r="A124" s="109" t="s">
        <v>102</v>
      </c>
      <c r="B124" s="479">
        <f>+B107</f>
        <v>1</v>
      </c>
      <c r="C124" s="479">
        <f>+C107</f>
        <v>0</v>
      </c>
      <c r="D124" s="291">
        <f>B124+C124</f>
        <v>1</v>
      </c>
      <c r="I124"/>
      <c r="J124"/>
      <c r="K124"/>
      <c r="L124"/>
      <c r="M124"/>
      <c r="N124"/>
      <c r="O124"/>
      <c r="P124"/>
      <c r="Q124"/>
    </row>
    <row r="125" spans="1:17" ht="12.75">
      <c r="A125" s="112"/>
      <c r="B125" s="286"/>
      <c r="C125" s="286"/>
      <c r="D125" s="286"/>
      <c r="I125"/>
      <c r="J125"/>
      <c r="K125"/>
      <c r="L125"/>
      <c r="M125"/>
      <c r="N125"/>
      <c r="O125"/>
      <c r="P125"/>
      <c r="Q125"/>
    </row>
    <row r="126" spans="1:17" ht="12.75">
      <c r="A126" s="109" t="s">
        <v>105</v>
      </c>
      <c r="B126" s="402">
        <f>$B124*$D122</f>
        <v>99371.40349017875</v>
      </c>
      <c r="C126" s="402">
        <f>C124*D122</f>
        <v>0</v>
      </c>
      <c r="D126" s="402">
        <f>SUM(B126:C126)</f>
        <v>99371.40349017875</v>
      </c>
      <c r="I126"/>
      <c r="J126"/>
      <c r="K126"/>
      <c r="L126"/>
      <c r="M126"/>
      <c r="N126"/>
      <c r="O126"/>
      <c r="P126"/>
      <c r="Q126"/>
    </row>
    <row r="127" spans="1:17" ht="12.75">
      <c r="A127" s="112"/>
      <c r="B127" s="287"/>
      <c r="C127" s="287"/>
      <c r="D127" s="287"/>
      <c r="I127"/>
      <c r="J127"/>
      <c r="K127"/>
      <c r="L127"/>
      <c r="M127"/>
      <c r="N127"/>
      <c r="O127"/>
      <c r="P127"/>
      <c r="Q127"/>
    </row>
    <row r="128" spans="1:17" ht="12.75">
      <c r="A128" s="109" t="s">
        <v>100</v>
      </c>
      <c r="B128" s="293">
        <f>+C42</f>
        <v>139169853</v>
      </c>
      <c r="C128" s="292"/>
      <c r="D128" s="292"/>
      <c r="I128"/>
      <c r="J128"/>
      <c r="K128"/>
      <c r="L128"/>
      <c r="M128"/>
      <c r="N128"/>
      <c r="O128"/>
      <c r="P128"/>
      <c r="Q128"/>
    </row>
    <row r="129" spans="1:17" ht="12.75">
      <c r="A129" s="112"/>
      <c r="B129" s="288"/>
      <c r="C129" s="287"/>
      <c r="D129" s="287"/>
      <c r="I129"/>
      <c r="J129"/>
      <c r="K129"/>
      <c r="L129"/>
      <c r="M129"/>
      <c r="N129"/>
      <c r="O129"/>
      <c r="P129"/>
      <c r="Q129"/>
    </row>
    <row r="130" spans="1:17" ht="12.75">
      <c r="A130" s="109" t="s">
        <v>101</v>
      </c>
      <c r="B130" s="292"/>
      <c r="C130" s="293">
        <f>+D42</f>
        <v>15994</v>
      </c>
      <c r="D130" s="292"/>
      <c r="I130"/>
      <c r="J130"/>
      <c r="K130"/>
      <c r="L130"/>
      <c r="M130"/>
      <c r="N130"/>
      <c r="O130"/>
      <c r="P130"/>
      <c r="Q130"/>
    </row>
    <row r="131" spans="1:17" ht="12.75">
      <c r="A131" s="112"/>
      <c r="B131" s="287"/>
      <c r="C131" s="288"/>
      <c r="D131" s="287"/>
      <c r="I131"/>
      <c r="J131"/>
      <c r="K131"/>
      <c r="L131"/>
      <c r="M131"/>
      <c r="N131"/>
      <c r="O131"/>
      <c r="P131"/>
      <c r="Q131"/>
    </row>
    <row r="132" spans="1:17" ht="12.75">
      <c r="A132" s="109" t="s">
        <v>159</v>
      </c>
      <c r="B132" s="403">
        <f>IF(ISERROR($B126/$B128),0,$B126/$B128)</f>
        <v>0.0007140296648166953</v>
      </c>
      <c r="C132" s="403"/>
      <c r="D132" s="294"/>
      <c r="I132"/>
      <c r="J132"/>
      <c r="K132"/>
      <c r="L132"/>
      <c r="M132"/>
      <c r="N132"/>
      <c r="O132"/>
      <c r="P132"/>
      <c r="Q132"/>
    </row>
    <row r="133" spans="1:17" ht="12.75">
      <c r="A133" s="112"/>
      <c r="B133" s="404"/>
      <c r="C133" s="404"/>
      <c r="D133" s="289"/>
      <c r="I133"/>
      <c r="J133"/>
      <c r="K133"/>
      <c r="L133"/>
      <c r="M133"/>
      <c r="N133"/>
      <c r="O133"/>
      <c r="P133"/>
      <c r="Q133"/>
    </row>
    <row r="134" spans="1:17" ht="12.75">
      <c r="A134" s="109" t="s">
        <v>160</v>
      </c>
      <c r="B134" s="405"/>
      <c r="C134" s="406">
        <f>IF(ISERROR($C126/$C130/12),0,$C126/$C130/12)</f>
        <v>0</v>
      </c>
      <c r="D134" s="295"/>
      <c r="I134"/>
      <c r="J134"/>
      <c r="K134"/>
      <c r="L134"/>
      <c r="M134"/>
      <c r="N134"/>
      <c r="O134"/>
      <c r="P134"/>
      <c r="Q134"/>
    </row>
    <row r="135" spans="2:17" ht="12.75">
      <c r="B135" s="56"/>
      <c r="C135" s="56"/>
      <c r="D135" s="56"/>
      <c r="I135"/>
      <c r="J135"/>
      <c r="K135"/>
      <c r="L135"/>
      <c r="M135"/>
      <c r="N135"/>
      <c r="O135"/>
      <c r="P135"/>
      <c r="Q135"/>
    </row>
    <row r="136" spans="2:17" ht="12.75">
      <c r="B136" s="56"/>
      <c r="C136" s="56"/>
      <c r="D136" s="56"/>
      <c r="I136"/>
      <c r="J136"/>
      <c r="K136"/>
      <c r="L136"/>
      <c r="M136"/>
      <c r="N136"/>
      <c r="O136"/>
      <c r="P136"/>
      <c r="Q136"/>
    </row>
    <row r="137" spans="1:17" ht="51.75" thickBot="1">
      <c r="A137" s="132"/>
      <c r="B137" s="283" t="s">
        <v>104</v>
      </c>
      <c r="C137" s="283" t="s">
        <v>188</v>
      </c>
      <c r="D137" s="283" t="s">
        <v>103</v>
      </c>
      <c r="I137"/>
      <c r="J137"/>
      <c r="K137"/>
      <c r="L137"/>
      <c r="M137"/>
      <c r="N137"/>
      <c r="O137"/>
      <c r="P137"/>
      <c r="Q137"/>
    </row>
    <row r="138" spans="1:17" ht="15">
      <c r="A138" s="481" t="s">
        <v>214</v>
      </c>
      <c r="B138" s="30"/>
      <c r="C138" s="30"/>
      <c r="I138"/>
      <c r="J138"/>
      <c r="K138"/>
      <c r="L138"/>
      <c r="M138"/>
      <c r="N138"/>
      <c r="O138"/>
      <c r="P138"/>
      <c r="Q138"/>
    </row>
    <row r="139" spans="1:17" ht="12.75">
      <c r="A139" s="109" t="s">
        <v>99</v>
      </c>
      <c r="B139" s="290"/>
      <c r="C139" s="290"/>
      <c r="D139" s="407">
        <f>+G43</f>
        <v>6381.1470791476895</v>
      </c>
      <c r="I139"/>
      <c r="J139"/>
      <c r="K139"/>
      <c r="L139"/>
      <c r="M139"/>
      <c r="N139"/>
      <c r="O139"/>
      <c r="P139"/>
      <c r="Q139"/>
    </row>
    <row r="140" spans="1:17" ht="12.75">
      <c r="A140" s="112"/>
      <c r="B140" s="284"/>
      <c r="C140" s="284"/>
      <c r="D140" s="285"/>
      <c r="I140"/>
      <c r="J140"/>
      <c r="K140"/>
      <c r="L140"/>
      <c r="M140"/>
      <c r="N140"/>
      <c r="O140"/>
      <c r="P140"/>
      <c r="Q140"/>
    </row>
    <row r="141" spans="1:17" ht="12.75">
      <c r="A141" s="109" t="s">
        <v>102</v>
      </c>
      <c r="B141" s="479">
        <f>+B124</f>
        <v>1</v>
      </c>
      <c r="C141" s="479">
        <f>+C124</f>
        <v>0</v>
      </c>
      <c r="D141" s="291">
        <f>B141+C141</f>
        <v>1</v>
      </c>
      <c r="I141"/>
      <c r="J141"/>
      <c r="K141"/>
      <c r="L141"/>
      <c r="M141"/>
      <c r="N141"/>
      <c r="O141"/>
      <c r="P141"/>
      <c r="Q141"/>
    </row>
    <row r="142" spans="1:17" ht="12.75">
      <c r="A142" s="112"/>
      <c r="B142" s="286"/>
      <c r="C142" s="286"/>
      <c r="D142" s="286"/>
      <c r="I142"/>
      <c r="J142"/>
      <c r="K142"/>
      <c r="L142"/>
      <c r="M142"/>
      <c r="N142"/>
      <c r="O142"/>
      <c r="P142"/>
      <c r="Q142"/>
    </row>
    <row r="143" spans="1:17" ht="12.75">
      <c r="A143" s="109" t="s">
        <v>105</v>
      </c>
      <c r="B143" s="402">
        <f>$B141*$D139</f>
        <v>6381.1470791476895</v>
      </c>
      <c r="C143" s="402">
        <f>C141*D139</f>
        <v>0</v>
      </c>
      <c r="D143" s="402">
        <f>SUM(B143:C143)</f>
        <v>6381.1470791476895</v>
      </c>
      <c r="I143"/>
      <c r="J143"/>
      <c r="K143"/>
      <c r="L143"/>
      <c r="M143"/>
      <c r="N143"/>
      <c r="O143"/>
      <c r="P143"/>
      <c r="Q143"/>
    </row>
    <row r="144" spans="1:17" ht="12.75">
      <c r="A144" s="112"/>
      <c r="B144" s="287"/>
      <c r="C144" s="287"/>
      <c r="D144" s="287"/>
      <c r="I144"/>
      <c r="J144"/>
      <c r="K144"/>
      <c r="L144"/>
      <c r="M144"/>
      <c r="N144"/>
      <c r="O144"/>
      <c r="P144"/>
      <c r="Q144"/>
    </row>
    <row r="145" spans="1:17" ht="12.75">
      <c r="A145" s="109" t="s">
        <v>100</v>
      </c>
      <c r="B145" s="293">
        <f>+C43</f>
        <v>9624043</v>
      </c>
      <c r="C145" s="292"/>
      <c r="D145" s="292"/>
      <c r="I145"/>
      <c r="J145"/>
      <c r="K145"/>
      <c r="L145"/>
      <c r="M145"/>
      <c r="N145"/>
      <c r="O145"/>
      <c r="P145"/>
      <c r="Q145"/>
    </row>
    <row r="146" spans="1:17" ht="12.75">
      <c r="A146" s="112"/>
      <c r="B146" s="288"/>
      <c r="C146" s="287"/>
      <c r="D146" s="287"/>
      <c r="I146"/>
      <c r="J146"/>
      <c r="K146"/>
      <c r="L146"/>
      <c r="M146"/>
      <c r="N146"/>
      <c r="O146"/>
      <c r="P146"/>
      <c r="Q146"/>
    </row>
    <row r="147" spans="1:17" ht="12.75">
      <c r="A147" s="109" t="s">
        <v>101</v>
      </c>
      <c r="B147" s="292"/>
      <c r="C147" s="293">
        <f>+D43</f>
        <v>1006</v>
      </c>
      <c r="D147" s="292"/>
      <c r="I147"/>
      <c r="J147"/>
      <c r="K147"/>
      <c r="L147"/>
      <c r="M147"/>
      <c r="N147"/>
      <c r="O147"/>
      <c r="P147"/>
      <c r="Q147"/>
    </row>
    <row r="148" spans="1:17" ht="12.75">
      <c r="A148" s="112"/>
      <c r="B148" s="287"/>
      <c r="C148" s="288"/>
      <c r="D148" s="287"/>
      <c r="I148"/>
      <c r="J148"/>
      <c r="K148"/>
      <c r="L148"/>
      <c r="M148"/>
      <c r="N148"/>
      <c r="O148"/>
      <c r="P148"/>
      <c r="Q148"/>
    </row>
    <row r="149" spans="1:17" ht="12.75">
      <c r="A149" s="109" t="s">
        <v>159</v>
      </c>
      <c r="B149" s="403">
        <f>IF(ISERROR($B143/$B145),0,$B143/$B145)</f>
        <v>0.0006630422452546908</v>
      </c>
      <c r="C149" s="403"/>
      <c r="D149" s="294"/>
      <c r="I149"/>
      <c r="J149"/>
      <c r="K149"/>
      <c r="L149"/>
      <c r="M149"/>
      <c r="N149"/>
      <c r="O149"/>
      <c r="P149"/>
      <c r="Q149"/>
    </row>
    <row r="150" spans="1:17" ht="12.75">
      <c r="A150" s="112"/>
      <c r="B150" s="404"/>
      <c r="C150" s="404"/>
      <c r="D150" s="289"/>
      <c r="I150"/>
      <c r="J150"/>
      <c r="K150"/>
      <c r="L150"/>
      <c r="M150"/>
      <c r="N150"/>
      <c r="O150"/>
      <c r="P150"/>
      <c r="Q150"/>
    </row>
    <row r="151" spans="1:17" ht="12.75">
      <c r="A151" s="109" t="s">
        <v>160</v>
      </c>
      <c r="B151" s="405"/>
      <c r="C151" s="406">
        <f>IF(ISERROR($C143/$C147/12),0,$C143/$C147/12)</f>
        <v>0</v>
      </c>
      <c r="D151" s="295"/>
      <c r="I151"/>
      <c r="J151"/>
      <c r="K151"/>
      <c r="L151"/>
      <c r="M151"/>
      <c r="N151"/>
      <c r="O151"/>
      <c r="P151"/>
      <c r="Q151"/>
    </row>
    <row r="152" spans="2:17" ht="12.75">
      <c r="B152" s="56"/>
      <c r="C152" s="56"/>
      <c r="D152" s="56"/>
      <c r="I152"/>
      <c r="J152"/>
      <c r="K152"/>
      <c r="L152"/>
      <c r="M152"/>
      <c r="N152"/>
      <c r="O152"/>
      <c r="P152"/>
      <c r="Q152"/>
    </row>
    <row r="153" spans="2:17" ht="12.75">
      <c r="B153" s="56"/>
      <c r="C153" s="56"/>
      <c r="D153" s="56"/>
      <c r="I153"/>
      <c r="J153"/>
      <c r="K153"/>
      <c r="L153"/>
      <c r="M153"/>
      <c r="N153"/>
      <c r="O153"/>
      <c r="P153"/>
      <c r="Q153"/>
    </row>
    <row r="154" spans="1:17" ht="51.75" thickBot="1">
      <c r="A154" s="132"/>
      <c r="B154" s="283" t="s">
        <v>104</v>
      </c>
      <c r="C154" s="283" t="s">
        <v>188</v>
      </c>
      <c r="D154" s="283" t="s">
        <v>103</v>
      </c>
      <c r="I154"/>
      <c r="J154"/>
      <c r="K154"/>
      <c r="L154"/>
      <c r="M154"/>
      <c r="N154"/>
      <c r="O154"/>
      <c r="P154"/>
      <c r="Q154"/>
    </row>
    <row r="155" spans="1:17" ht="15">
      <c r="A155" s="481" t="s">
        <v>215</v>
      </c>
      <c r="B155" s="30"/>
      <c r="C155" s="30"/>
      <c r="I155"/>
      <c r="J155"/>
      <c r="K155"/>
      <c r="L155"/>
      <c r="M155"/>
      <c r="N155"/>
      <c r="O155"/>
      <c r="P155"/>
      <c r="Q155"/>
    </row>
    <row r="156" spans="1:17" ht="12.75">
      <c r="A156" s="109" t="s">
        <v>99</v>
      </c>
      <c r="B156" s="290"/>
      <c r="C156" s="290"/>
      <c r="D156" s="407">
        <f>+G44</f>
        <v>1590.3101299909843</v>
      </c>
      <c r="I156"/>
      <c r="J156"/>
      <c r="K156"/>
      <c r="L156"/>
      <c r="M156"/>
      <c r="N156"/>
      <c r="O156"/>
      <c r="P156"/>
      <c r="Q156"/>
    </row>
    <row r="157" spans="1:17" ht="12.75">
      <c r="A157" s="112"/>
      <c r="B157" s="284"/>
      <c r="C157" s="284"/>
      <c r="D157" s="285"/>
      <c r="I157"/>
      <c r="J157"/>
      <c r="K157"/>
      <c r="L157"/>
      <c r="M157"/>
      <c r="N157"/>
      <c r="O157"/>
      <c r="P157"/>
      <c r="Q157"/>
    </row>
    <row r="158" spans="1:17" ht="12.75">
      <c r="A158" s="109" t="s">
        <v>102</v>
      </c>
      <c r="B158" s="479">
        <f>+B141</f>
        <v>1</v>
      </c>
      <c r="C158" s="479">
        <f>+C141</f>
        <v>0</v>
      </c>
      <c r="D158" s="291">
        <f>B158+C158</f>
        <v>1</v>
      </c>
      <c r="I158"/>
      <c r="J158"/>
      <c r="K158"/>
      <c r="L158"/>
      <c r="M158"/>
      <c r="N158"/>
      <c r="O158"/>
      <c r="P158"/>
      <c r="Q158"/>
    </row>
    <row r="159" spans="1:17" ht="12.75">
      <c r="A159" s="112"/>
      <c r="B159" s="286"/>
      <c r="C159" s="286"/>
      <c r="D159" s="286"/>
      <c r="I159"/>
      <c r="J159"/>
      <c r="K159"/>
      <c r="L159"/>
      <c r="M159"/>
      <c r="N159"/>
      <c r="O159"/>
      <c r="P159"/>
      <c r="Q159"/>
    </row>
    <row r="160" spans="1:17" ht="12.75">
      <c r="A160" s="109" t="s">
        <v>105</v>
      </c>
      <c r="B160" s="402">
        <f>$B158*$D156</f>
        <v>1590.3101299909843</v>
      </c>
      <c r="C160" s="402">
        <f>C158*D156</f>
        <v>0</v>
      </c>
      <c r="D160" s="402">
        <f>SUM(B160:C160)</f>
        <v>1590.3101299909843</v>
      </c>
      <c r="I160"/>
      <c r="J160"/>
      <c r="K160"/>
      <c r="L160"/>
      <c r="M160"/>
      <c r="N160"/>
      <c r="O160"/>
      <c r="P160"/>
      <c r="Q160"/>
    </row>
    <row r="161" spans="1:17" ht="12.75">
      <c r="A161" s="112"/>
      <c r="B161" s="287"/>
      <c r="C161" s="287"/>
      <c r="D161" s="287"/>
      <c r="I161"/>
      <c r="J161"/>
      <c r="K161"/>
      <c r="L161"/>
      <c r="M161"/>
      <c r="N161"/>
      <c r="O161"/>
      <c r="P161"/>
      <c r="Q161"/>
    </row>
    <row r="162" spans="1:17" ht="12.75">
      <c r="A162" s="109" t="s">
        <v>100</v>
      </c>
      <c r="B162" s="293">
        <f>+C44</f>
        <v>2597275</v>
      </c>
      <c r="C162" s="292"/>
      <c r="D162" s="292"/>
      <c r="I162"/>
      <c r="J162"/>
      <c r="K162"/>
      <c r="L162"/>
      <c r="M162"/>
      <c r="N162"/>
      <c r="O162"/>
      <c r="P162"/>
      <c r="Q162"/>
    </row>
    <row r="163" spans="1:17" ht="12.75">
      <c r="A163" s="112"/>
      <c r="B163" s="288"/>
      <c r="C163" s="287"/>
      <c r="D163" s="287"/>
      <c r="I163"/>
      <c r="J163"/>
      <c r="K163"/>
      <c r="L163"/>
      <c r="M163"/>
      <c r="N163"/>
      <c r="O163"/>
      <c r="P163"/>
      <c r="Q163"/>
    </row>
    <row r="164" spans="1:17" ht="12.75">
      <c r="A164" s="109" t="s">
        <v>101</v>
      </c>
      <c r="B164" s="292"/>
      <c r="C164" s="293">
        <f>+D44</f>
        <v>335</v>
      </c>
      <c r="D164" s="292"/>
      <c r="I164"/>
      <c r="J164"/>
      <c r="K164"/>
      <c r="L164"/>
      <c r="M164"/>
      <c r="N164"/>
      <c r="O164"/>
      <c r="P164"/>
      <c r="Q164"/>
    </row>
    <row r="165" spans="1:17" ht="12.75">
      <c r="A165" s="112"/>
      <c r="B165" s="287"/>
      <c r="C165" s="288"/>
      <c r="D165" s="287"/>
      <c r="I165"/>
      <c r="J165"/>
      <c r="K165"/>
      <c r="L165"/>
      <c r="M165"/>
      <c r="N165"/>
      <c r="O165"/>
      <c r="P165"/>
      <c r="Q165"/>
    </row>
    <row r="166" spans="1:17" ht="12.75">
      <c r="A166" s="109" t="s">
        <v>159</v>
      </c>
      <c r="B166" s="403">
        <f>IF(ISERROR($B160/$B162),0,$B160/$B162)</f>
        <v>0.0006122994792584476</v>
      </c>
      <c r="C166" s="403"/>
      <c r="D166" s="294"/>
      <c r="I166"/>
      <c r="J166"/>
      <c r="K166"/>
      <c r="L166"/>
      <c r="M166"/>
      <c r="N166"/>
      <c r="O166"/>
      <c r="P166"/>
      <c r="Q166"/>
    </row>
    <row r="167" spans="1:17" ht="12.75">
      <c r="A167" s="112"/>
      <c r="B167" s="404"/>
      <c r="C167" s="404"/>
      <c r="D167" s="289"/>
      <c r="I167"/>
      <c r="J167"/>
      <c r="K167"/>
      <c r="L167"/>
      <c r="M167"/>
      <c r="N167"/>
      <c r="O167"/>
      <c r="P167"/>
      <c r="Q167"/>
    </row>
    <row r="168" spans="1:17" ht="12.75">
      <c r="A168" s="109" t="s">
        <v>160</v>
      </c>
      <c r="B168" s="405"/>
      <c r="C168" s="406">
        <f>IF(ISERROR($C160/$C164/12),0,$C160/$C164/12)</f>
        <v>0</v>
      </c>
      <c r="D168" s="295"/>
      <c r="I168"/>
      <c r="J168"/>
      <c r="K168"/>
      <c r="L168"/>
      <c r="M168"/>
      <c r="N168"/>
      <c r="O168"/>
      <c r="P168"/>
      <c r="Q168"/>
    </row>
    <row r="169" spans="2:17" ht="12.75">
      <c r="B169" s="56"/>
      <c r="C169" s="56"/>
      <c r="D169" s="56"/>
      <c r="I169"/>
      <c r="J169"/>
      <c r="K169"/>
      <c r="L169"/>
      <c r="M169"/>
      <c r="N169"/>
      <c r="O169"/>
      <c r="P169"/>
      <c r="Q169"/>
    </row>
    <row r="170" spans="2:17" ht="12.75">
      <c r="B170" s="56"/>
      <c r="C170" s="56"/>
      <c r="D170" s="56"/>
      <c r="I170"/>
      <c r="J170"/>
      <c r="K170"/>
      <c r="L170"/>
      <c r="M170"/>
      <c r="N170"/>
      <c r="O170"/>
      <c r="P170"/>
      <c r="Q170"/>
    </row>
    <row r="171" spans="1:17" ht="51.75" thickBot="1">
      <c r="A171" s="132"/>
      <c r="B171" s="283" t="s">
        <v>104</v>
      </c>
      <c r="C171" s="283" t="s">
        <v>188</v>
      </c>
      <c r="D171" s="283" t="s">
        <v>103</v>
      </c>
      <c r="I171"/>
      <c r="J171"/>
      <c r="K171"/>
      <c r="L171"/>
      <c r="M171"/>
      <c r="N171"/>
      <c r="O171"/>
      <c r="P171"/>
      <c r="Q171"/>
    </row>
    <row r="172" spans="1:17" ht="15">
      <c r="A172" s="481" t="s">
        <v>216</v>
      </c>
      <c r="B172" s="30"/>
      <c r="C172" s="30"/>
      <c r="I172"/>
      <c r="J172"/>
      <c r="K172"/>
      <c r="L172"/>
      <c r="M172"/>
      <c r="N172"/>
      <c r="O172"/>
      <c r="P172"/>
      <c r="Q172"/>
    </row>
    <row r="173" spans="1:17" ht="12.75">
      <c r="A173" s="109" t="s">
        <v>99</v>
      </c>
      <c r="B173" s="290"/>
      <c r="C173" s="290"/>
      <c r="D173" s="407">
        <f>+G45</f>
        <v>1603.0503278685856</v>
      </c>
      <c r="I173"/>
      <c r="J173"/>
      <c r="K173"/>
      <c r="L173"/>
      <c r="M173"/>
      <c r="N173"/>
      <c r="O173"/>
      <c r="P173"/>
      <c r="Q173"/>
    </row>
    <row r="174" spans="1:17" ht="12.75">
      <c r="A174" s="112"/>
      <c r="B174" s="284"/>
      <c r="C174" s="284"/>
      <c r="D174" s="285"/>
      <c r="I174"/>
      <c r="J174"/>
      <c r="K174"/>
      <c r="L174"/>
      <c r="M174"/>
      <c r="N174"/>
      <c r="O174"/>
      <c r="P174"/>
      <c r="Q174"/>
    </row>
    <row r="175" spans="1:17" ht="12.75">
      <c r="A175" s="109" t="s">
        <v>102</v>
      </c>
      <c r="B175" s="479">
        <f>+B158</f>
        <v>1</v>
      </c>
      <c r="C175" s="479">
        <f>+C158</f>
        <v>0</v>
      </c>
      <c r="D175" s="291">
        <f>B175+C175</f>
        <v>1</v>
      </c>
      <c r="I175"/>
      <c r="J175"/>
      <c r="K175"/>
      <c r="L175"/>
      <c r="M175"/>
      <c r="N175"/>
      <c r="O175"/>
      <c r="P175"/>
      <c r="Q175"/>
    </row>
    <row r="176" spans="1:17" ht="12.75">
      <c r="A176" s="112"/>
      <c r="B176" s="286"/>
      <c r="C176" s="286"/>
      <c r="D176" s="286"/>
      <c r="I176"/>
      <c r="J176"/>
      <c r="K176"/>
      <c r="L176"/>
      <c r="M176"/>
      <c r="N176"/>
      <c r="O176"/>
      <c r="P176"/>
      <c r="Q176"/>
    </row>
    <row r="177" spans="1:17" ht="12.75">
      <c r="A177" s="109" t="s">
        <v>105</v>
      </c>
      <c r="B177" s="402">
        <f>$B175*$D173</f>
        <v>1603.0503278685856</v>
      </c>
      <c r="C177" s="402">
        <f>C175*D173</f>
        <v>0</v>
      </c>
      <c r="D177" s="402">
        <f>SUM(B177:C177)</f>
        <v>1603.0503278685856</v>
      </c>
      <c r="I177"/>
      <c r="J177"/>
      <c r="K177"/>
      <c r="L177"/>
      <c r="M177"/>
      <c r="N177"/>
      <c r="O177"/>
      <c r="P177"/>
      <c r="Q177"/>
    </row>
    <row r="178" spans="1:17" ht="12.75">
      <c r="A178" s="112"/>
      <c r="B178" s="287"/>
      <c r="C178" s="287"/>
      <c r="D178" s="287"/>
      <c r="I178"/>
      <c r="J178"/>
      <c r="K178"/>
      <c r="L178"/>
      <c r="M178"/>
      <c r="N178"/>
      <c r="O178"/>
      <c r="P178"/>
      <c r="Q178"/>
    </row>
    <row r="179" spans="1:17" ht="12.75">
      <c r="A179" s="109" t="s">
        <v>100</v>
      </c>
      <c r="B179" s="293">
        <f>+C45</f>
        <v>2237409</v>
      </c>
      <c r="C179" s="292"/>
      <c r="D179" s="292"/>
      <c r="I179"/>
      <c r="J179"/>
      <c r="K179"/>
      <c r="L179"/>
      <c r="M179"/>
      <c r="N179"/>
      <c r="O179"/>
      <c r="P179"/>
      <c r="Q179"/>
    </row>
    <row r="180" spans="1:17" ht="12.75">
      <c r="A180" s="112"/>
      <c r="B180" s="288"/>
      <c r="C180" s="287"/>
      <c r="D180" s="287"/>
      <c r="I180"/>
      <c r="J180"/>
      <c r="K180"/>
      <c r="L180"/>
      <c r="M180"/>
      <c r="N180"/>
      <c r="O180"/>
      <c r="P180"/>
      <c r="Q180"/>
    </row>
    <row r="181" spans="1:17" ht="12.75">
      <c r="A181" s="109" t="s">
        <v>101</v>
      </c>
      <c r="B181" s="292"/>
      <c r="C181" s="293">
        <f>+D45</f>
        <v>282</v>
      </c>
      <c r="D181" s="292"/>
      <c r="I181"/>
      <c r="J181"/>
      <c r="K181"/>
      <c r="L181"/>
      <c r="M181"/>
      <c r="N181"/>
      <c r="O181"/>
      <c r="P181"/>
      <c r="Q181"/>
    </row>
    <row r="182" spans="1:17" ht="12.75">
      <c r="A182" s="112"/>
      <c r="B182" s="287"/>
      <c r="C182" s="288"/>
      <c r="D182" s="287"/>
      <c r="I182"/>
      <c r="J182"/>
      <c r="K182"/>
      <c r="L182"/>
      <c r="M182"/>
      <c r="N182"/>
      <c r="O182"/>
      <c r="P182"/>
      <c r="Q182"/>
    </row>
    <row r="183" spans="1:17" ht="12.75">
      <c r="A183" s="109" t="s">
        <v>159</v>
      </c>
      <c r="B183" s="403">
        <f>IF(ISERROR($B177/$B179),0,$B177/$B179)</f>
        <v>0.0007164762132755278</v>
      </c>
      <c r="C183" s="403"/>
      <c r="D183" s="294"/>
      <c r="I183"/>
      <c r="J183"/>
      <c r="K183"/>
      <c r="L183"/>
      <c r="M183"/>
      <c r="N183"/>
      <c r="O183"/>
      <c r="P183"/>
      <c r="Q183"/>
    </row>
    <row r="184" spans="1:17" ht="12.75">
      <c r="A184" s="112"/>
      <c r="B184" s="404"/>
      <c r="C184" s="404"/>
      <c r="D184" s="289"/>
      <c r="I184"/>
      <c r="J184"/>
      <c r="K184"/>
      <c r="L184"/>
      <c r="M184"/>
      <c r="N184"/>
      <c r="O184"/>
      <c r="P184"/>
      <c r="Q184"/>
    </row>
    <row r="185" spans="1:17" ht="12.75">
      <c r="A185" s="109" t="s">
        <v>160</v>
      </c>
      <c r="B185" s="405"/>
      <c r="C185" s="406">
        <f>IF(ISERROR($C177/$C181/12),0,$C177/$C181/12)</f>
        <v>0</v>
      </c>
      <c r="D185" s="295"/>
      <c r="I185"/>
      <c r="J185"/>
      <c r="K185"/>
      <c r="L185"/>
      <c r="M185"/>
      <c r="N185"/>
      <c r="O185"/>
      <c r="P185"/>
      <c r="Q185"/>
    </row>
    <row r="186" spans="2:17" ht="12.75">
      <c r="B186" s="56"/>
      <c r="C186" s="56"/>
      <c r="D186" s="56"/>
      <c r="I186"/>
      <c r="J186"/>
      <c r="K186"/>
      <c r="L186"/>
      <c r="M186"/>
      <c r="N186"/>
      <c r="O186"/>
      <c r="P186"/>
      <c r="Q186"/>
    </row>
    <row r="187" spans="2:17" ht="12.75">
      <c r="B187" s="56"/>
      <c r="C187" s="56"/>
      <c r="D187" s="56"/>
      <c r="I187"/>
      <c r="J187"/>
      <c r="K187"/>
      <c r="L187"/>
      <c r="M187"/>
      <c r="N187"/>
      <c r="O187"/>
      <c r="P187"/>
      <c r="Q187"/>
    </row>
    <row r="188" spans="1:17" ht="51.75" thickBot="1">
      <c r="A188" s="132"/>
      <c r="B188" s="283" t="s">
        <v>104</v>
      </c>
      <c r="C188" s="283" t="s">
        <v>188</v>
      </c>
      <c r="D188" s="283" t="s">
        <v>103</v>
      </c>
      <c r="I188"/>
      <c r="J188"/>
      <c r="K188"/>
      <c r="L188"/>
      <c r="M188"/>
      <c r="N188"/>
      <c r="O188"/>
      <c r="P188"/>
      <c r="Q188"/>
    </row>
    <row r="189" spans="1:17" ht="15">
      <c r="A189" s="481" t="s">
        <v>217</v>
      </c>
      <c r="B189" s="30"/>
      <c r="C189" s="30"/>
      <c r="I189"/>
      <c r="J189"/>
      <c r="K189"/>
      <c r="L189"/>
      <c r="M189"/>
      <c r="N189"/>
      <c r="O189"/>
      <c r="P189"/>
      <c r="Q189"/>
    </row>
    <row r="190" spans="1:17" ht="12.75">
      <c r="A190" s="109" t="s">
        <v>99</v>
      </c>
      <c r="B190" s="290"/>
      <c r="C190" s="290"/>
      <c r="D190" s="407">
        <f>+G46</f>
        <v>8827.066006055322</v>
      </c>
      <c r="I190"/>
      <c r="J190"/>
      <c r="K190"/>
      <c r="L190"/>
      <c r="M190"/>
      <c r="N190"/>
      <c r="O190"/>
      <c r="P190"/>
      <c r="Q190"/>
    </row>
    <row r="191" spans="1:17" ht="12.75">
      <c r="A191" s="112"/>
      <c r="B191" s="284"/>
      <c r="C191" s="284"/>
      <c r="D191" s="285"/>
      <c r="I191"/>
      <c r="J191"/>
      <c r="K191"/>
      <c r="L191"/>
      <c r="M191"/>
      <c r="N191"/>
      <c r="O191"/>
      <c r="P191"/>
      <c r="Q191"/>
    </row>
    <row r="192" spans="1:17" ht="12.75">
      <c r="A192" s="109" t="s">
        <v>102</v>
      </c>
      <c r="B192" s="479">
        <f>+B175</f>
        <v>1</v>
      </c>
      <c r="C192" s="479">
        <f>+C175</f>
        <v>0</v>
      </c>
      <c r="D192" s="291">
        <f>B192+C192</f>
        <v>1</v>
      </c>
      <c r="I192"/>
      <c r="J192"/>
      <c r="K192"/>
      <c r="L192"/>
      <c r="M192"/>
      <c r="N192"/>
      <c r="O192"/>
      <c r="P192"/>
      <c r="Q192"/>
    </row>
    <row r="193" spans="1:17" ht="12.75">
      <c r="A193" s="112"/>
      <c r="B193" s="286"/>
      <c r="C193" s="286"/>
      <c r="D193" s="286"/>
      <c r="I193"/>
      <c r="J193"/>
      <c r="K193"/>
      <c r="L193"/>
      <c r="M193"/>
      <c r="N193"/>
      <c r="O193"/>
      <c r="P193"/>
      <c r="Q193"/>
    </row>
    <row r="194" spans="1:17" ht="12.75">
      <c r="A194" s="109" t="s">
        <v>105</v>
      </c>
      <c r="B194" s="402">
        <f>$B192*$D190</f>
        <v>8827.066006055322</v>
      </c>
      <c r="C194" s="402">
        <f>C192*D190</f>
        <v>0</v>
      </c>
      <c r="D194" s="402">
        <f>SUM(B194:C194)</f>
        <v>8827.066006055322</v>
      </c>
      <c r="I194"/>
      <c r="J194"/>
      <c r="K194"/>
      <c r="L194"/>
      <c r="M194"/>
      <c r="N194"/>
      <c r="O194"/>
      <c r="P194"/>
      <c r="Q194"/>
    </row>
    <row r="195" spans="1:17" ht="12.75">
      <c r="A195" s="112"/>
      <c r="B195" s="287"/>
      <c r="C195" s="287"/>
      <c r="D195" s="287"/>
      <c r="I195"/>
      <c r="J195"/>
      <c r="K195"/>
      <c r="L195"/>
      <c r="M195"/>
      <c r="N195"/>
      <c r="O195"/>
      <c r="P195"/>
      <c r="Q195"/>
    </row>
    <row r="196" spans="1:17" ht="12.75">
      <c r="A196" s="109" t="s">
        <v>100</v>
      </c>
      <c r="B196" s="293">
        <f>+C46</f>
        <v>10742282</v>
      </c>
      <c r="C196" s="292"/>
      <c r="D196" s="292"/>
      <c r="I196"/>
      <c r="J196"/>
      <c r="K196"/>
      <c r="L196"/>
      <c r="M196"/>
      <c r="N196"/>
      <c r="O196"/>
      <c r="P196"/>
      <c r="Q196"/>
    </row>
    <row r="197" spans="1:17" ht="12.75">
      <c r="A197" s="112"/>
      <c r="B197" s="288"/>
      <c r="C197" s="287"/>
      <c r="D197" s="287"/>
      <c r="I197"/>
      <c r="J197"/>
      <c r="K197"/>
      <c r="L197"/>
      <c r="M197"/>
      <c r="N197"/>
      <c r="O197"/>
      <c r="P197"/>
      <c r="Q197"/>
    </row>
    <row r="198" spans="1:17" ht="12.75">
      <c r="A198" s="109" t="s">
        <v>101</v>
      </c>
      <c r="B198" s="292"/>
      <c r="C198" s="293">
        <f>+D46</f>
        <v>1345</v>
      </c>
      <c r="D198" s="292"/>
      <c r="I198"/>
      <c r="J198"/>
      <c r="K198"/>
      <c r="L198"/>
      <c r="M198"/>
      <c r="N198"/>
      <c r="O198"/>
      <c r="P198"/>
      <c r="Q198"/>
    </row>
    <row r="199" spans="1:17" ht="12.75">
      <c r="A199" s="112"/>
      <c r="B199" s="287"/>
      <c r="C199" s="288"/>
      <c r="D199" s="287"/>
      <c r="I199"/>
      <c r="J199"/>
      <c r="K199"/>
      <c r="L199"/>
      <c r="M199"/>
      <c r="N199"/>
      <c r="O199"/>
      <c r="P199"/>
      <c r="Q199"/>
    </row>
    <row r="200" spans="1:17" ht="12.75">
      <c r="A200" s="109" t="s">
        <v>159</v>
      </c>
      <c r="B200" s="403">
        <f>IF(ISERROR($B194/$B196),0,$B194/$B196)</f>
        <v>0.0008217123704307262</v>
      </c>
      <c r="C200" s="403"/>
      <c r="D200" s="294"/>
      <c r="I200"/>
      <c r="J200"/>
      <c r="K200"/>
      <c r="L200"/>
      <c r="M200"/>
      <c r="N200"/>
      <c r="O200"/>
      <c r="P200"/>
      <c r="Q200"/>
    </row>
    <row r="201" spans="1:17" ht="12.75">
      <c r="A201" s="112"/>
      <c r="B201" s="404"/>
      <c r="C201" s="404"/>
      <c r="D201" s="289"/>
      <c r="I201"/>
      <c r="J201"/>
      <c r="K201"/>
      <c r="L201"/>
      <c r="M201"/>
      <c r="N201"/>
      <c r="O201"/>
      <c r="P201"/>
      <c r="Q201"/>
    </row>
    <row r="202" spans="1:17" ht="12.75">
      <c r="A202" s="109" t="s">
        <v>160</v>
      </c>
      <c r="B202" s="405"/>
      <c r="C202" s="406">
        <f>IF(ISERROR($C194/$C198/12),0,$C194/$C198/12)</f>
        <v>0</v>
      </c>
      <c r="D202" s="295"/>
      <c r="I202"/>
      <c r="J202"/>
      <c r="K202"/>
      <c r="L202"/>
      <c r="M202"/>
      <c r="N202"/>
      <c r="O202"/>
      <c r="P202"/>
      <c r="Q202"/>
    </row>
    <row r="203" spans="2:17" ht="12.75">
      <c r="B203" s="56"/>
      <c r="C203" s="56"/>
      <c r="D203" s="56"/>
      <c r="I203"/>
      <c r="J203"/>
      <c r="K203"/>
      <c r="L203"/>
      <c r="M203"/>
      <c r="N203"/>
      <c r="O203"/>
      <c r="P203"/>
      <c r="Q203"/>
    </row>
    <row r="204" spans="2:17" ht="12.75">
      <c r="B204" s="56"/>
      <c r="C204" s="56"/>
      <c r="D204" s="56"/>
      <c r="I204"/>
      <c r="J204"/>
      <c r="K204"/>
      <c r="L204"/>
      <c r="M204"/>
      <c r="N204"/>
      <c r="O204"/>
      <c r="P204"/>
      <c r="Q204"/>
    </row>
    <row r="205" spans="1:17" ht="51.75" thickBot="1">
      <c r="A205" s="132"/>
      <c r="B205" s="283" t="s">
        <v>104</v>
      </c>
      <c r="C205" s="283" t="s">
        <v>188</v>
      </c>
      <c r="D205" s="283" t="s">
        <v>103</v>
      </c>
      <c r="I205"/>
      <c r="J205"/>
      <c r="K205"/>
      <c r="L205"/>
      <c r="M205"/>
      <c r="N205"/>
      <c r="O205"/>
      <c r="P205"/>
      <c r="Q205"/>
    </row>
    <row r="206" spans="1:17" ht="15">
      <c r="A206" s="481" t="s">
        <v>218</v>
      </c>
      <c r="B206" s="30"/>
      <c r="C206" s="30"/>
      <c r="D206" s="494"/>
      <c r="I206"/>
      <c r="J206"/>
      <c r="K206"/>
      <c r="L206"/>
      <c r="M206"/>
      <c r="N206"/>
      <c r="O206"/>
      <c r="P206"/>
      <c r="Q206"/>
    </row>
    <row r="207" spans="1:17" ht="12.75">
      <c r="A207" s="109" t="s">
        <v>99</v>
      </c>
      <c r="B207" s="290"/>
      <c r="C207" s="290"/>
      <c r="D207" s="407">
        <f>+G47</f>
        <v>1363.5744208880465</v>
      </c>
      <c r="I207"/>
      <c r="J207"/>
      <c r="K207"/>
      <c r="L207"/>
      <c r="M207"/>
      <c r="N207"/>
      <c r="O207"/>
      <c r="P207"/>
      <c r="Q207"/>
    </row>
    <row r="208" spans="1:17" ht="12.75">
      <c r="A208" s="112"/>
      <c r="B208" s="284"/>
      <c r="C208" s="284"/>
      <c r="D208" s="285"/>
      <c r="I208"/>
      <c r="J208"/>
      <c r="K208"/>
      <c r="L208"/>
      <c r="M208"/>
      <c r="N208"/>
      <c r="O208"/>
      <c r="P208"/>
      <c r="Q208"/>
    </row>
    <row r="209" spans="1:17" ht="12.75">
      <c r="A209" s="109" t="s">
        <v>102</v>
      </c>
      <c r="B209" s="479">
        <f>+B192</f>
        <v>1</v>
      </c>
      <c r="C209" s="479">
        <f>+C192</f>
        <v>0</v>
      </c>
      <c r="D209" s="291">
        <f>B209+C209</f>
        <v>1</v>
      </c>
      <c r="I209"/>
      <c r="J209"/>
      <c r="K209"/>
      <c r="L209"/>
      <c r="M209"/>
      <c r="N209"/>
      <c r="O209"/>
      <c r="P209"/>
      <c r="Q209"/>
    </row>
    <row r="210" spans="1:17" ht="12.75">
      <c r="A210" s="112"/>
      <c r="B210" s="286"/>
      <c r="C210" s="286"/>
      <c r="D210" s="286"/>
      <c r="I210"/>
      <c r="J210"/>
      <c r="K210"/>
      <c r="L210"/>
      <c r="M210"/>
      <c r="N210"/>
      <c r="O210"/>
      <c r="P210"/>
      <c r="Q210"/>
    </row>
    <row r="211" spans="1:17" ht="12.75">
      <c r="A211" s="109" t="s">
        <v>105</v>
      </c>
      <c r="B211" s="402">
        <f>$B209*$D207</f>
        <v>1363.5744208880465</v>
      </c>
      <c r="C211" s="402">
        <f>C209*D207</f>
        <v>0</v>
      </c>
      <c r="D211" s="402">
        <f>SUM(B211:C211)</f>
        <v>1363.5744208880465</v>
      </c>
      <c r="I211"/>
      <c r="J211"/>
      <c r="K211"/>
      <c r="L211"/>
      <c r="M211"/>
      <c r="N211"/>
      <c r="O211"/>
      <c r="P211"/>
      <c r="Q211"/>
    </row>
    <row r="212" spans="1:17" ht="12.75">
      <c r="A212" s="112"/>
      <c r="B212" s="496"/>
      <c r="C212" s="287"/>
      <c r="D212" s="287"/>
      <c r="I212"/>
      <c r="J212"/>
      <c r="K212"/>
      <c r="L212"/>
      <c r="M212"/>
      <c r="N212"/>
      <c r="O212"/>
      <c r="P212"/>
      <c r="Q212"/>
    </row>
    <row r="213" spans="1:17" ht="12.75">
      <c r="A213" s="109" t="s">
        <v>100</v>
      </c>
      <c r="B213" s="293">
        <f>+C47</f>
        <v>3373917</v>
      </c>
      <c r="C213" s="292"/>
      <c r="D213" s="292"/>
      <c r="I213"/>
      <c r="J213"/>
      <c r="K213"/>
      <c r="L213"/>
      <c r="M213"/>
      <c r="N213"/>
      <c r="O213"/>
      <c r="P213"/>
      <c r="Q213"/>
    </row>
    <row r="214" spans="1:17" ht="12.75">
      <c r="A214" s="112"/>
      <c r="B214" s="288"/>
      <c r="C214" s="287"/>
      <c r="D214" s="287"/>
      <c r="I214"/>
      <c r="J214"/>
      <c r="K214"/>
      <c r="L214"/>
      <c r="M214"/>
      <c r="N214"/>
      <c r="O214"/>
      <c r="P214"/>
      <c r="Q214"/>
    </row>
    <row r="215" spans="1:17" ht="12.75">
      <c r="A215" s="109" t="s">
        <v>101</v>
      </c>
      <c r="B215" s="292"/>
      <c r="C215" s="293">
        <f>+D47</f>
        <v>361</v>
      </c>
      <c r="D215" s="292"/>
      <c r="I215"/>
      <c r="J215"/>
      <c r="K215"/>
      <c r="L215"/>
      <c r="M215"/>
      <c r="N215"/>
      <c r="O215"/>
      <c r="P215"/>
      <c r="Q215"/>
    </row>
    <row r="216" spans="1:17" ht="12.75">
      <c r="A216" s="112"/>
      <c r="B216" s="287"/>
      <c r="C216" s="288"/>
      <c r="D216" s="287"/>
      <c r="I216"/>
      <c r="J216"/>
      <c r="K216"/>
      <c r="L216"/>
      <c r="M216"/>
      <c r="N216"/>
      <c r="O216"/>
      <c r="P216"/>
      <c r="Q216"/>
    </row>
    <row r="217" spans="1:17" ht="12.75">
      <c r="A217" s="109" t="s">
        <v>159</v>
      </c>
      <c r="B217" s="403">
        <f>IF(ISERROR($B211/$B213),0,$B211/$B213)</f>
        <v>0.0004041517384357844</v>
      </c>
      <c r="C217" s="403"/>
      <c r="D217" s="294"/>
      <c r="I217"/>
      <c r="J217"/>
      <c r="K217"/>
      <c r="L217"/>
      <c r="M217"/>
      <c r="N217"/>
      <c r="O217"/>
      <c r="P217"/>
      <c r="Q217"/>
    </row>
    <row r="218" spans="1:17" ht="12.75">
      <c r="A218" s="112"/>
      <c r="B218" s="404"/>
      <c r="C218" s="404"/>
      <c r="D218" s="289"/>
      <c r="I218"/>
      <c r="J218"/>
      <c r="K218"/>
      <c r="L218"/>
      <c r="M218"/>
      <c r="N218"/>
      <c r="O218"/>
      <c r="P218"/>
      <c r="Q218"/>
    </row>
    <row r="219" spans="1:17" ht="12.75">
      <c r="A219" s="109" t="s">
        <v>160</v>
      </c>
      <c r="B219" s="405"/>
      <c r="C219" s="406">
        <f>IF(ISERROR($C211/$C215/12),0,$C211/$C215/12)</f>
        <v>0</v>
      </c>
      <c r="D219" s="295"/>
      <c r="I219"/>
      <c r="J219"/>
      <c r="K219"/>
      <c r="L219"/>
      <c r="M219"/>
      <c r="N219"/>
      <c r="O219"/>
      <c r="P219"/>
      <c r="Q219"/>
    </row>
    <row r="220" spans="2:17" ht="12.75">
      <c r="B220" s="56"/>
      <c r="C220" s="56"/>
      <c r="D220" s="56"/>
      <c r="I220"/>
      <c r="J220"/>
      <c r="K220"/>
      <c r="L220"/>
      <c r="M220"/>
      <c r="N220"/>
      <c r="O220"/>
      <c r="P220"/>
      <c r="Q220"/>
    </row>
    <row r="221" spans="2:17" ht="12.75">
      <c r="B221" s="56"/>
      <c r="C221" s="56"/>
      <c r="D221" s="56"/>
      <c r="I221"/>
      <c r="J221"/>
      <c r="K221"/>
      <c r="L221"/>
      <c r="M221"/>
      <c r="N221"/>
      <c r="O221"/>
      <c r="P221"/>
      <c r="Q221"/>
    </row>
    <row r="222" spans="1:17" ht="51.75" thickBot="1">
      <c r="A222" s="132"/>
      <c r="B222" s="283" t="s">
        <v>104</v>
      </c>
      <c r="C222" s="283" t="s">
        <v>188</v>
      </c>
      <c r="D222" s="283" t="s">
        <v>103</v>
      </c>
      <c r="I222"/>
      <c r="J222"/>
      <c r="K222"/>
      <c r="L222"/>
      <c r="M222"/>
      <c r="N222"/>
      <c r="O222"/>
      <c r="P222"/>
      <c r="Q222"/>
    </row>
    <row r="223" spans="1:17" ht="15">
      <c r="A223" s="481" t="s">
        <v>219</v>
      </c>
      <c r="B223" s="30"/>
      <c r="C223" s="30"/>
      <c r="I223"/>
      <c r="J223"/>
      <c r="K223"/>
      <c r="L223"/>
      <c r="M223"/>
      <c r="N223"/>
      <c r="O223"/>
      <c r="P223"/>
      <c r="Q223"/>
    </row>
    <row r="224" spans="1:17" ht="12.75">
      <c r="A224" s="109" t="s">
        <v>99</v>
      </c>
      <c r="B224" s="290"/>
      <c r="C224" s="290"/>
      <c r="D224" s="407">
        <f>+G48</f>
        <v>10245.881128678282</v>
      </c>
      <c r="I224"/>
      <c r="J224"/>
      <c r="K224"/>
      <c r="L224"/>
      <c r="M224"/>
      <c r="N224"/>
      <c r="O224"/>
      <c r="P224"/>
      <c r="Q224"/>
    </row>
    <row r="225" spans="1:17" ht="12.75">
      <c r="A225" s="112"/>
      <c r="B225" s="284"/>
      <c r="C225" s="284"/>
      <c r="D225" s="285"/>
      <c r="I225"/>
      <c r="J225"/>
      <c r="K225"/>
      <c r="L225"/>
      <c r="M225"/>
      <c r="N225"/>
      <c r="O225"/>
      <c r="P225"/>
      <c r="Q225"/>
    </row>
    <row r="226" spans="1:17" ht="12.75">
      <c r="A226" s="109" t="s">
        <v>102</v>
      </c>
      <c r="B226" s="479">
        <f>+B209</f>
        <v>1</v>
      </c>
      <c r="C226" s="479">
        <f>+C209</f>
        <v>0</v>
      </c>
      <c r="D226" s="291">
        <f>B226+C226</f>
        <v>1</v>
      </c>
      <c r="I226"/>
      <c r="J226"/>
      <c r="K226"/>
      <c r="L226"/>
      <c r="M226"/>
      <c r="N226"/>
      <c r="O226"/>
      <c r="P226"/>
      <c r="Q226"/>
    </row>
    <row r="227" spans="1:17" ht="12.75">
      <c r="A227" s="112"/>
      <c r="B227" s="286"/>
      <c r="C227" s="286"/>
      <c r="D227" s="286"/>
      <c r="I227"/>
      <c r="J227"/>
      <c r="K227"/>
      <c r="L227"/>
      <c r="M227"/>
      <c r="N227"/>
      <c r="O227"/>
      <c r="P227"/>
      <c r="Q227"/>
    </row>
    <row r="228" spans="1:17" ht="12.75">
      <c r="A228" s="109" t="s">
        <v>105</v>
      </c>
      <c r="B228" s="402">
        <f>$B226*$D224</f>
        <v>10245.881128678282</v>
      </c>
      <c r="C228" s="402">
        <f>C226*D224</f>
        <v>0</v>
      </c>
      <c r="D228" s="402">
        <f>SUM(B228:C228)</f>
        <v>10245.881128678282</v>
      </c>
      <c r="I228"/>
      <c r="J228"/>
      <c r="K228"/>
      <c r="L228"/>
      <c r="M228"/>
      <c r="N228"/>
      <c r="O228"/>
      <c r="P228"/>
      <c r="Q228"/>
    </row>
    <row r="229" spans="1:17" ht="12.75">
      <c r="A229" s="112"/>
      <c r="B229" s="287"/>
      <c r="C229" s="287"/>
      <c r="D229" s="287"/>
      <c r="I229"/>
      <c r="J229"/>
      <c r="K229"/>
      <c r="L229"/>
      <c r="M229"/>
      <c r="N229"/>
      <c r="O229"/>
      <c r="P229"/>
      <c r="Q229"/>
    </row>
    <row r="230" spans="1:17" ht="12.75">
      <c r="A230" s="109" t="s">
        <v>100</v>
      </c>
      <c r="B230" s="293">
        <f>+C48</f>
        <v>17653441</v>
      </c>
      <c r="C230" s="292"/>
      <c r="D230" s="292"/>
      <c r="I230"/>
      <c r="J230"/>
      <c r="K230"/>
      <c r="L230"/>
      <c r="M230"/>
      <c r="N230"/>
      <c r="O230"/>
      <c r="P230"/>
      <c r="Q230"/>
    </row>
    <row r="231" spans="1:17" ht="12.75">
      <c r="A231" s="112"/>
      <c r="B231" s="288"/>
      <c r="C231" s="287"/>
      <c r="D231" s="287"/>
      <c r="I231"/>
      <c r="J231"/>
      <c r="K231"/>
      <c r="L231"/>
      <c r="M231"/>
      <c r="N231"/>
      <c r="O231"/>
      <c r="P231"/>
      <c r="Q231"/>
    </row>
    <row r="232" spans="1:17" ht="12.75">
      <c r="A232" s="109" t="s">
        <v>101</v>
      </c>
      <c r="B232" s="292"/>
      <c r="C232" s="293">
        <f>+D48</f>
        <v>1839</v>
      </c>
      <c r="D232" s="292"/>
      <c r="I232"/>
      <c r="J232"/>
      <c r="K232"/>
      <c r="L232"/>
      <c r="M232"/>
      <c r="N232"/>
      <c r="O232"/>
      <c r="P232"/>
      <c r="Q232"/>
    </row>
    <row r="233" spans="1:17" ht="12.75">
      <c r="A233" s="112"/>
      <c r="B233" s="287"/>
      <c r="C233" s="288"/>
      <c r="D233" s="287"/>
      <c r="I233"/>
      <c r="J233"/>
      <c r="K233"/>
      <c r="L233"/>
      <c r="M233"/>
      <c r="N233"/>
      <c r="O233"/>
      <c r="P233"/>
      <c r="Q233"/>
    </row>
    <row r="234" spans="1:17" ht="12.75">
      <c r="A234" s="109" t="s">
        <v>159</v>
      </c>
      <c r="B234" s="403">
        <f>IF(ISERROR($B228/$B230),0,$B228/$B230)</f>
        <v>0.0005803900287019557</v>
      </c>
      <c r="C234" s="403"/>
      <c r="D234" s="294"/>
      <c r="I234"/>
      <c r="J234"/>
      <c r="K234"/>
      <c r="L234"/>
      <c r="M234"/>
      <c r="N234"/>
      <c r="O234"/>
      <c r="P234"/>
      <c r="Q234"/>
    </row>
    <row r="235" spans="1:17" ht="12.75">
      <c r="A235" s="112"/>
      <c r="B235" s="404"/>
      <c r="C235" s="404"/>
      <c r="D235" s="289"/>
      <c r="I235"/>
      <c r="J235"/>
      <c r="K235"/>
      <c r="L235"/>
      <c r="M235"/>
      <c r="N235"/>
      <c r="O235"/>
      <c r="P235"/>
      <c r="Q235"/>
    </row>
    <row r="236" spans="1:17" ht="12.75">
      <c r="A236" s="109" t="s">
        <v>160</v>
      </c>
      <c r="B236" s="405"/>
      <c r="C236" s="406">
        <f>IF(ISERROR($C228/$C232/12),0,$C228/$C232/12)</f>
        <v>0</v>
      </c>
      <c r="D236" s="295"/>
      <c r="I236"/>
      <c r="J236"/>
      <c r="K236"/>
      <c r="L236"/>
      <c r="M236"/>
      <c r="N236"/>
      <c r="O236"/>
      <c r="P236"/>
      <c r="Q236"/>
    </row>
    <row r="237" spans="2:17" ht="12.75">
      <c r="B237" s="56"/>
      <c r="C237" s="56"/>
      <c r="D237" s="56"/>
      <c r="I237"/>
      <c r="J237"/>
      <c r="K237"/>
      <c r="L237"/>
      <c r="M237"/>
      <c r="N237"/>
      <c r="O237"/>
      <c r="P237"/>
      <c r="Q237"/>
    </row>
    <row r="238" spans="2:17" ht="12.75">
      <c r="B238" s="56"/>
      <c r="C238" s="56"/>
      <c r="D238" s="56"/>
      <c r="I238"/>
      <c r="J238"/>
      <c r="K238"/>
      <c r="L238"/>
      <c r="M238"/>
      <c r="N238"/>
      <c r="O238"/>
      <c r="P238"/>
      <c r="Q238"/>
    </row>
    <row r="239" spans="1:17" ht="51.75" thickBot="1">
      <c r="A239" s="132"/>
      <c r="B239" s="283" t="s">
        <v>104</v>
      </c>
      <c r="C239" s="283" t="s">
        <v>188</v>
      </c>
      <c r="D239" s="283" t="s">
        <v>103</v>
      </c>
      <c r="I239"/>
      <c r="J239"/>
      <c r="K239"/>
      <c r="L239"/>
      <c r="M239"/>
      <c r="N239"/>
      <c r="O239"/>
      <c r="P239"/>
      <c r="Q239"/>
    </row>
    <row r="240" spans="1:17" ht="15">
      <c r="A240" s="481" t="s">
        <v>220</v>
      </c>
      <c r="B240" s="30"/>
      <c r="C240" s="30"/>
      <c r="I240"/>
      <c r="J240"/>
      <c r="K240"/>
      <c r="L240"/>
      <c r="M240"/>
      <c r="N240"/>
      <c r="O240"/>
      <c r="P240"/>
      <c r="Q240"/>
    </row>
    <row r="241" spans="1:17" ht="12.75">
      <c r="A241" s="109" t="s">
        <v>99</v>
      </c>
      <c r="B241" s="290"/>
      <c r="C241" s="290"/>
      <c r="D241" s="407">
        <f>+G49</f>
        <v>30235.127182639997</v>
      </c>
      <c r="I241"/>
      <c r="J241"/>
      <c r="K241"/>
      <c r="L241"/>
      <c r="M241"/>
      <c r="N241"/>
      <c r="O241"/>
      <c r="P241"/>
      <c r="Q241"/>
    </row>
    <row r="242" spans="1:17" ht="12.75">
      <c r="A242" s="112"/>
      <c r="B242" s="284"/>
      <c r="C242" s="284"/>
      <c r="D242" s="285"/>
      <c r="I242"/>
      <c r="J242"/>
      <c r="K242"/>
      <c r="L242"/>
      <c r="M242"/>
      <c r="N242"/>
      <c r="O242"/>
      <c r="P242"/>
      <c r="Q242"/>
    </row>
    <row r="243" spans="1:17" ht="12.75">
      <c r="A243" s="109" t="s">
        <v>102</v>
      </c>
      <c r="B243" s="479">
        <f>+B226</f>
        <v>1</v>
      </c>
      <c r="C243" s="479">
        <f>+C226</f>
        <v>0</v>
      </c>
      <c r="D243" s="291">
        <f>B243+C243</f>
        <v>1</v>
      </c>
      <c r="I243"/>
      <c r="J243"/>
      <c r="K243"/>
      <c r="L243"/>
      <c r="M243"/>
      <c r="N243"/>
      <c r="O243"/>
      <c r="P243"/>
      <c r="Q243"/>
    </row>
    <row r="244" spans="1:17" ht="12.75">
      <c r="A244" s="112"/>
      <c r="B244" s="286"/>
      <c r="C244" s="286"/>
      <c r="D244" s="286"/>
      <c r="I244"/>
      <c r="J244"/>
      <c r="K244"/>
      <c r="L244"/>
      <c r="M244"/>
      <c r="N244"/>
      <c r="O244"/>
      <c r="P244"/>
      <c r="Q244"/>
    </row>
    <row r="245" spans="1:17" ht="12.75">
      <c r="A245" s="109" t="s">
        <v>105</v>
      </c>
      <c r="B245" s="402">
        <f>$B243*$D241</f>
        <v>30235.127182639997</v>
      </c>
      <c r="C245" s="402">
        <f>C243*D241</f>
        <v>0</v>
      </c>
      <c r="D245" s="402">
        <f>SUM(B245:C245)</f>
        <v>30235.127182639997</v>
      </c>
      <c r="I245"/>
      <c r="J245"/>
      <c r="K245"/>
      <c r="L245"/>
      <c r="M245"/>
      <c r="N245"/>
      <c r="O245"/>
      <c r="P245"/>
      <c r="Q245"/>
    </row>
    <row r="246" spans="1:17" ht="12.75">
      <c r="A246" s="112"/>
      <c r="B246" s="287"/>
      <c r="C246" s="287"/>
      <c r="D246" s="287"/>
      <c r="I246"/>
      <c r="J246"/>
      <c r="K246"/>
      <c r="L246"/>
      <c r="M246"/>
      <c r="N246"/>
      <c r="O246"/>
      <c r="P246"/>
      <c r="Q246"/>
    </row>
    <row r="247" spans="1:17" ht="12.75">
      <c r="A247" s="109" t="s">
        <v>100</v>
      </c>
      <c r="B247" s="293">
        <f>+C49</f>
        <v>37331183</v>
      </c>
      <c r="C247" s="292"/>
      <c r="D247" s="292"/>
      <c r="I247"/>
      <c r="J247"/>
      <c r="K247"/>
      <c r="L247"/>
      <c r="M247"/>
      <c r="N247"/>
      <c r="O247"/>
      <c r="P247"/>
      <c r="Q247"/>
    </row>
    <row r="248" spans="1:17" ht="12.75">
      <c r="A248" s="112"/>
      <c r="B248" s="288"/>
      <c r="C248" s="287"/>
      <c r="D248" s="287"/>
      <c r="I248"/>
      <c r="J248"/>
      <c r="K248"/>
      <c r="L248"/>
      <c r="M248"/>
      <c r="N248"/>
      <c r="O248"/>
      <c r="P248"/>
      <c r="Q248"/>
    </row>
    <row r="249" spans="1:17" ht="12.75">
      <c r="A249" s="109" t="s">
        <v>101</v>
      </c>
      <c r="B249" s="292"/>
      <c r="C249" s="293">
        <f>+D49</f>
        <v>4348</v>
      </c>
      <c r="D249" s="292"/>
      <c r="I249"/>
      <c r="J249"/>
      <c r="K249"/>
      <c r="L249"/>
      <c r="M249"/>
      <c r="N249"/>
      <c r="O249"/>
      <c r="P249"/>
      <c r="Q249"/>
    </row>
    <row r="250" spans="1:17" ht="12.75">
      <c r="A250" s="112"/>
      <c r="B250" s="287"/>
      <c r="C250" s="288"/>
      <c r="D250" s="287"/>
      <c r="I250"/>
      <c r="J250"/>
      <c r="K250"/>
      <c r="L250"/>
      <c r="M250"/>
      <c r="N250"/>
      <c r="O250"/>
      <c r="P250"/>
      <c r="Q250"/>
    </row>
    <row r="251" spans="1:17" ht="12.75">
      <c r="A251" s="109" t="s">
        <v>159</v>
      </c>
      <c r="B251" s="403">
        <f>IF(ISERROR($B245/$B247),0,$B245/$B247)</f>
        <v>0.0008099161278291127</v>
      </c>
      <c r="C251" s="403"/>
      <c r="D251" s="294"/>
      <c r="I251"/>
      <c r="J251"/>
      <c r="K251"/>
      <c r="L251"/>
      <c r="M251"/>
      <c r="N251"/>
      <c r="O251"/>
      <c r="P251"/>
      <c r="Q251"/>
    </row>
    <row r="252" spans="1:17" ht="12.75">
      <c r="A252" s="112"/>
      <c r="B252" s="404"/>
      <c r="C252" s="404"/>
      <c r="D252" s="289"/>
      <c r="I252"/>
      <c r="J252"/>
      <c r="K252"/>
      <c r="L252"/>
      <c r="M252"/>
      <c r="N252"/>
      <c r="O252"/>
      <c r="P252"/>
      <c r="Q252"/>
    </row>
    <row r="253" spans="1:17" ht="12.75">
      <c r="A253" s="109" t="s">
        <v>160</v>
      </c>
      <c r="B253" s="405"/>
      <c r="C253" s="406">
        <f>IF(ISERROR($C245/$C249/12),0,$C245/$C249/12)</f>
        <v>0</v>
      </c>
      <c r="D253" s="295"/>
      <c r="I253"/>
      <c r="J253"/>
      <c r="K253"/>
      <c r="L253"/>
      <c r="M253"/>
      <c r="N253"/>
      <c r="O253"/>
      <c r="P253"/>
      <c r="Q253"/>
    </row>
    <row r="254" spans="2:17" ht="12.75">
      <c r="B254" s="56"/>
      <c r="C254" s="56"/>
      <c r="D254" s="56"/>
      <c r="I254"/>
      <c r="J254"/>
      <c r="K254"/>
      <c r="L254"/>
      <c r="M254"/>
      <c r="N254"/>
      <c r="O254"/>
      <c r="P254"/>
      <c r="Q254"/>
    </row>
    <row r="255" spans="2:17" ht="12.75">
      <c r="B255" s="56"/>
      <c r="C255" s="56"/>
      <c r="D255" s="56"/>
      <c r="I255"/>
      <c r="J255"/>
      <c r="K255"/>
      <c r="L255"/>
      <c r="M255"/>
      <c r="N255"/>
      <c r="O255"/>
      <c r="P255"/>
      <c r="Q255"/>
    </row>
    <row r="256" spans="1:17" ht="51.75" thickBot="1">
      <c r="A256" s="132"/>
      <c r="B256" s="283" t="s">
        <v>104</v>
      </c>
      <c r="C256" s="283" t="s">
        <v>188</v>
      </c>
      <c r="D256" s="283" t="s">
        <v>103</v>
      </c>
      <c r="I256"/>
      <c r="J256"/>
      <c r="K256"/>
      <c r="L256"/>
      <c r="M256"/>
      <c r="N256"/>
      <c r="O256"/>
      <c r="P256"/>
      <c r="Q256"/>
    </row>
    <row r="257" spans="1:17" ht="15">
      <c r="A257" s="481" t="s">
        <v>221</v>
      </c>
      <c r="B257" s="30"/>
      <c r="C257" s="30"/>
      <c r="I257"/>
      <c r="J257"/>
      <c r="K257"/>
      <c r="L257"/>
      <c r="M257"/>
      <c r="N257"/>
      <c r="O257"/>
      <c r="P257"/>
      <c r="Q257"/>
    </row>
    <row r="258" spans="1:17" ht="12.75">
      <c r="A258" s="109" t="s">
        <v>99</v>
      </c>
      <c r="B258" s="290"/>
      <c r="C258" s="290"/>
      <c r="D258" s="407">
        <f>+G50</f>
        <v>3087.457563002008</v>
      </c>
      <c r="I258"/>
      <c r="J258"/>
      <c r="K258"/>
      <c r="L258"/>
      <c r="M258"/>
      <c r="N258"/>
      <c r="O258"/>
      <c r="P258"/>
      <c r="Q258"/>
    </row>
    <row r="259" spans="1:17" ht="12.75">
      <c r="A259" s="112"/>
      <c r="B259" s="284"/>
      <c r="C259" s="284"/>
      <c r="D259" s="285"/>
      <c r="I259"/>
      <c r="J259"/>
      <c r="K259"/>
      <c r="L259"/>
      <c r="M259"/>
      <c r="N259"/>
      <c r="O259"/>
      <c r="P259"/>
      <c r="Q259"/>
    </row>
    <row r="260" spans="1:17" ht="12.75">
      <c r="A260" s="109" t="s">
        <v>102</v>
      </c>
      <c r="B260" s="479">
        <f>+B243</f>
        <v>1</v>
      </c>
      <c r="C260" s="479">
        <f>+C243</f>
        <v>0</v>
      </c>
      <c r="D260" s="291">
        <f>B260+C260</f>
        <v>1</v>
      </c>
      <c r="I260"/>
      <c r="J260"/>
      <c r="K260"/>
      <c r="L260"/>
      <c r="M260"/>
      <c r="N260"/>
      <c r="O260"/>
      <c r="P260"/>
      <c r="Q260"/>
    </row>
    <row r="261" spans="1:17" ht="12.75">
      <c r="A261" s="112"/>
      <c r="B261" s="286"/>
      <c r="C261" s="286"/>
      <c r="D261" s="286"/>
      <c r="I261"/>
      <c r="J261"/>
      <c r="K261"/>
      <c r="L261"/>
      <c r="M261"/>
      <c r="N261"/>
      <c r="O261"/>
      <c r="P261"/>
      <c r="Q261"/>
    </row>
    <row r="262" spans="1:17" ht="12.75">
      <c r="A262" s="109" t="s">
        <v>105</v>
      </c>
      <c r="B262" s="402">
        <f>$B260*$D258</f>
        <v>3087.457563002008</v>
      </c>
      <c r="C262" s="402">
        <f>C260*D258</f>
        <v>0</v>
      </c>
      <c r="D262" s="402">
        <f>SUM(B262:C262)</f>
        <v>3087.457563002008</v>
      </c>
      <c r="I262"/>
      <c r="J262"/>
      <c r="K262"/>
      <c r="L262"/>
      <c r="M262"/>
      <c r="N262"/>
      <c r="O262"/>
      <c r="P262"/>
      <c r="Q262"/>
    </row>
    <row r="263" spans="1:17" ht="12.75">
      <c r="A263" s="112"/>
      <c r="B263" s="287"/>
      <c r="C263" s="287"/>
      <c r="D263" s="287"/>
      <c r="I263"/>
      <c r="J263"/>
      <c r="K263"/>
      <c r="L263"/>
      <c r="M263"/>
      <c r="N263"/>
      <c r="O263"/>
      <c r="P263"/>
      <c r="Q263"/>
    </row>
    <row r="264" spans="1:17" ht="12.75">
      <c r="A264" s="109" t="s">
        <v>100</v>
      </c>
      <c r="B264" s="293">
        <f>+C50</f>
        <v>6095691</v>
      </c>
      <c r="C264" s="292"/>
      <c r="D264" s="292"/>
      <c r="I264"/>
      <c r="J264"/>
      <c r="K264"/>
      <c r="L264"/>
      <c r="M264"/>
      <c r="N264"/>
      <c r="O264"/>
      <c r="P264"/>
      <c r="Q264"/>
    </row>
    <row r="265" spans="1:17" ht="12.75">
      <c r="A265" s="112"/>
      <c r="B265" s="288"/>
      <c r="C265" s="287"/>
      <c r="D265" s="287"/>
      <c r="I265"/>
      <c r="J265"/>
      <c r="K265"/>
      <c r="L265"/>
      <c r="M265"/>
      <c r="N265"/>
      <c r="O265"/>
      <c r="P265"/>
      <c r="Q265"/>
    </row>
    <row r="266" spans="1:17" ht="12.75">
      <c r="A266" s="109" t="s">
        <v>101</v>
      </c>
      <c r="B266" s="292"/>
      <c r="C266" s="293">
        <f>+D50</f>
        <v>619</v>
      </c>
      <c r="D266" s="292"/>
      <c r="I266"/>
      <c r="J266"/>
      <c r="K266"/>
      <c r="L266"/>
      <c r="M266"/>
      <c r="N266"/>
      <c r="O266"/>
      <c r="P266"/>
      <c r="Q266"/>
    </row>
    <row r="267" spans="1:17" ht="12.75">
      <c r="A267" s="112"/>
      <c r="B267" s="287"/>
      <c r="C267" s="288"/>
      <c r="D267" s="287"/>
      <c r="I267"/>
      <c r="J267"/>
      <c r="K267"/>
      <c r="L267"/>
      <c r="M267"/>
      <c r="N267"/>
      <c r="O267"/>
      <c r="P267"/>
      <c r="Q267"/>
    </row>
    <row r="268" spans="1:17" ht="12.75">
      <c r="A268" s="109" t="s">
        <v>159</v>
      </c>
      <c r="B268" s="403">
        <f>IF(ISERROR($B262/$B264),0,$B262/$B264)</f>
        <v>0.0005064983712268237</v>
      </c>
      <c r="C268" s="403"/>
      <c r="D268" s="294"/>
      <c r="I268"/>
      <c r="J268"/>
      <c r="K268"/>
      <c r="L268"/>
      <c r="M268"/>
      <c r="N268"/>
      <c r="O268"/>
      <c r="P268"/>
      <c r="Q268"/>
    </row>
    <row r="269" spans="1:17" ht="12.75">
      <c r="A269" s="112"/>
      <c r="B269" s="404"/>
      <c r="C269" s="404"/>
      <c r="D269" s="289"/>
      <c r="I269"/>
      <c r="J269"/>
      <c r="K269"/>
      <c r="L269"/>
      <c r="M269"/>
      <c r="N269"/>
      <c r="O269"/>
      <c r="P269"/>
      <c r="Q269"/>
    </row>
    <row r="270" spans="1:17" ht="12.75">
      <c r="A270" s="109" t="s">
        <v>160</v>
      </c>
      <c r="B270" s="405"/>
      <c r="C270" s="406">
        <f>IF(ISERROR($C262/$C266/12),0,$C262/$C266/12)</f>
        <v>0</v>
      </c>
      <c r="D270" s="295"/>
      <c r="I270"/>
      <c r="J270"/>
      <c r="K270"/>
      <c r="L270"/>
      <c r="M270"/>
      <c r="N270"/>
      <c r="O270"/>
      <c r="P270"/>
      <c r="Q270"/>
    </row>
    <row r="271" spans="2:17" ht="12.75">
      <c r="B271" s="56"/>
      <c r="C271" s="56"/>
      <c r="D271" s="56"/>
      <c r="I271"/>
      <c r="J271"/>
      <c r="K271"/>
      <c r="L271"/>
      <c r="M271"/>
      <c r="N271"/>
      <c r="O271"/>
      <c r="P271"/>
      <c r="Q271"/>
    </row>
    <row r="272" spans="2:17" ht="12.75">
      <c r="B272" s="56"/>
      <c r="C272" s="56"/>
      <c r="D272" s="56"/>
      <c r="I272"/>
      <c r="J272"/>
      <c r="K272"/>
      <c r="L272"/>
      <c r="M272"/>
      <c r="N272"/>
      <c r="O272"/>
      <c r="P272"/>
      <c r="Q272"/>
    </row>
    <row r="273" spans="1:17" ht="15.75">
      <c r="A273" s="54" t="s">
        <v>106</v>
      </c>
      <c r="I273"/>
      <c r="J273"/>
      <c r="K273"/>
      <c r="L273"/>
      <c r="M273"/>
      <c r="N273"/>
      <c r="O273"/>
      <c r="P273"/>
      <c r="Q273"/>
    </row>
    <row r="274" spans="1:17" ht="10.5" customHeight="1">
      <c r="A274" s="131"/>
      <c r="I274"/>
      <c r="J274"/>
      <c r="K274"/>
      <c r="L274"/>
      <c r="M274"/>
      <c r="N274"/>
      <c r="O274"/>
      <c r="P274"/>
      <c r="Q274"/>
    </row>
    <row r="275" spans="1:17" ht="9" customHeight="1">
      <c r="A275" s="132"/>
      <c r="I275"/>
      <c r="J275"/>
      <c r="K275"/>
      <c r="L275"/>
      <c r="M275"/>
      <c r="N275"/>
      <c r="O275"/>
      <c r="P275"/>
      <c r="Q275"/>
    </row>
    <row r="276" spans="1:17" ht="51.75" thickBot="1">
      <c r="A276" s="132"/>
      <c r="B276" s="283" t="s">
        <v>104</v>
      </c>
      <c r="C276" s="283" t="s">
        <v>188</v>
      </c>
      <c r="D276" s="283" t="s">
        <v>103</v>
      </c>
      <c r="E276" s="280"/>
      <c r="F276" s="280"/>
      <c r="G276" s="280"/>
      <c r="I276"/>
      <c r="J276"/>
      <c r="K276"/>
      <c r="L276"/>
      <c r="M276"/>
      <c r="N276"/>
      <c r="O276"/>
      <c r="P276"/>
      <c r="Q276"/>
    </row>
    <row r="277" spans="1:17" ht="15">
      <c r="A277" s="132"/>
      <c r="B277" s="30"/>
      <c r="C277" s="30"/>
      <c r="I277"/>
      <c r="J277"/>
      <c r="K277"/>
      <c r="L277"/>
      <c r="M277"/>
      <c r="N277"/>
      <c r="O277"/>
      <c r="P277"/>
      <c r="Q277"/>
    </row>
    <row r="278" spans="1:17" ht="12.75">
      <c r="A278" s="109" t="s">
        <v>99</v>
      </c>
      <c r="B278" s="290"/>
      <c r="C278" s="290"/>
      <c r="D278" s="407">
        <f>+G23</f>
        <v>72880.26694948401</v>
      </c>
      <c r="E278" s="112"/>
      <c r="I278"/>
      <c r="J278"/>
      <c r="K278"/>
      <c r="L278"/>
      <c r="M278"/>
      <c r="N278"/>
      <c r="O278"/>
      <c r="P278"/>
      <c r="Q278"/>
    </row>
    <row r="279" spans="1:17" ht="7.5" customHeight="1">
      <c r="A279" s="112"/>
      <c r="B279" s="284"/>
      <c r="C279" s="284"/>
      <c r="D279" s="285"/>
      <c r="E279" s="112"/>
      <c r="I279"/>
      <c r="J279"/>
      <c r="K279"/>
      <c r="L279"/>
      <c r="M279"/>
      <c r="N279"/>
      <c r="O279"/>
      <c r="P279"/>
      <c r="Q279"/>
    </row>
    <row r="280" spans="1:17" ht="12.75">
      <c r="A280" s="109" t="s">
        <v>102</v>
      </c>
      <c r="B280" s="479">
        <v>1</v>
      </c>
      <c r="C280" s="479">
        <f>1-B280</f>
        <v>0</v>
      </c>
      <c r="D280" s="291">
        <f>B280+C280</f>
        <v>1</v>
      </c>
      <c r="E280" s="112"/>
      <c r="I280"/>
      <c r="J280"/>
      <c r="K280"/>
      <c r="L280"/>
      <c r="M280"/>
      <c r="N280"/>
      <c r="O280"/>
      <c r="P280"/>
      <c r="Q280"/>
    </row>
    <row r="281" spans="1:17" ht="7.5" customHeight="1">
      <c r="A281" s="112"/>
      <c r="B281" s="286"/>
      <c r="C281" s="286"/>
      <c r="D281" s="286"/>
      <c r="E281" s="112"/>
      <c r="I281"/>
      <c r="J281"/>
      <c r="K281"/>
      <c r="L281"/>
      <c r="M281"/>
      <c r="N281"/>
      <c r="O281"/>
      <c r="P281"/>
      <c r="Q281"/>
    </row>
    <row r="282" spans="1:17" ht="13.5" customHeight="1">
      <c r="A282" s="109" t="s">
        <v>105</v>
      </c>
      <c r="B282" s="402">
        <f>$B280*$D278</f>
        <v>72880.26694948401</v>
      </c>
      <c r="C282" s="402">
        <f>C280*D278</f>
        <v>0</v>
      </c>
      <c r="D282" s="402">
        <f>SUM(B282:C282)</f>
        <v>72880.26694948401</v>
      </c>
      <c r="E282" s="112"/>
      <c r="I282"/>
      <c r="J282"/>
      <c r="K282"/>
      <c r="L282"/>
      <c r="M282"/>
      <c r="N282"/>
      <c r="O282"/>
      <c r="P282"/>
      <c r="Q282"/>
    </row>
    <row r="283" spans="1:17" ht="7.5" customHeight="1">
      <c r="A283" s="112"/>
      <c r="B283" s="287"/>
      <c r="C283" s="287"/>
      <c r="D283" s="287"/>
      <c r="E283" s="112"/>
      <c r="I283"/>
      <c r="J283"/>
      <c r="K283"/>
      <c r="L283"/>
      <c r="M283"/>
      <c r="N283"/>
      <c r="O283"/>
      <c r="P283"/>
      <c r="Q283"/>
    </row>
    <row r="284" spans="1:17" ht="13.5" customHeight="1">
      <c r="A284" s="109" t="s">
        <v>100</v>
      </c>
      <c r="B284" s="293">
        <f>+C23</f>
        <v>107128527</v>
      </c>
      <c r="C284" s="292"/>
      <c r="D284" s="292"/>
      <c r="E284" s="112"/>
      <c r="I284"/>
      <c r="J284"/>
      <c r="K284"/>
      <c r="L284"/>
      <c r="M284"/>
      <c r="N284"/>
      <c r="O284"/>
      <c r="P284"/>
      <c r="Q284"/>
    </row>
    <row r="285" spans="1:17" ht="7.5" customHeight="1">
      <c r="A285" s="112"/>
      <c r="B285" s="288"/>
      <c r="C285" s="287"/>
      <c r="D285" s="287"/>
      <c r="E285" s="112"/>
      <c r="I285"/>
      <c r="J285"/>
      <c r="K285"/>
      <c r="L285"/>
      <c r="M285"/>
      <c r="N285"/>
      <c r="O285"/>
      <c r="P285"/>
      <c r="Q285"/>
    </row>
    <row r="286" spans="1:17" ht="13.5" customHeight="1">
      <c r="A286" s="109" t="s">
        <v>101</v>
      </c>
      <c r="B286" s="292"/>
      <c r="C286" s="293">
        <f>+D23</f>
        <v>3273</v>
      </c>
      <c r="D286" s="292"/>
      <c r="E286" s="112"/>
      <c r="I286"/>
      <c r="J286"/>
      <c r="K286"/>
      <c r="L286"/>
      <c r="M286"/>
      <c r="N286"/>
      <c r="O286"/>
      <c r="P286"/>
      <c r="Q286"/>
    </row>
    <row r="287" spans="1:17" ht="7.5" customHeight="1">
      <c r="A287" s="112"/>
      <c r="B287" s="287"/>
      <c r="C287" s="288"/>
      <c r="D287" s="287"/>
      <c r="E287" s="112"/>
      <c r="I287"/>
      <c r="J287"/>
      <c r="K287"/>
      <c r="L287"/>
      <c r="M287"/>
      <c r="N287"/>
      <c r="O287"/>
      <c r="P287"/>
      <c r="Q287"/>
    </row>
    <row r="288" spans="1:17" ht="13.5" customHeight="1">
      <c r="A288" s="109" t="s">
        <v>159</v>
      </c>
      <c r="B288" s="403">
        <f>IF(ISERROR($B282/$B284),0,$B282/$B284)</f>
        <v>0.0006803068145376815</v>
      </c>
      <c r="C288" s="403"/>
      <c r="D288" s="294"/>
      <c r="E288" s="112"/>
      <c r="I288"/>
      <c r="J288"/>
      <c r="K288"/>
      <c r="L288"/>
      <c r="M288"/>
      <c r="N288"/>
      <c r="O288"/>
      <c r="P288"/>
      <c r="Q288"/>
    </row>
    <row r="289" spans="1:17" ht="7.5" customHeight="1">
      <c r="A289" s="112"/>
      <c r="B289" s="404"/>
      <c r="C289" s="404"/>
      <c r="D289" s="289"/>
      <c r="E289" s="112"/>
      <c r="I289"/>
      <c r="J289"/>
      <c r="K289"/>
      <c r="L289"/>
      <c r="M289"/>
      <c r="N289"/>
      <c r="O289"/>
      <c r="P289"/>
      <c r="Q289"/>
    </row>
    <row r="290" spans="1:17" ht="12.75">
      <c r="A290" s="109" t="s">
        <v>160</v>
      </c>
      <c r="B290" s="405"/>
      <c r="C290" s="406">
        <f>IF(ISERROR($C282/$C286/12),0,$C282/$C286/12)</f>
        <v>0</v>
      </c>
      <c r="D290" s="295"/>
      <c r="E290" s="112"/>
      <c r="I290"/>
      <c r="J290"/>
      <c r="K290"/>
      <c r="L290"/>
      <c r="M290"/>
      <c r="N290"/>
      <c r="O290"/>
      <c r="P290"/>
      <c r="Q290"/>
    </row>
    <row r="291" spans="1:17" ht="12.75">
      <c r="A291" s="296"/>
      <c r="B291" s="297"/>
      <c r="C291" s="298"/>
      <c r="D291" s="297"/>
      <c r="E291" s="112"/>
      <c r="I291"/>
      <c r="J291"/>
      <c r="K291"/>
      <c r="L291"/>
      <c r="M291"/>
      <c r="N291"/>
      <c r="O291"/>
      <c r="P291"/>
      <c r="Q291"/>
    </row>
    <row r="292" spans="1:17" ht="12.75">
      <c r="A292" s="296"/>
      <c r="B292" s="297"/>
      <c r="C292" s="298"/>
      <c r="D292" s="297"/>
      <c r="E292" s="112"/>
      <c r="I292"/>
      <c r="J292"/>
      <c r="K292"/>
      <c r="L292"/>
      <c r="M292"/>
      <c r="N292"/>
      <c r="O292"/>
      <c r="P292"/>
      <c r="Q292"/>
    </row>
    <row r="293" spans="1:17" ht="15.75">
      <c r="A293" s="54" t="s">
        <v>190</v>
      </c>
      <c r="I293"/>
      <c r="J293"/>
      <c r="K293"/>
      <c r="L293"/>
      <c r="M293"/>
      <c r="N293"/>
      <c r="O293"/>
      <c r="P293"/>
      <c r="Q293"/>
    </row>
    <row r="294" spans="1:17" ht="9" customHeight="1">
      <c r="A294" s="54"/>
      <c r="I294"/>
      <c r="J294"/>
      <c r="K294"/>
      <c r="L294"/>
      <c r="M294"/>
      <c r="N294"/>
      <c r="O294"/>
      <c r="P294"/>
      <c r="Q294"/>
    </row>
    <row r="295" spans="1:17" ht="15">
      <c r="A295" s="132"/>
      <c r="I295"/>
      <c r="J295"/>
      <c r="K295"/>
      <c r="L295"/>
      <c r="M295"/>
      <c r="N295"/>
      <c r="O295"/>
      <c r="P295"/>
      <c r="Q295"/>
    </row>
    <row r="296" spans="1:17" ht="51.75" thickBot="1">
      <c r="A296" s="132"/>
      <c r="B296" s="283" t="s">
        <v>104</v>
      </c>
      <c r="C296" s="283" t="s">
        <v>188</v>
      </c>
      <c r="D296" s="283" t="s">
        <v>103</v>
      </c>
      <c r="E296" s="280"/>
      <c r="F296" s="280"/>
      <c r="G296" s="280"/>
      <c r="I296"/>
      <c r="J296"/>
      <c r="K296"/>
      <c r="L296"/>
      <c r="M296"/>
      <c r="N296"/>
      <c r="O296"/>
      <c r="P296"/>
      <c r="Q296"/>
    </row>
    <row r="297" spans="1:17" ht="15">
      <c r="A297" s="132"/>
      <c r="B297" s="30"/>
      <c r="C297" s="30"/>
      <c r="I297"/>
      <c r="J297"/>
      <c r="K297"/>
      <c r="L297"/>
      <c r="M297"/>
      <c r="N297"/>
      <c r="O297"/>
      <c r="P297"/>
      <c r="Q297"/>
    </row>
    <row r="298" spans="1:17" ht="12.75">
      <c r="A298" s="109" t="s">
        <v>99</v>
      </c>
      <c r="B298" s="290"/>
      <c r="C298" s="290"/>
      <c r="D298" s="407">
        <f>+G24</f>
        <v>269501.1315308314</v>
      </c>
      <c r="E298" s="112"/>
      <c r="I298"/>
      <c r="J298"/>
      <c r="K298"/>
      <c r="L298"/>
      <c r="M298"/>
      <c r="N298"/>
      <c r="O298"/>
      <c r="P298"/>
      <c r="Q298"/>
    </row>
    <row r="299" spans="1:17" ht="7.5" customHeight="1">
      <c r="A299" s="112"/>
      <c r="B299" s="284"/>
      <c r="C299" s="284"/>
      <c r="D299" s="285"/>
      <c r="E299" s="112"/>
      <c r="I299"/>
      <c r="J299"/>
      <c r="K299"/>
      <c r="L299"/>
      <c r="M299"/>
      <c r="N299"/>
      <c r="O299"/>
      <c r="P299"/>
      <c r="Q299"/>
    </row>
    <row r="300" spans="1:17" ht="12.75">
      <c r="A300" s="109" t="s">
        <v>102</v>
      </c>
      <c r="B300" s="479">
        <v>1</v>
      </c>
      <c r="C300" s="479">
        <f>1-B300</f>
        <v>0</v>
      </c>
      <c r="D300" s="291">
        <f>B300+C300</f>
        <v>1</v>
      </c>
      <c r="E300" s="112"/>
      <c r="I300"/>
      <c r="J300"/>
      <c r="K300"/>
      <c r="L300"/>
      <c r="M300"/>
      <c r="N300"/>
      <c r="O300"/>
      <c r="P300"/>
      <c r="Q300"/>
    </row>
    <row r="301" spans="1:17" ht="7.5" customHeight="1">
      <c r="A301" s="112"/>
      <c r="B301" s="286"/>
      <c r="C301" s="286"/>
      <c r="D301" s="286"/>
      <c r="E301" s="112"/>
      <c r="I301"/>
      <c r="J301"/>
      <c r="K301"/>
      <c r="L301"/>
      <c r="M301"/>
      <c r="N301"/>
      <c r="O301"/>
      <c r="P301"/>
      <c r="Q301"/>
    </row>
    <row r="302" spans="1:17" ht="13.5" customHeight="1">
      <c r="A302" s="109" t="s">
        <v>105</v>
      </c>
      <c r="B302" s="402">
        <f>$B300*$D298</f>
        <v>269501.1315308314</v>
      </c>
      <c r="C302" s="402">
        <f>C300*D298</f>
        <v>0</v>
      </c>
      <c r="D302" s="402">
        <f>SUM(B302:C302)</f>
        <v>269501.1315308314</v>
      </c>
      <c r="E302" s="112"/>
      <c r="I302"/>
      <c r="J302"/>
      <c r="K302"/>
      <c r="L302"/>
      <c r="M302"/>
      <c r="N302"/>
      <c r="O302"/>
      <c r="P302"/>
      <c r="Q302"/>
    </row>
    <row r="303" spans="1:17" ht="7.5" customHeight="1">
      <c r="A303" s="112"/>
      <c r="B303" s="287"/>
      <c r="C303" s="287"/>
      <c r="D303" s="287"/>
      <c r="E303" s="112"/>
      <c r="I303"/>
      <c r="J303"/>
      <c r="K303"/>
      <c r="L303"/>
      <c r="M303"/>
      <c r="N303"/>
      <c r="O303"/>
      <c r="P303"/>
      <c r="Q303"/>
    </row>
    <row r="304" spans="1:17" ht="13.5" customHeight="1">
      <c r="A304" s="109" t="s">
        <v>151</v>
      </c>
      <c r="B304" s="293">
        <f>+B24</f>
        <v>1013027</v>
      </c>
      <c r="C304" s="292"/>
      <c r="D304" s="292"/>
      <c r="E304" s="112"/>
      <c r="I304"/>
      <c r="J304"/>
      <c r="K304"/>
      <c r="L304"/>
      <c r="M304"/>
      <c r="N304"/>
      <c r="O304"/>
      <c r="P304"/>
      <c r="Q304"/>
    </row>
    <row r="305" spans="1:17" ht="7.5" customHeight="1">
      <c r="A305" s="112"/>
      <c r="B305" s="288"/>
      <c r="C305" s="287"/>
      <c r="D305" s="287"/>
      <c r="E305" s="112"/>
      <c r="I305"/>
      <c r="J305"/>
      <c r="K305"/>
      <c r="L305"/>
      <c r="M305"/>
      <c r="N305"/>
      <c r="O305"/>
      <c r="P305"/>
      <c r="Q305"/>
    </row>
    <row r="306" spans="1:17" ht="13.5" customHeight="1">
      <c r="A306" s="109" t="s">
        <v>101</v>
      </c>
      <c r="B306" s="292"/>
      <c r="C306" s="293">
        <f>+D24</f>
        <v>438</v>
      </c>
      <c r="D306" s="292"/>
      <c r="E306" s="112"/>
      <c r="I306"/>
      <c r="J306"/>
      <c r="K306"/>
      <c r="L306"/>
      <c r="M306"/>
      <c r="N306"/>
      <c r="O306"/>
      <c r="P306"/>
      <c r="Q306"/>
    </row>
    <row r="307" spans="1:17" ht="7.5" customHeight="1">
      <c r="A307" s="112"/>
      <c r="B307" s="287"/>
      <c r="C307" s="288"/>
      <c r="D307" s="287"/>
      <c r="E307" s="112"/>
      <c r="I307"/>
      <c r="J307"/>
      <c r="K307"/>
      <c r="L307"/>
      <c r="M307"/>
      <c r="N307"/>
      <c r="O307"/>
      <c r="P307"/>
      <c r="Q307"/>
    </row>
    <row r="308" spans="1:17" ht="13.5" customHeight="1">
      <c r="A308" s="109" t="s">
        <v>203</v>
      </c>
      <c r="B308" s="403">
        <f>IF(ISERROR($B302/$B304),0,$B302/$B304)</f>
        <v>0.2660354872385745</v>
      </c>
      <c r="C308" s="403"/>
      <c r="D308" s="294"/>
      <c r="E308" s="112"/>
      <c r="F308" s="381"/>
      <c r="I308"/>
      <c r="J308"/>
      <c r="K308"/>
      <c r="L308"/>
      <c r="M308"/>
      <c r="N308"/>
      <c r="O308"/>
      <c r="P308"/>
      <c r="Q308"/>
    </row>
    <row r="309" spans="1:17" ht="7.5" customHeight="1">
      <c r="A309" s="112"/>
      <c r="B309" s="404"/>
      <c r="C309" s="404"/>
      <c r="D309" s="289"/>
      <c r="E309" s="112"/>
      <c r="I309"/>
      <c r="J309"/>
      <c r="K309"/>
      <c r="L309"/>
      <c r="M309"/>
      <c r="N309"/>
      <c r="O309"/>
      <c r="P309"/>
      <c r="Q309"/>
    </row>
    <row r="310" spans="1:17" ht="12.75">
      <c r="A310" s="109" t="s">
        <v>160</v>
      </c>
      <c r="B310" s="405"/>
      <c r="C310" s="406">
        <f>IF(ISERROR($C302/$C306/12),0,$C302/$C306/12)</f>
        <v>0</v>
      </c>
      <c r="D310" s="295"/>
      <c r="E310" s="112"/>
      <c r="I310"/>
      <c r="J310"/>
      <c r="K310"/>
      <c r="L310"/>
      <c r="M310"/>
      <c r="N310"/>
      <c r="O310"/>
      <c r="P310"/>
      <c r="Q310"/>
    </row>
    <row r="311" spans="1:17" ht="12.75">
      <c r="A311" s="296"/>
      <c r="B311" s="297"/>
      <c r="C311" s="298"/>
      <c r="D311" s="297"/>
      <c r="E311" s="112"/>
      <c r="I311"/>
      <c r="J311"/>
      <c r="K311"/>
      <c r="L311"/>
      <c r="M311"/>
      <c r="N311"/>
      <c r="O311"/>
      <c r="P311"/>
      <c r="Q311"/>
    </row>
    <row r="312" spans="1:17" ht="12.75">
      <c r="A312" s="296"/>
      <c r="B312" s="297"/>
      <c r="C312" s="298"/>
      <c r="D312" s="297"/>
      <c r="E312" s="112"/>
      <c r="I312"/>
      <c r="J312"/>
      <c r="K312"/>
      <c r="L312"/>
      <c r="M312"/>
      <c r="N312"/>
      <c r="O312"/>
      <c r="P312"/>
      <c r="Q312"/>
    </row>
    <row r="313" spans="1:17" ht="15.75">
      <c r="A313" s="54" t="s">
        <v>189</v>
      </c>
      <c r="I313"/>
      <c r="J313"/>
      <c r="K313"/>
      <c r="L313"/>
      <c r="M313"/>
      <c r="N313"/>
      <c r="O313"/>
      <c r="P313"/>
      <c r="Q313"/>
    </row>
    <row r="314" spans="1:17" ht="9" customHeight="1">
      <c r="A314" s="54"/>
      <c r="I314"/>
      <c r="J314"/>
      <c r="K314"/>
      <c r="L314"/>
      <c r="M314"/>
      <c r="N314"/>
      <c r="O314"/>
      <c r="P314"/>
      <c r="Q314"/>
    </row>
    <row r="315" spans="1:17" ht="15">
      <c r="A315" s="132"/>
      <c r="I315"/>
      <c r="J315"/>
      <c r="K315"/>
      <c r="L315"/>
      <c r="M315"/>
      <c r="N315"/>
      <c r="O315"/>
      <c r="P315"/>
      <c r="Q315"/>
    </row>
    <row r="316" spans="1:17" ht="51.75" thickBot="1">
      <c r="A316" s="132"/>
      <c r="B316" s="283" t="s">
        <v>104</v>
      </c>
      <c r="C316" s="283" t="s">
        <v>188</v>
      </c>
      <c r="D316" s="283" t="s">
        <v>103</v>
      </c>
      <c r="E316" s="280"/>
      <c r="F316" s="280"/>
      <c r="G316" s="280"/>
      <c r="I316"/>
      <c r="J316"/>
      <c r="K316"/>
      <c r="L316"/>
      <c r="M316"/>
      <c r="N316"/>
      <c r="O316"/>
      <c r="P316"/>
      <c r="Q316"/>
    </row>
    <row r="317" spans="1:17" ht="15">
      <c r="A317" s="481" t="s">
        <v>240</v>
      </c>
      <c r="B317" s="30"/>
      <c r="C317" s="30"/>
      <c r="I317"/>
      <c r="J317"/>
      <c r="K317"/>
      <c r="L317"/>
      <c r="M317"/>
      <c r="N317"/>
      <c r="O317"/>
      <c r="P317"/>
      <c r="Q317"/>
    </row>
    <row r="318" spans="1:17" ht="12.75">
      <c r="A318" s="109" t="s">
        <v>99</v>
      </c>
      <c r="B318" s="290"/>
      <c r="C318" s="290"/>
      <c r="D318" s="407">
        <f>+G56</f>
        <v>8729.78929375158</v>
      </c>
      <c r="E318" s="112"/>
      <c r="I318"/>
      <c r="J318"/>
      <c r="K318"/>
      <c r="L318"/>
      <c r="M318"/>
      <c r="N318"/>
      <c r="O318"/>
      <c r="P318"/>
      <c r="Q318"/>
    </row>
    <row r="319" spans="1:17" ht="7.5" customHeight="1">
      <c r="A319" s="112"/>
      <c r="B319" s="284"/>
      <c r="C319" s="284"/>
      <c r="D319" s="285"/>
      <c r="E319" s="112"/>
      <c r="I319"/>
      <c r="J319"/>
      <c r="K319"/>
      <c r="L319"/>
      <c r="M319"/>
      <c r="N319"/>
      <c r="O319"/>
      <c r="P319"/>
      <c r="Q319"/>
    </row>
    <row r="320" spans="1:17" ht="12.75">
      <c r="A320" s="109" t="s">
        <v>102</v>
      </c>
      <c r="B320" s="479">
        <v>1</v>
      </c>
      <c r="C320" s="479">
        <f>1-B320</f>
        <v>0</v>
      </c>
      <c r="D320" s="291">
        <f>B320+C320</f>
        <v>1</v>
      </c>
      <c r="E320" s="112"/>
      <c r="I320"/>
      <c r="J320"/>
      <c r="K320"/>
      <c r="L320"/>
      <c r="M320"/>
      <c r="N320"/>
      <c r="O320"/>
      <c r="P320"/>
      <c r="Q320"/>
    </row>
    <row r="321" spans="1:17" ht="7.5" customHeight="1">
      <c r="A321" s="112"/>
      <c r="B321" s="286"/>
      <c r="C321" s="286"/>
      <c r="D321" s="286"/>
      <c r="E321" s="112"/>
      <c r="I321"/>
      <c r="J321"/>
      <c r="K321"/>
      <c r="L321"/>
      <c r="M321"/>
      <c r="N321"/>
      <c r="O321"/>
      <c r="P321"/>
      <c r="Q321"/>
    </row>
    <row r="322" spans="1:17" ht="13.5" customHeight="1">
      <c r="A322" s="109" t="s">
        <v>105</v>
      </c>
      <c r="B322" s="402">
        <f>$B320*$D318</f>
        <v>8729.78929375158</v>
      </c>
      <c r="C322" s="402">
        <f>C320*D318</f>
        <v>0</v>
      </c>
      <c r="D322" s="402">
        <f>SUM(B322:C322)</f>
        <v>8729.78929375158</v>
      </c>
      <c r="E322" s="112"/>
      <c r="I322"/>
      <c r="J322"/>
      <c r="K322"/>
      <c r="L322"/>
      <c r="M322"/>
      <c r="N322"/>
      <c r="O322"/>
      <c r="P322"/>
      <c r="Q322"/>
    </row>
    <row r="323" spans="1:17" ht="7.5" customHeight="1">
      <c r="A323" s="112"/>
      <c r="B323" s="287"/>
      <c r="C323" s="287"/>
      <c r="D323" s="287"/>
      <c r="E323" s="112"/>
      <c r="I323"/>
      <c r="J323"/>
      <c r="K323"/>
      <c r="L323"/>
      <c r="M323"/>
      <c r="N323"/>
      <c r="O323"/>
      <c r="P323"/>
      <c r="Q323"/>
    </row>
    <row r="324" spans="1:17" ht="13.5" customHeight="1">
      <c r="A324" s="109" t="s">
        <v>151</v>
      </c>
      <c r="B324" s="293">
        <f>+B56</f>
        <v>45432</v>
      </c>
      <c r="C324" s="292"/>
      <c r="D324" s="292"/>
      <c r="E324" s="112"/>
      <c r="I324"/>
      <c r="J324"/>
      <c r="K324"/>
      <c r="L324"/>
      <c r="M324"/>
      <c r="N324"/>
      <c r="O324"/>
      <c r="P324"/>
      <c r="Q324"/>
    </row>
    <row r="325" spans="1:17" ht="7.5" customHeight="1">
      <c r="A325" s="112"/>
      <c r="B325" s="288"/>
      <c r="C325" s="287"/>
      <c r="D325" s="287"/>
      <c r="E325" s="112"/>
      <c r="I325"/>
      <c r="J325"/>
      <c r="K325"/>
      <c r="L325"/>
      <c r="M325"/>
      <c r="N325"/>
      <c r="O325"/>
      <c r="P325"/>
      <c r="Q325"/>
    </row>
    <row r="326" spans="1:17" ht="13.5" customHeight="1">
      <c r="A326" s="109" t="s">
        <v>101</v>
      </c>
      <c r="B326" s="292"/>
      <c r="C326" s="293">
        <f>+D56</f>
        <v>1</v>
      </c>
      <c r="D326" s="292"/>
      <c r="E326" s="112"/>
      <c r="I326"/>
      <c r="J326"/>
      <c r="K326"/>
      <c r="L326"/>
      <c r="M326"/>
      <c r="N326"/>
      <c r="O326"/>
      <c r="P326"/>
      <c r="Q326"/>
    </row>
    <row r="327" spans="1:17" ht="7.5" customHeight="1">
      <c r="A327" s="112"/>
      <c r="B327" s="287"/>
      <c r="C327" s="288"/>
      <c r="D327" s="287"/>
      <c r="E327" s="112"/>
      <c r="I327"/>
      <c r="J327"/>
      <c r="K327"/>
      <c r="L327"/>
      <c r="M327"/>
      <c r="N327"/>
      <c r="O327"/>
      <c r="P327"/>
      <c r="Q327"/>
    </row>
    <row r="328" spans="1:17" ht="13.5" customHeight="1">
      <c r="A328" s="109" t="s">
        <v>161</v>
      </c>
      <c r="B328" s="403">
        <f>IF(ISERROR($B322/$B324),0,$B322/$B324)</f>
        <v>0.1921506711954477</v>
      </c>
      <c r="C328" s="403"/>
      <c r="D328" s="294"/>
      <c r="E328" s="112"/>
      <c r="I328"/>
      <c r="J328"/>
      <c r="K328"/>
      <c r="L328"/>
      <c r="M328"/>
      <c r="N328"/>
      <c r="O328"/>
      <c r="P328"/>
      <c r="Q328"/>
    </row>
    <row r="329" spans="1:17" ht="7.5" customHeight="1">
      <c r="A329" s="112"/>
      <c r="B329" s="404"/>
      <c r="C329" s="404"/>
      <c r="D329" s="289"/>
      <c r="E329" s="112"/>
      <c r="I329"/>
      <c r="J329"/>
      <c r="K329"/>
      <c r="L329"/>
      <c r="M329"/>
      <c r="N329"/>
      <c r="O329"/>
      <c r="P329"/>
      <c r="Q329"/>
    </row>
    <row r="330" spans="1:17" ht="12.75">
      <c r="A330" s="109" t="s">
        <v>160</v>
      </c>
      <c r="B330" s="405"/>
      <c r="C330" s="406">
        <f>IF(ISERROR($C322/$C326/12),0,$C322/$C326/12)</f>
        <v>0</v>
      </c>
      <c r="D330" s="295"/>
      <c r="E330" s="112"/>
      <c r="I330"/>
      <c r="J330"/>
      <c r="K330"/>
      <c r="L330"/>
      <c r="M330"/>
      <c r="N330"/>
      <c r="O330"/>
      <c r="P330"/>
      <c r="Q330"/>
    </row>
    <row r="331" spans="1:17" ht="12.75">
      <c r="A331" s="296"/>
      <c r="B331" s="297"/>
      <c r="C331" s="298"/>
      <c r="D331" s="297"/>
      <c r="E331" s="112"/>
      <c r="I331"/>
      <c r="J331"/>
      <c r="K331"/>
      <c r="L331"/>
      <c r="M331"/>
      <c r="N331"/>
      <c r="O331"/>
      <c r="P331"/>
      <c r="Q331"/>
    </row>
    <row r="332" spans="1:17" ht="12.75">
      <c r="A332" s="296"/>
      <c r="B332" s="297"/>
      <c r="C332" s="298"/>
      <c r="D332" s="297"/>
      <c r="E332" s="112"/>
      <c r="I332"/>
      <c r="J332"/>
      <c r="K332"/>
      <c r="L332"/>
      <c r="M332"/>
      <c r="N332"/>
      <c r="O332"/>
      <c r="P332"/>
      <c r="Q332"/>
    </row>
    <row r="333" spans="1:17" ht="51.75" thickBot="1">
      <c r="A333" s="132"/>
      <c r="B333" s="283" t="s">
        <v>104</v>
      </c>
      <c r="C333" s="283" t="s">
        <v>188</v>
      </c>
      <c r="D333" s="283" t="s">
        <v>103</v>
      </c>
      <c r="I333"/>
      <c r="J333"/>
      <c r="K333"/>
      <c r="L333"/>
      <c r="M333"/>
      <c r="N333"/>
      <c r="O333"/>
      <c r="P333"/>
      <c r="Q333"/>
    </row>
    <row r="334" spans="1:17" ht="18.75" customHeight="1">
      <c r="A334" s="481" t="s">
        <v>213</v>
      </c>
      <c r="B334" s="30"/>
      <c r="C334" s="30"/>
      <c r="I334"/>
      <c r="J334"/>
      <c r="K334"/>
      <c r="L334"/>
      <c r="M334"/>
      <c r="N334"/>
      <c r="O334"/>
      <c r="P334"/>
      <c r="Q334"/>
    </row>
    <row r="335" spans="1:17" ht="12.75">
      <c r="A335" s="109" t="s">
        <v>99</v>
      </c>
      <c r="B335" s="290"/>
      <c r="C335" s="290"/>
      <c r="D335" s="407">
        <f>+G57</f>
        <v>34919.15717500632</v>
      </c>
      <c r="I335"/>
      <c r="J335"/>
      <c r="K335"/>
      <c r="L335"/>
      <c r="M335"/>
      <c r="N335"/>
      <c r="O335"/>
      <c r="P335"/>
      <c r="Q335"/>
    </row>
    <row r="336" spans="1:17" ht="12.75">
      <c r="A336" s="112"/>
      <c r="B336" s="284"/>
      <c r="C336" s="284"/>
      <c r="D336" s="285"/>
      <c r="E336" s="280"/>
      <c r="F336" s="280"/>
      <c r="G336" s="280"/>
      <c r="I336"/>
      <c r="J336"/>
      <c r="K336"/>
      <c r="L336"/>
      <c r="M336"/>
      <c r="N336"/>
      <c r="O336"/>
      <c r="P336"/>
      <c r="Q336"/>
    </row>
    <row r="337" spans="1:17" ht="12.75">
      <c r="A337" s="109" t="s">
        <v>102</v>
      </c>
      <c r="B337" s="479">
        <v>1</v>
      </c>
      <c r="C337" s="479">
        <f>1-B337</f>
        <v>0</v>
      </c>
      <c r="D337" s="291">
        <f>B337+C337</f>
        <v>1</v>
      </c>
      <c r="I337"/>
      <c r="J337"/>
      <c r="K337"/>
      <c r="L337"/>
      <c r="M337"/>
      <c r="N337"/>
      <c r="O337"/>
      <c r="P337"/>
      <c r="Q337"/>
    </row>
    <row r="338" spans="1:17" ht="12.75">
      <c r="A338" s="112"/>
      <c r="B338" s="286"/>
      <c r="C338" s="286"/>
      <c r="D338" s="286"/>
      <c r="E338" s="112"/>
      <c r="I338"/>
      <c r="J338"/>
      <c r="K338"/>
      <c r="L338"/>
      <c r="M338"/>
      <c r="N338"/>
      <c r="O338"/>
      <c r="P338"/>
      <c r="Q338"/>
    </row>
    <row r="339" spans="1:17" ht="12.75">
      <c r="A339" s="109" t="s">
        <v>105</v>
      </c>
      <c r="B339" s="402">
        <f>$B337*$D335</f>
        <v>34919.15717500632</v>
      </c>
      <c r="C339" s="402">
        <f>C337*D335</f>
        <v>0</v>
      </c>
      <c r="D339" s="402">
        <f>SUM(B339:C339)</f>
        <v>34919.15717500632</v>
      </c>
      <c r="E339" s="112"/>
      <c r="I339"/>
      <c r="J339"/>
      <c r="K339"/>
      <c r="L339"/>
      <c r="M339"/>
      <c r="N339"/>
      <c r="O339"/>
      <c r="P339"/>
      <c r="Q339"/>
    </row>
    <row r="340" spans="1:17" ht="12.75">
      <c r="A340" s="112"/>
      <c r="B340" s="287"/>
      <c r="C340" s="287"/>
      <c r="D340" s="287"/>
      <c r="E340" s="112"/>
      <c r="I340"/>
      <c r="J340"/>
      <c r="K340"/>
      <c r="L340"/>
      <c r="M340"/>
      <c r="N340"/>
      <c r="O340"/>
      <c r="P340"/>
      <c r="Q340"/>
    </row>
    <row r="341" spans="1:17" ht="12.75">
      <c r="A341" s="109" t="s">
        <v>151</v>
      </c>
      <c r="B341" s="293">
        <f>+B57</f>
        <v>96543</v>
      </c>
      <c r="C341" s="292"/>
      <c r="D341" s="292"/>
      <c r="E341" s="112"/>
      <c r="I341"/>
      <c r="J341"/>
      <c r="K341"/>
      <c r="L341"/>
      <c r="M341"/>
      <c r="N341"/>
      <c r="O341"/>
      <c r="P341"/>
      <c r="Q341"/>
    </row>
    <row r="342" spans="1:17" ht="13.5" customHeight="1">
      <c r="A342" s="112"/>
      <c r="B342" s="288"/>
      <c r="C342" s="287"/>
      <c r="D342" s="287"/>
      <c r="E342" s="112"/>
      <c r="I342"/>
      <c r="J342"/>
      <c r="K342"/>
      <c r="L342"/>
      <c r="M342"/>
      <c r="N342"/>
      <c r="O342"/>
      <c r="P342"/>
      <c r="Q342"/>
    </row>
    <row r="343" spans="1:17" ht="12.75">
      <c r="A343" s="109" t="s">
        <v>101</v>
      </c>
      <c r="B343" s="292"/>
      <c r="C343" s="293">
        <f>+D57</f>
        <v>3</v>
      </c>
      <c r="D343" s="292"/>
      <c r="E343" s="112"/>
      <c r="I343"/>
      <c r="J343"/>
      <c r="K343"/>
      <c r="L343"/>
      <c r="M343"/>
      <c r="N343"/>
      <c r="O343"/>
      <c r="P343"/>
      <c r="Q343"/>
    </row>
    <row r="344" spans="1:17" ht="13.5" customHeight="1">
      <c r="A344" s="112"/>
      <c r="B344" s="287"/>
      <c r="C344" s="288"/>
      <c r="D344" s="287"/>
      <c r="E344" s="112"/>
      <c r="I344"/>
      <c r="J344"/>
      <c r="K344"/>
      <c r="L344"/>
      <c r="M344"/>
      <c r="N344"/>
      <c r="O344"/>
      <c r="P344"/>
      <c r="Q344"/>
    </row>
    <row r="345" spans="1:17" ht="12.75">
      <c r="A345" s="109" t="s">
        <v>161</v>
      </c>
      <c r="B345" s="403">
        <f>IF(ISERROR($B339/$B341),0,$B339/$B341)</f>
        <v>0.36169538107378396</v>
      </c>
      <c r="C345" s="403"/>
      <c r="D345" s="294"/>
      <c r="E345" s="112"/>
      <c r="I345"/>
      <c r="J345"/>
      <c r="K345"/>
      <c r="L345"/>
      <c r="M345"/>
      <c r="N345"/>
      <c r="O345"/>
      <c r="P345"/>
      <c r="Q345"/>
    </row>
    <row r="346" spans="1:17" ht="13.5" customHeight="1">
      <c r="A346" s="112"/>
      <c r="B346" s="404"/>
      <c r="C346" s="404"/>
      <c r="D346" s="289"/>
      <c r="E346" s="112"/>
      <c r="I346"/>
      <c r="J346"/>
      <c r="K346"/>
      <c r="L346"/>
      <c r="M346"/>
      <c r="N346"/>
      <c r="O346"/>
      <c r="P346"/>
      <c r="Q346"/>
    </row>
    <row r="347" spans="1:17" ht="12.75">
      <c r="A347" s="109" t="s">
        <v>160</v>
      </c>
      <c r="B347" s="405"/>
      <c r="C347" s="406">
        <f>IF(ISERROR($C339/$C343/12),0,$C339/$C343/12)</f>
        <v>0</v>
      </c>
      <c r="D347" s="295"/>
      <c r="E347" s="112"/>
      <c r="I347"/>
      <c r="J347"/>
      <c r="K347"/>
      <c r="L347"/>
      <c r="M347"/>
      <c r="N347"/>
      <c r="O347"/>
      <c r="P347"/>
      <c r="Q347"/>
    </row>
    <row r="348" spans="1:17" ht="12.75">
      <c r="A348" s="296"/>
      <c r="B348" s="482"/>
      <c r="C348" s="483"/>
      <c r="D348" s="297"/>
      <c r="E348" s="112"/>
      <c r="I348"/>
      <c r="J348"/>
      <c r="K348"/>
      <c r="L348"/>
      <c r="M348"/>
      <c r="N348"/>
      <c r="O348"/>
      <c r="P348"/>
      <c r="Q348"/>
    </row>
    <row r="349" spans="1:17" ht="12.75">
      <c r="A349" s="296"/>
      <c r="B349" s="482"/>
      <c r="C349" s="483"/>
      <c r="D349" s="297"/>
      <c r="E349" s="112"/>
      <c r="I349"/>
      <c r="J349"/>
      <c r="K349"/>
      <c r="L349"/>
      <c r="M349"/>
      <c r="N349"/>
      <c r="O349"/>
      <c r="P349"/>
      <c r="Q349"/>
    </row>
    <row r="350" spans="1:17" ht="13.5" customHeight="1">
      <c r="A350" s="54" t="s">
        <v>222</v>
      </c>
      <c r="E350" s="112"/>
      <c r="I350"/>
      <c r="J350"/>
      <c r="K350"/>
      <c r="L350"/>
      <c r="M350"/>
      <c r="N350"/>
      <c r="O350"/>
      <c r="P350"/>
      <c r="Q350"/>
    </row>
    <row r="351" spans="1:17" ht="7.5" customHeight="1">
      <c r="A351" s="54"/>
      <c r="E351" s="112"/>
      <c r="I351"/>
      <c r="J351"/>
      <c r="K351"/>
      <c r="L351"/>
      <c r="M351"/>
      <c r="N351"/>
      <c r="O351"/>
      <c r="P351"/>
      <c r="Q351"/>
    </row>
    <row r="352" spans="1:17" ht="15">
      <c r="A352" s="132"/>
      <c r="E352" s="112"/>
      <c r="I352"/>
      <c r="J352"/>
      <c r="K352"/>
      <c r="L352"/>
      <c r="M352"/>
      <c r="N352"/>
      <c r="O352"/>
      <c r="P352"/>
      <c r="Q352"/>
    </row>
    <row r="353" spans="1:17" ht="51.75" thickBot="1">
      <c r="A353" s="132"/>
      <c r="B353" s="283" t="s">
        <v>104</v>
      </c>
      <c r="C353" s="283" t="s">
        <v>188</v>
      </c>
      <c r="D353" s="283" t="s">
        <v>103</v>
      </c>
      <c r="E353" s="112"/>
      <c r="I353"/>
      <c r="J353"/>
      <c r="K353"/>
      <c r="L353"/>
      <c r="M353"/>
      <c r="N353"/>
      <c r="O353"/>
      <c r="P353"/>
      <c r="Q353"/>
    </row>
    <row r="354" spans="1:17" ht="15">
      <c r="A354" s="132"/>
      <c r="B354" s="30"/>
      <c r="C354" s="30"/>
      <c r="E354" s="112"/>
      <c r="I354"/>
      <c r="J354"/>
      <c r="K354"/>
      <c r="L354"/>
      <c r="M354"/>
      <c r="N354"/>
      <c r="O354"/>
      <c r="P354"/>
      <c r="Q354"/>
    </row>
    <row r="355" spans="1:17" ht="12.75">
      <c r="A355" s="109" t="s">
        <v>99</v>
      </c>
      <c r="B355" s="290"/>
      <c r="C355" s="290"/>
      <c r="D355" s="407">
        <v>0</v>
      </c>
      <c r="E355" s="112"/>
      <c r="I355"/>
      <c r="J355"/>
      <c r="K355"/>
      <c r="L355"/>
      <c r="M355"/>
      <c r="N355"/>
      <c r="O355"/>
      <c r="P355"/>
      <c r="Q355"/>
    </row>
    <row r="356" spans="1:17" ht="12.75">
      <c r="A356" s="112"/>
      <c r="B356" s="284"/>
      <c r="C356" s="284"/>
      <c r="D356" s="285"/>
      <c r="E356" s="112"/>
      <c r="I356"/>
      <c r="J356"/>
      <c r="K356"/>
      <c r="L356"/>
      <c r="M356"/>
      <c r="N356"/>
      <c r="O356"/>
      <c r="P356"/>
      <c r="Q356"/>
    </row>
    <row r="357" spans="1:17" ht="12.75">
      <c r="A357" s="109" t="s">
        <v>102</v>
      </c>
      <c r="B357" s="479">
        <v>1</v>
      </c>
      <c r="C357" s="479">
        <f>1-B357</f>
        <v>0</v>
      </c>
      <c r="D357" s="291">
        <f>B357+C357</f>
        <v>1</v>
      </c>
      <c r="E357" s="112"/>
      <c r="I357"/>
      <c r="J357"/>
      <c r="K357"/>
      <c r="L357"/>
      <c r="M357"/>
      <c r="N357"/>
      <c r="O357"/>
      <c r="P357"/>
      <c r="Q357"/>
    </row>
    <row r="358" spans="1:17" ht="12.75">
      <c r="A358" s="112"/>
      <c r="B358" s="286"/>
      <c r="C358" s="286"/>
      <c r="D358" s="286"/>
      <c r="E358" s="112"/>
      <c r="I358"/>
      <c r="J358"/>
      <c r="K358"/>
      <c r="L358"/>
      <c r="M358"/>
      <c r="N358"/>
      <c r="O358"/>
      <c r="P358"/>
      <c r="Q358"/>
    </row>
    <row r="359" spans="1:17" ht="12.75">
      <c r="A359" s="109" t="s">
        <v>105</v>
      </c>
      <c r="B359" s="402">
        <f>$B357*$D355</f>
        <v>0</v>
      </c>
      <c r="C359" s="402">
        <f>C357*D355</f>
        <v>0</v>
      </c>
      <c r="D359" s="402">
        <f>SUM(B359:C359)</f>
        <v>0</v>
      </c>
      <c r="E359" s="112"/>
      <c r="I359"/>
      <c r="J359"/>
      <c r="K359"/>
      <c r="L359"/>
      <c r="M359"/>
      <c r="N359"/>
      <c r="O359"/>
      <c r="P359"/>
      <c r="Q359"/>
    </row>
    <row r="360" spans="1:17" ht="12.75">
      <c r="A360" s="112"/>
      <c r="B360" s="287"/>
      <c r="C360" s="287"/>
      <c r="D360" s="287"/>
      <c r="E360" s="112"/>
      <c r="I360"/>
      <c r="J360"/>
      <c r="K360"/>
      <c r="L360"/>
      <c r="M360"/>
      <c r="N360"/>
      <c r="O360"/>
      <c r="P360"/>
      <c r="Q360"/>
    </row>
    <row r="361" spans="1:17" ht="12.75">
      <c r="A361" s="109" t="s">
        <v>151</v>
      </c>
      <c r="B361" s="293">
        <v>0</v>
      </c>
      <c r="C361" s="292"/>
      <c r="D361" s="292"/>
      <c r="E361" s="112"/>
      <c r="I361"/>
      <c r="J361"/>
      <c r="K361"/>
      <c r="L361"/>
      <c r="M361"/>
      <c r="N361"/>
      <c r="O361"/>
      <c r="P361"/>
      <c r="Q361"/>
    </row>
    <row r="362" spans="1:17" ht="12.75">
      <c r="A362" s="112"/>
      <c r="B362" s="288"/>
      <c r="C362" s="287"/>
      <c r="D362" s="287"/>
      <c r="E362" s="112"/>
      <c r="I362"/>
      <c r="J362"/>
      <c r="K362"/>
      <c r="L362"/>
      <c r="M362"/>
      <c r="N362"/>
      <c r="O362"/>
      <c r="P362"/>
      <c r="Q362"/>
    </row>
    <row r="363" spans="1:17" ht="12.75">
      <c r="A363" s="109" t="s">
        <v>101</v>
      </c>
      <c r="B363" s="292"/>
      <c r="C363" s="293">
        <v>0</v>
      </c>
      <c r="D363" s="292"/>
      <c r="E363" s="112"/>
      <c r="I363"/>
      <c r="J363"/>
      <c r="K363"/>
      <c r="L363"/>
      <c r="M363"/>
      <c r="N363"/>
      <c r="O363"/>
      <c r="P363"/>
      <c r="Q363"/>
    </row>
    <row r="364" spans="1:17" ht="12.75">
      <c r="A364" s="112"/>
      <c r="B364" s="287"/>
      <c r="C364" s="288"/>
      <c r="D364" s="287"/>
      <c r="E364" s="112"/>
      <c r="I364"/>
      <c r="J364"/>
      <c r="K364"/>
      <c r="L364"/>
      <c r="M364"/>
      <c r="N364"/>
      <c r="O364"/>
      <c r="P364"/>
      <c r="Q364"/>
    </row>
    <row r="365" spans="1:17" ht="12.75">
      <c r="A365" s="109" t="s">
        <v>161</v>
      </c>
      <c r="B365" s="403">
        <f>IF(ISERROR($B359/$B361),0,$B359/$B361)</f>
        <v>0</v>
      </c>
      <c r="C365" s="403"/>
      <c r="D365" s="294"/>
      <c r="E365" s="112"/>
      <c r="I365"/>
      <c r="J365"/>
      <c r="K365"/>
      <c r="L365"/>
      <c r="M365"/>
      <c r="N365"/>
      <c r="O365"/>
      <c r="P365"/>
      <c r="Q365"/>
    </row>
    <row r="366" spans="1:17" ht="12.75">
      <c r="A366" s="112"/>
      <c r="B366" s="404"/>
      <c r="C366" s="404"/>
      <c r="D366" s="289"/>
      <c r="E366" s="112"/>
      <c r="I366"/>
      <c r="J366"/>
      <c r="K366"/>
      <c r="L366"/>
      <c r="M366"/>
      <c r="N366"/>
      <c r="O366"/>
      <c r="P366"/>
      <c r="Q366"/>
    </row>
    <row r="367" spans="1:17" ht="12.75">
      <c r="A367" s="109" t="s">
        <v>160</v>
      </c>
      <c r="B367" s="405"/>
      <c r="C367" s="406">
        <f>IF(ISERROR($C359/$C363/12),0,$C359/$C363/12)</f>
        <v>0</v>
      </c>
      <c r="D367" s="295"/>
      <c r="E367" s="112"/>
      <c r="I367"/>
      <c r="J367"/>
      <c r="K367"/>
      <c r="L367"/>
      <c r="M367"/>
      <c r="N367"/>
      <c r="O367"/>
      <c r="P367"/>
      <c r="Q367"/>
    </row>
    <row r="368" spans="1:17" ht="12.75">
      <c r="A368" s="296"/>
      <c r="B368" s="297"/>
      <c r="C368" s="298"/>
      <c r="D368" s="297"/>
      <c r="E368" s="112"/>
      <c r="I368"/>
      <c r="J368"/>
      <c r="K368"/>
      <c r="L368"/>
      <c r="M368"/>
      <c r="N368"/>
      <c r="O368"/>
      <c r="P368"/>
      <c r="Q368"/>
    </row>
    <row r="369" spans="1:17" ht="12.75">
      <c r="A369" s="296"/>
      <c r="B369" s="297"/>
      <c r="C369" s="298"/>
      <c r="D369" s="297"/>
      <c r="E369" s="112"/>
      <c r="I369"/>
      <c r="J369"/>
      <c r="K369"/>
      <c r="L369"/>
      <c r="M369"/>
      <c r="N369"/>
      <c r="O369"/>
      <c r="P369"/>
      <c r="Q369"/>
    </row>
    <row r="370" spans="1:17" ht="7.5" customHeight="1">
      <c r="A370" s="296"/>
      <c r="B370" s="297"/>
      <c r="C370" s="298"/>
      <c r="D370" s="297"/>
      <c r="E370" s="112"/>
      <c r="I370"/>
      <c r="J370"/>
      <c r="K370"/>
      <c r="L370"/>
      <c r="M370"/>
      <c r="N370"/>
      <c r="O370"/>
      <c r="P370"/>
      <c r="Q370"/>
    </row>
    <row r="371" spans="1:17" ht="13.5" customHeight="1">
      <c r="A371" s="54" t="s">
        <v>17</v>
      </c>
      <c r="E371" s="112"/>
      <c r="I371"/>
      <c r="J371"/>
      <c r="K371"/>
      <c r="L371"/>
      <c r="M371"/>
      <c r="N371"/>
      <c r="O371"/>
      <c r="P371"/>
      <c r="Q371"/>
    </row>
    <row r="372" spans="1:17" ht="7.5" customHeight="1">
      <c r="A372" s="54"/>
      <c r="E372" s="112"/>
      <c r="I372"/>
      <c r="J372"/>
      <c r="K372"/>
      <c r="L372"/>
      <c r="M372"/>
      <c r="N372"/>
      <c r="O372"/>
      <c r="P372"/>
      <c r="Q372"/>
    </row>
    <row r="373" spans="1:17" ht="15">
      <c r="A373" s="132"/>
      <c r="E373" s="112"/>
      <c r="I373"/>
      <c r="J373"/>
      <c r="K373"/>
      <c r="L373"/>
      <c r="M373"/>
      <c r="N373"/>
      <c r="O373"/>
      <c r="P373"/>
      <c r="Q373"/>
    </row>
    <row r="374" spans="1:17" ht="51.75" thickBot="1">
      <c r="A374" s="132"/>
      <c r="B374" s="283" t="s">
        <v>104</v>
      </c>
      <c r="C374" s="283" t="s">
        <v>188</v>
      </c>
      <c r="D374" s="283" t="s">
        <v>103</v>
      </c>
      <c r="E374" s="112"/>
      <c r="I374"/>
      <c r="J374"/>
      <c r="K374"/>
      <c r="L374"/>
      <c r="M374"/>
      <c r="N374"/>
      <c r="O374"/>
      <c r="P374"/>
      <c r="Q374"/>
    </row>
    <row r="375" spans="1:17" ht="15">
      <c r="A375" s="481" t="s">
        <v>213</v>
      </c>
      <c r="B375" s="30"/>
      <c r="C375" s="30"/>
      <c r="E375" s="112"/>
      <c r="I375"/>
      <c r="J375"/>
      <c r="K375"/>
      <c r="L375"/>
      <c r="M375"/>
      <c r="N375"/>
      <c r="O375"/>
      <c r="P375"/>
      <c r="Q375"/>
    </row>
    <row r="376" spans="1:17" ht="12.75">
      <c r="A376" s="109" t="s">
        <v>99</v>
      </c>
      <c r="B376" s="290"/>
      <c r="C376" s="290"/>
      <c r="D376" s="407">
        <f>+G63</f>
        <v>14308.557501195177</v>
      </c>
      <c r="E376" s="112"/>
      <c r="I376"/>
      <c r="J376"/>
      <c r="K376"/>
      <c r="L376"/>
      <c r="M376"/>
      <c r="N376"/>
      <c r="O376"/>
      <c r="P376"/>
      <c r="Q376"/>
    </row>
    <row r="377" spans="1:17" ht="12.75">
      <c r="A377" s="112"/>
      <c r="B377" s="284"/>
      <c r="C377" s="284"/>
      <c r="D377" s="285"/>
      <c r="E377" s="112"/>
      <c r="I377"/>
      <c r="J377"/>
      <c r="K377"/>
      <c r="L377"/>
      <c r="M377"/>
      <c r="N377"/>
      <c r="O377"/>
      <c r="P377"/>
      <c r="Q377"/>
    </row>
    <row r="378" spans="1:17" ht="12.75">
      <c r="A378" s="109" t="s">
        <v>102</v>
      </c>
      <c r="B378" s="479">
        <v>1</v>
      </c>
      <c r="C378" s="479">
        <f>1-B378</f>
        <v>0</v>
      </c>
      <c r="D378" s="291">
        <f>B378+C378</f>
        <v>1</v>
      </c>
      <c r="E378" s="112"/>
      <c r="I378"/>
      <c r="J378"/>
      <c r="K378"/>
      <c r="L378"/>
      <c r="M378"/>
      <c r="N378"/>
      <c r="O378"/>
      <c r="P378"/>
      <c r="Q378"/>
    </row>
    <row r="379" spans="1:17" ht="12.75">
      <c r="A379" s="112"/>
      <c r="B379" s="286"/>
      <c r="C379" s="286"/>
      <c r="D379" s="286"/>
      <c r="E379" s="112"/>
      <c r="I379"/>
      <c r="J379"/>
      <c r="K379"/>
      <c r="L379"/>
      <c r="M379"/>
      <c r="N379"/>
      <c r="O379"/>
      <c r="P379"/>
      <c r="Q379"/>
    </row>
    <row r="380" spans="1:17" ht="12.75">
      <c r="A380" s="109" t="s">
        <v>105</v>
      </c>
      <c r="B380" s="402">
        <f>$B378*$D376</f>
        <v>14308.557501195177</v>
      </c>
      <c r="C380" s="402">
        <f>C378*D376</f>
        <v>0</v>
      </c>
      <c r="D380" s="402">
        <f>SUM(B380:C380)</f>
        <v>14308.557501195177</v>
      </c>
      <c r="E380" s="112"/>
      <c r="I380"/>
      <c r="J380"/>
      <c r="K380"/>
      <c r="L380"/>
      <c r="M380"/>
      <c r="N380"/>
      <c r="O380"/>
      <c r="P380"/>
      <c r="Q380"/>
    </row>
    <row r="381" spans="1:17" ht="12.75">
      <c r="A381" s="112"/>
      <c r="B381" s="287"/>
      <c r="C381" s="287"/>
      <c r="D381" s="287"/>
      <c r="E381" s="112"/>
      <c r="I381"/>
      <c r="J381"/>
      <c r="K381"/>
      <c r="L381"/>
      <c r="M381"/>
      <c r="N381"/>
      <c r="O381"/>
      <c r="P381"/>
      <c r="Q381"/>
    </row>
    <row r="382" spans="1:17" ht="12.75">
      <c r="A382" s="109" t="s">
        <v>151</v>
      </c>
      <c r="B382" s="293">
        <f>+B63</f>
        <v>55024</v>
      </c>
      <c r="C382" s="292"/>
      <c r="D382" s="292"/>
      <c r="E382" s="112"/>
      <c r="I382"/>
      <c r="J382"/>
      <c r="K382"/>
      <c r="L382"/>
      <c r="M382"/>
      <c r="N382"/>
      <c r="O382"/>
      <c r="P382"/>
      <c r="Q382"/>
    </row>
    <row r="383" spans="1:17" ht="12.75">
      <c r="A383" s="112"/>
      <c r="B383" s="288"/>
      <c r="C383" s="287"/>
      <c r="D383" s="287"/>
      <c r="E383" s="112"/>
      <c r="I383"/>
      <c r="J383"/>
      <c r="K383"/>
      <c r="L383"/>
      <c r="M383"/>
      <c r="N383"/>
      <c r="O383"/>
      <c r="P383"/>
      <c r="Q383"/>
    </row>
    <row r="384" spans="1:17" ht="12.75">
      <c r="A384" s="109" t="s">
        <v>101</v>
      </c>
      <c r="B384" s="292"/>
      <c r="C384" s="293">
        <f>+D63</f>
        <v>1</v>
      </c>
      <c r="D384" s="292"/>
      <c r="E384" s="112"/>
      <c r="I384"/>
      <c r="J384"/>
      <c r="K384"/>
      <c r="L384"/>
      <c r="M384"/>
      <c r="N384"/>
      <c r="O384"/>
      <c r="P384"/>
      <c r="Q384"/>
    </row>
    <row r="385" spans="1:17" ht="12.75">
      <c r="A385" s="112"/>
      <c r="B385" s="287"/>
      <c r="C385" s="288"/>
      <c r="D385" s="287"/>
      <c r="E385" s="112"/>
      <c r="I385"/>
      <c r="J385"/>
      <c r="K385"/>
      <c r="L385"/>
      <c r="M385"/>
      <c r="N385"/>
      <c r="O385"/>
      <c r="P385"/>
      <c r="Q385"/>
    </row>
    <row r="386" spans="1:17" ht="12.75">
      <c r="A386" s="109" t="s">
        <v>161</v>
      </c>
      <c r="B386" s="403">
        <f>IF(ISERROR($B380/$B382),0,$B380/$B382)</f>
        <v>0.2600421180066003</v>
      </c>
      <c r="C386" s="403"/>
      <c r="D386" s="294"/>
      <c r="E386" s="112"/>
      <c r="I386"/>
      <c r="J386"/>
      <c r="K386"/>
      <c r="L386"/>
      <c r="M386"/>
      <c r="N386"/>
      <c r="O386"/>
      <c r="P386"/>
      <c r="Q386"/>
    </row>
    <row r="387" spans="1:17" ht="12.75">
      <c r="A387" s="112"/>
      <c r="B387" s="404"/>
      <c r="C387" s="404"/>
      <c r="D387" s="289"/>
      <c r="E387" s="112"/>
      <c r="I387"/>
      <c r="J387"/>
      <c r="K387"/>
      <c r="L387"/>
      <c r="M387"/>
      <c r="N387"/>
      <c r="O387"/>
      <c r="P387"/>
      <c r="Q387"/>
    </row>
    <row r="388" spans="1:17" ht="12.75">
      <c r="A388" s="109" t="s">
        <v>160</v>
      </c>
      <c r="B388" s="405"/>
      <c r="C388" s="406">
        <f>IF(ISERROR($C380/$C384/12),0,$C380/$C384/12)</f>
        <v>0</v>
      </c>
      <c r="D388" s="295"/>
      <c r="E388" s="112"/>
      <c r="I388"/>
      <c r="J388"/>
      <c r="K388"/>
      <c r="L388"/>
      <c r="M388"/>
      <c r="N388"/>
      <c r="O388"/>
      <c r="P388"/>
      <c r="Q388"/>
    </row>
    <row r="389" spans="1:17" ht="12.75">
      <c r="A389" s="296"/>
      <c r="B389" s="297"/>
      <c r="C389" s="298"/>
      <c r="D389" s="297"/>
      <c r="E389" s="112"/>
      <c r="I389"/>
      <c r="J389"/>
      <c r="K389"/>
      <c r="L389"/>
      <c r="M389"/>
      <c r="N389"/>
      <c r="O389"/>
      <c r="P389"/>
      <c r="Q389"/>
    </row>
    <row r="390" spans="1:17" ht="12.75">
      <c r="A390" s="296"/>
      <c r="B390" s="297"/>
      <c r="C390" s="298"/>
      <c r="D390" s="297"/>
      <c r="E390" s="112"/>
      <c r="I390"/>
      <c r="J390"/>
      <c r="K390"/>
      <c r="L390"/>
      <c r="M390"/>
      <c r="N390"/>
      <c r="O390"/>
      <c r="P390"/>
      <c r="Q390"/>
    </row>
    <row r="391" spans="1:17" ht="51.75" thickBot="1">
      <c r="A391" s="132"/>
      <c r="B391" s="283" t="s">
        <v>104</v>
      </c>
      <c r="C391" s="283" t="s">
        <v>188</v>
      </c>
      <c r="D391" s="283" t="s">
        <v>103</v>
      </c>
      <c r="E391" s="112"/>
      <c r="I391"/>
      <c r="J391"/>
      <c r="K391"/>
      <c r="L391"/>
      <c r="M391"/>
      <c r="N391"/>
      <c r="O391"/>
      <c r="P391"/>
      <c r="Q391"/>
    </row>
    <row r="392" spans="1:17" ht="15">
      <c r="A392" s="481" t="s">
        <v>220</v>
      </c>
      <c r="B392" s="30"/>
      <c r="C392" s="30"/>
      <c r="E392" s="112"/>
      <c r="I392"/>
      <c r="J392"/>
      <c r="K392"/>
      <c r="L392"/>
      <c r="M392"/>
      <c r="N392"/>
      <c r="O392"/>
      <c r="P392"/>
      <c r="Q392"/>
    </row>
    <row r="393" spans="1:17" ht="12.75">
      <c r="A393" s="109" t="s">
        <v>99</v>
      </c>
      <c r="B393" s="290"/>
      <c r="C393" s="290"/>
      <c r="D393" s="407">
        <f>+G64</f>
        <v>12911.061033295462</v>
      </c>
      <c r="E393" s="112"/>
      <c r="I393"/>
      <c r="J393"/>
      <c r="K393"/>
      <c r="L393"/>
      <c r="M393"/>
      <c r="N393"/>
      <c r="O393"/>
      <c r="P393"/>
      <c r="Q393"/>
    </row>
    <row r="394" spans="1:17" ht="12.75">
      <c r="A394" s="112"/>
      <c r="B394" s="284"/>
      <c r="C394" s="284"/>
      <c r="D394" s="285"/>
      <c r="I394"/>
      <c r="J394"/>
      <c r="K394"/>
      <c r="L394"/>
      <c r="M394"/>
      <c r="N394"/>
      <c r="O394"/>
      <c r="P394"/>
      <c r="Q394"/>
    </row>
    <row r="395" spans="1:17" ht="6.75" customHeight="1">
      <c r="A395" s="109" t="s">
        <v>102</v>
      </c>
      <c r="B395" s="479">
        <v>1</v>
      </c>
      <c r="C395" s="479">
        <f>1-B395</f>
        <v>0</v>
      </c>
      <c r="D395" s="291">
        <f>B395+C395</f>
        <v>1</v>
      </c>
      <c r="I395"/>
      <c r="J395"/>
      <c r="K395"/>
      <c r="L395"/>
      <c r="M395"/>
      <c r="N395"/>
      <c r="O395"/>
      <c r="P395"/>
      <c r="Q395"/>
    </row>
    <row r="396" spans="1:17" ht="12.75">
      <c r="A396" s="112"/>
      <c r="B396" s="286"/>
      <c r="C396" s="286"/>
      <c r="D396" s="286"/>
      <c r="I396"/>
      <c r="J396"/>
      <c r="K396"/>
      <c r="L396"/>
      <c r="M396"/>
      <c r="N396"/>
      <c r="O396"/>
      <c r="P396"/>
      <c r="Q396"/>
    </row>
    <row r="397" spans="1:17" ht="12.75">
      <c r="A397" s="109" t="s">
        <v>105</v>
      </c>
      <c r="B397" s="402">
        <f>$B395*$D393</f>
        <v>12911.061033295462</v>
      </c>
      <c r="C397" s="402">
        <f>C395*D393</f>
        <v>0</v>
      </c>
      <c r="D397" s="402">
        <f>SUM(B397:C397)</f>
        <v>12911.061033295462</v>
      </c>
      <c r="E397" s="280"/>
      <c r="F397" s="280"/>
      <c r="G397" s="280"/>
      <c r="I397"/>
      <c r="J397"/>
      <c r="K397"/>
      <c r="L397"/>
      <c r="M397"/>
      <c r="N397"/>
      <c r="O397"/>
      <c r="P397"/>
      <c r="Q397"/>
    </row>
    <row r="398" spans="1:17" ht="12.75">
      <c r="A398" s="112"/>
      <c r="B398" s="287"/>
      <c r="C398" s="287"/>
      <c r="D398" s="287"/>
      <c r="I398"/>
      <c r="J398"/>
      <c r="K398"/>
      <c r="L398"/>
      <c r="M398"/>
      <c r="N398"/>
      <c r="O398"/>
      <c r="P398"/>
      <c r="Q398"/>
    </row>
    <row r="399" spans="1:17" ht="12.75">
      <c r="A399" s="109" t="s">
        <v>151</v>
      </c>
      <c r="B399" s="293">
        <f>+B64</f>
        <v>61751</v>
      </c>
      <c r="C399" s="292"/>
      <c r="D399" s="292"/>
      <c r="E399" s="112"/>
      <c r="I399"/>
      <c r="J399"/>
      <c r="K399"/>
      <c r="L399"/>
      <c r="M399"/>
      <c r="N399"/>
      <c r="O399"/>
      <c r="P399"/>
      <c r="Q399"/>
    </row>
    <row r="400" spans="1:17" ht="7.5" customHeight="1">
      <c r="A400" s="112"/>
      <c r="B400" s="288"/>
      <c r="C400" s="287"/>
      <c r="D400" s="287"/>
      <c r="E400" s="112"/>
      <c r="I400"/>
      <c r="J400"/>
      <c r="K400"/>
      <c r="L400"/>
      <c r="M400"/>
      <c r="N400"/>
      <c r="O400"/>
      <c r="P400"/>
      <c r="Q400"/>
    </row>
    <row r="401" spans="1:17" ht="12.75">
      <c r="A401" s="109" t="s">
        <v>101</v>
      </c>
      <c r="B401" s="292"/>
      <c r="C401" s="293">
        <f>+D64</f>
        <v>1</v>
      </c>
      <c r="D401" s="292"/>
      <c r="E401" s="112"/>
      <c r="I401"/>
      <c r="J401"/>
      <c r="K401"/>
      <c r="L401"/>
      <c r="M401"/>
      <c r="N401"/>
      <c r="O401"/>
      <c r="P401"/>
      <c r="Q401"/>
    </row>
    <row r="402" spans="1:17" ht="7.5" customHeight="1">
      <c r="A402" s="112"/>
      <c r="B402" s="287"/>
      <c r="C402" s="288"/>
      <c r="D402" s="287"/>
      <c r="E402" s="112"/>
      <c r="I402"/>
      <c r="J402"/>
      <c r="K402"/>
      <c r="L402"/>
      <c r="M402"/>
      <c r="N402"/>
      <c r="O402"/>
      <c r="P402"/>
      <c r="Q402"/>
    </row>
    <row r="403" spans="1:17" ht="13.5" customHeight="1">
      <c r="A403" s="109" t="s">
        <v>161</v>
      </c>
      <c r="B403" s="403">
        <f>IF(ISERROR($B397/$B399),0,$B397/$B399)</f>
        <v>0.20908262268296</v>
      </c>
      <c r="C403" s="403"/>
      <c r="D403" s="294"/>
      <c r="E403" s="112"/>
      <c r="I403"/>
      <c r="J403"/>
      <c r="K403"/>
      <c r="L403"/>
      <c r="M403"/>
      <c r="N403"/>
      <c r="O403"/>
      <c r="P403"/>
      <c r="Q403"/>
    </row>
    <row r="404" spans="1:17" ht="7.5" customHeight="1">
      <c r="A404" s="112"/>
      <c r="B404" s="404"/>
      <c r="C404" s="404"/>
      <c r="D404" s="289"/>
      <c r="E404" s="112"/>
      <c r="I404"/>
      <c r="J404"/>
      <c r="K404"/>
      <c r="L404"/>
      <c r="M404"/>
      <c r="N404"/>
      <c r="O404"/>
      <c r="P404"/>
      <c r="Q404"/>
    </row>
    <row r="405" spans="1:17" ht="13.5" customHeight="1">
      <c r="A405" s="109" t="s">
        <v>160</v>
      </c>
      <c r="B405" s="405"/>
      <c r="C405" s="406">
        <f>IF(ISERROR($C397/$C401/12),0,$C397/$C401/12)</f>
        <v>0</v>
      </c>
      <c r="D405" s="295"/>
      <c r="E405" s="112"/>
      <c r="I405"/>
      <c r="J405"/>
      <c r="K405"/>
      <c r="L405"/>
      <c r="M405"/>
      <c r="N405"/>
      <c r="O405"/>
      <c r="P405"/>
      <c r="Q405"/>
    </row>
    <row r="406" spans="1:17" ht="7.5" customHeight="1">
      <c r="A406" s="296"/>
      <c r="B406" s="297"/>
      <c r="C406" s="298"/>
      <c r="D406" s="297"/>
      <c r="E406" s="112"/>
      <c r="I406"/>
      <c r="J406"/>
      <c r="K406"/>
      <c r="L406"/>
      <c r="M406"/>
      <c r="N406"/>
      <c r="O406"/>
      <c r="P406"/>
      <c r="Q406"/>
    </row>
    <row r="407" spans="1:17" ht="13.5" customHeight="1">
      <c r="A407" s="296"/>
      <c r="B407" s="297"/>
      <c r="C407" s="298"/>
      <c r="D407" s="297"/>
      <c r="E407" s="112"/>
      <c r="I407"/>
      <c r="J407"/>
      <c r="K407"/>
      <c r="L407"/>
      <c r="M407"/>
      <c r="N407"/>
      <c r="O407"/>
      <c r="P407"/>
      <c r="Q407"/>
    </row>
    <row r="408" spans="1:17" ht="7.5" customHeight="1">
      <c r="A408" s="296"/>
      <c r="B408" s="297"/>
      <c r="C408" s="298"/>
      <c r="D408" s="297"/>
      <c r="E408" s="112"/>
      <c r="I408"/>
      <c r="J408"/>
      <c r="K408"/>
      <c r="L408"/>
      <c r="M408"/>
      <c r="N408"/>
      <c r="O408"/>
      <c r="P408"/>
      <c r="Q408"/>
    </row>
    <row r="409" spans="1:17" ht="13.5" customHeight="1">
      <c r="A409" s="54" t="s">
        <v>18</v>
      </c>
      <c r="E409" s="112"/>
      <c r="I409"/>
      <c r="J409"/>
      <c r="K409"/>
      <c r="L409"/>
      <c r="M409"/>
      <c r="N409"/>
      <c r="O409"/>
      <c r="P409"/>
      <c r="Q409"/>
    </row>
    <row r="410" spans="1:17" ht="7.5" customHeight="1">
      <c r="A410" s="54"/>
      <c r="E410" s="112"/>
      <c r="I410"/>
      <c r="J410"/>
      <c r="K410"/>
      <c r="L410"/>
      <c r="M410"/>
      <c r="N410"/>
      <c r="O410"/>
      <c r="P410"/>
      <c r="Q410"/>
    </row>
    <row r="411" spans="1:17" ht="15">
      <c r="A411" s="132"/>
      <c r="E411" s="112"/>
      <c r="I411"/>
      <c r="J411"/>
      <c r="K411"/>
      <c r="L411"/>
      <c r="M411"/>
      <c r="N411"/>
      <c r="O411"/>
      <c r="P411"/>
      <c r="Q411"/>
    </row>
    <row r="412" spans="1:17" ht="51.75" thickBot="1">
      <c r="A412" s="132"/>
      <c r="B412" s="283" t="s">
        <v>104</v>
      </c>
      <c r="C412" s="283" t="s">
        <v>188</v>
      </c>
      <c r="D412" s="283" t="s">
        <v>103</v>
      </c>
      <c r="E412" s="112"/>
      <c r="I412"/>
      <c r="J412"/>
      <c r="K412"/>
      <c r="L412"/>
      <c r="M412"/>
      <c r="N412"/>
      <c r="O412"/>
      <c r="P412"/>
      <c r="Q412"/>
    </row>
    <row r="413" spans="1:17" ht="15">
      <c r="A413" s="481" t="s">
        <v>211</v>
      </c>
      <c r="B413" s="30"/>
      <c r="C413" s="30"/>
      <c r="E413" s="112"/>
      <c r="I413"/>
      <c r="J413"/>
      <c r="K413"/>
      <c r="L413"/>
      <c r="M413"/>
      <c r="N413"/>
      <c r="O413"/>
      <c r="P413"/>
      <c r="Q413"/>
    </row>
    <row r="414" spans="1:17" ht="12.75">
      <c r="A414" s="109" t="s">
        <v>99</v>
      </c>
      <c r="B414" s="290"/>
      <c r="C414" s="290"/>
      <c r="D414" s="407">
        <f>+G70</f>
        <v>10.47777888831395</v>
      </c>
      <c r="E414" s="112"/>
      <c r="I414"/>
      <c r="J414"/>
      <c r="K414"/>
      <c r="L414"/>
      <c r="M414"/>
      <c r="N414"/>
      <c r="O414"/>
      <c r="P414"/>
      <c r="Q414"/>
    </row>
    <row r="415" spans="1:17" ht="12.75">
      <c r="A415" s="112"/>
      <c r="B415" s="284"/>
      <c r="C415" s="284"/>
      <c r="D415" s="285"/>
      <c r="E415" s="112"/>
      <c r="I415"/>
      <c r="J415"/>
      <c r="K415"/>
      <c r="L415"/>
      <c r="M415"/>
      <c r="N415"/>
      <c r="O415"/>
      <c r="P415"/>
      <c r="Q415"/>
    </row>
    <row r="416" spans="1:17" ht="12.75">
      <c r="A416" s="109" t="s">
        <v>102</v>
      </c>
      <c r="B416" s="479">
        <v>1</v>
      </c>
      <c r="C416" s="479">
        <f>1-B416</f>
        <v>0</v>
      </c>
      <c r="D416" s="291">
        <f>B416+C416</f>
        <v>1</v>
      </c>
      <c r="E416" s="112"/>
      <c r="I416"/>
      <c r="J416"/>
      <c r="K416"/>
      <c r="L416"/>
      <c r="M416"/>
      <c r="N416"/>
      <c r="O416"/>
      <c r="P416"/>
      <c r="Q416"/>
    </row>
    <row r="417" spans="1:17" ht="12.75">
      <c r="A417" s="112"/>
      <c r="B417" s="286"/>
      <c r="C417" s="286"/>
      <c r="D417" s="286"/>
      <c r="E417" s="112"/>
      <c r="I417"/>
      <c r="J417"/>
      <c r="K417"/>
      <c r="L417"/>
      <c r="M417"/>
      <c r="N417"/>
      <c r="O417"/>
      <c r="P417"/>
      <c r="Q417"/>
    </row>
    <row r="418" spans="1:17" ht="12.75">
      <c r="A418" s="109" t="s">
        <v>105</v>
      </c>
      <c r="B418" s="402">
        <f>$B416*$D414</f>
        <v>10.47777888831395</v>
      </c>
      <c r="C418" s="402">
        <f>C416*D414</f>
        <v>0</v>
      </c>
      <c r="D418" s="402">
        <f>SUM(B418:C418)</f>
        <v>10.47777888831395</v>
      </c>
      <c r="E418" s="112"/>
      <c r="I418"/>
      <c r="J418"/>
      <c r="K418"/>
      <c r="L418"/>
      <c r="M418"/>
      <c r="N418"/>
      <c r="O418"/>
      <c r="P418"/>
      <c r="Q418"/>
    </row>
    <row r="419" spans="1:17" ht="12.75">
      <c r="A419" s="112"/>
      <c r="B419" s="287"/>
      <c r="C419" s="287"/>
      <c r="D419" s="287"/>
      <c r="E419" s="112"/>
      <c r="I419"/>
      <c r="J419"/>
      <c r="K419"/>
      <c r="L419"/>
      <c r="M419"/>
      <c r="N419"/>
      <c r="O419"/>
      <c r="P419"/>
      <c r="Q419"/>
    </row>
    <row r="420" spans="1:17" ht="12.75">
      <c r="A420" s="109" t="s">
        <v>151</v>
      </c>
      <c r="B420" s="293">
        <f>+B70</f>
        <v>127</v>
      </c>
      <c r="C420" s="292"/>
      <c r="D420" s="292"/>
      <c r="E420" s="112"/>
      <c r="I420"/>
      <c r="J420"/>
      <c r="K420"/>
      <c r="L420"/>
      <c r="M420"/>
      <c r="N420"/>
      <c r="O420"/>
      <c r="P420"/>
      <c r="Q420"/>
    </row>
    <row r="421" spans="1:17" ht="12.75">
      <c r="A421" s="112"/>
      <c r="B421" s="288"/>
      <c r="C421" s="287"/>
      <c r="D421" s="287"/>
      <c r="E421" s="112"/>
      <c r="I421"/>
      <c r="J421"/>
      <c r="K421"/>
      <c r="L421"/>
      <c r="M421"/>
      <c r="N421"/>
      <c r="O421"/>
      <c r="P421"/>
      <c r="Q421"/>
    </row>
    <row r="422" spans="1:17" ht="12.75">
      <c r="A422" s="109" t="s">
        <v>101</v>
      </c>
      <c r="B422" s="292"/>
      <c r="C422" s="293">
        <f>+D70</f>
        <v>35</v>
      </c>
      <c r="D422" s="292"/>
      <c r="E422" s="112"/>
      <c r="I422"/>
      <c r="J422"/>
      <c r="K422"/>
      <c r="L422"/>
      <c r="M422"/>
      <c r="N422"/>
      <c r="O422"/>
      <c r="P422"/>
      <c r="Q422"/>
    </row>
    <row r="423" spans="1:17" ht="12.75">
      <c r="A423" s="112"/>
      <c r="B423" s="287"/>
      <c r="C423" s="288"/>
      <c r="D423" s="287"/>
      <c r="E423" s="112"/>
      <c r="I423"/>
      <c r="J423"/>
      <c r="K423"/>
      <c r="L423"/>
      <c r="M423"/>
      <c r="N423"/>
      <c r="O423"/>
      <c r="P423"/>
      <c r="Q423"/>
    </row>
    <row r="424" spans="1:17" ht="12.75">
      <c r="A424" s="109" t="s">
        <v>161</v>
      </c>
      <c r="B424" s="403">
        <f>IF(ISERROR($B418/$B420),0,$B418/$B420)</f>
        <v>0.08250219597097598</v>
      </c>
      <c r="C424" s="403"/>
      <c r="D424" s="294"/>
      <c r="E424" s="112"/>
      <c r="I424"/>
      <c r="J424"/>
      <c r="K424"/>
      <c r="L424"/>
      <c r="M424"/>
      <c r="N424"/>
      <c r="O424"/>
      <c r="P424"/>
      <c r="Q424"/>
    </row>
    <row r="425" spans="1:17" ht="12.75">
      <c r="A425" s="112"/>
      <c r="B425" s="404"/>
      <c r="C425" s="404"/>
      <c r="D425" s="289"/>
      <c r="E425" s="112"/>
      <c r="I425"/>
      <c r="J425"/>
      <c r="K425"/>
      <c r="L425"/>
      <c r="M425"/>
      <c r="N425"/>
      <c r="O425"/>
      <c r="P425"/>
      <c r="Q425"/>
    </row>
    <row r="426" spans="1:17" ht="12.75">
      <c r="A426" s="109" t="s">
        <v>160</v>
      </c>
      <c r="B426" s="405"/>
      <c r="C426" s="406">
        <f>IF(ISERROR($C418/$C422/12),0,$C418/$C422/12)</f>
        <v>0</v>
      </c>
      <c r="D426" s="295"/>
      <c r="E426" s="112"/>
      <c r="I426"/>
      <c r="J426"/>
      <c r="K426"/>
      <c r="L426"/>
      <c r="M426"/>
      <c r="N426"/>
      <c r="O426"/>
      <c r="P426"/>
      <c r="Q426"/>
    </row>
    <row r="427" spans="1:17" ht="12.75">
      <c r="A427" s="296"/>
      <c r="B427" s="297"/>
      <c r="C427" s="298"/>
      <c r="D427" s="297"/>
      <c r="E427" s="112"/>
      <c r="I427"/>
      <c r="J427"/>
      <c r="K427"/>
      <c r="L427"/>
      <c r="M427"/>
      <c r="N427"/>
      <c r="O427"/>
      <c r="P427"/>
      <c r="Q427"/>
    </row>
    <row r="428" spans="1:17" ht="12.75">
      <c r="A428" s="296"/>
      <c r="B428" s="297"/>
      <c r="C428" s="298"/>
      <c r="D428" s="297"/>
      <c r="E428" s="112"/>
      <c r="I428"/>
      <c r="J428"/>
      <c r="K428"/>
      <c r="L428"/>
      <c r="M428"/>
      <c r="N428"/>
      <c r="O428"/>
      <c r="P428"/>
      <c r="Q428"/>
    </row>
    <row r="429" spans="1:17" ht="51.75" thickBot="1">
      <c r="A429" s="132"/>
      <c r="B429" s="283" t="s">
        <v>104</v>
      </c>
      <c r="C429" s="283" t="s">
        <v>188</v>
      </c>
      <c r="D429" s="283" t="s">
        <v>103</v>
      </c>
      <c r="E429" s="112"/>
      <c r="I429"/>
      <c r="J429"/>
      <c r="K429"/>
      <c r="L429"/>
      <c r="M429"/>
      <c r="N429"/>
      <c r="O429"/>
      <c r="P429"/>
      <c r="Q429"/>
    </row>
    <row r="430" spans="1:17" ht="15">
      <c r="A430" s="481" t="s">
        <v>212</v>
      </c>
      <c r="B430" s="30"/>
      <c r="C430" s="30"/>
      <c r="E430" s="112"/>
      <c r="I430"/>
      <c r="J430"/>
      <c r="K430"/>
      <c r="L430"/>
      <c r="M430"/>
      <c r="N430"/>
      <c r="O430"/>
      <c r="P430"/>
      <c r="Q430"/>
    </row>
    <row r="431" spans="1:17" ht="12.75">
      <c r="A431" s="109" t="s">
        <v>99</v>
      </c>
      <c r="B431" s="290"/>
      <c r="C431" s="290"/>
      <c r="D431" s="407">
        <f>+G71</f>
        <v>9.17409211419194</v>
      </c>
      <c r="E431" s="112"/>
      <c r="I431"/>
      <c r="J431"/>
      <c r="K431"/>
      <c r="L431"/>
      <c r="M431"/>
      <c r="N431"/>
      <c r="O431"/>
      <c r="P431"/>
      <c r="Q431"/>
    </row>
    <row r="432" spans="1:17" ht="12.75">
      <c r="A432" s="112"/>
      <c r="B432" s="284"/>
      <c r="C432" s="284"/>
      <c r="D432" s="285"/>
      <c r="E432" s="112"/>
      <c r="I432"/>
      <c r="J432"/>
      <c r="K432"/>
      <c r="L432"/>
      <c r="M432"/>
      <c r="N432"/>
      <c r="O432"/>
      <c r="P432"/>
      <c r="Q432"/>
    </row>
    <row r="433" spans="1:17" ht="12.75">
      <c r="A433" s="109" t="s">
        <v>102</v>
      </c>
      <c r="B433" s="479">
        <v>1</v>
      </c>
      <c r="C433" s="479">
        <f>1-B433</f>
        <v>0</v>
      </c>
      <c r="D433" s="291">
        <f>B433+C433</f>
        <v>1</v>
      </c>
      <c r="E433" s="112"/>
      <c r="I433"/>
      <c r="J433"/>
      <c r="K433"/>
      <c r="L433"/>
      <c r="M433"/>
      <c r="N433"/>
      <c r="O433"/>
      <c r="P433"/>
      <c r="Q433"/>
    </row>
    <row r="434" spans="1:17" ht="12.75">
      <c r="A434" s="112"/>
      <c r="B434" s="286"/>
      <c r="C434" s="286"/>
      <c r="D434" s="286"/>
      <c r="E434" s="112"/>
      <c r="I434"/>
      <c r="J434"/>
      <c r="K434"/>
      <c r="L434"/>
      <c r="M434"/>
      <c r="N434"/>
      <c r="O434"/>
      <c r="P434"/>
      <c r="Q434"/>
    </row>
    <row r="435" spans="1:17" ht="12.75">
      <c r="A435" s="109" t="s">
        <v>105</v>
      </c>
      <c r="B435" s="402">
        <f>$B433*$D431</f>
        <v>9.17409211419194</v>
      </c>
      <c r="C435" s="402">
        <f>C433*D431</f>
        <v>0</v>
      </c>
      <c r="D435" s="402">
        <f>SUM(B435:C435)</f>
        <v>9.17409211419194</v>
      </c>
      <c r="E435" s="112"/>
      <c r="I435"/>
      <c r="J435"/>
      <c r="K435"/>
      <c r="L435"/>
      <c r="M435"/>
      <c r="N435"/>
      <c r="O435"/>
      <c r="P435"/>
      <c r="Q435"/>
    </row>
    <row r="436" spans="1:17" ht="12.75">
      <c r="A436" s="112"/>
      <c r="B436" s="287"/>
      <c r="C436" s="287"/>
      <c r="D436" s="287"/>
      <c r="E436" s="112"/>
      <c r="I436"/>
      <c r="J436"/>
      <c r="K436"/>
      <c r="L436"/>
      <c r="M436"/>
      <c r="N436"/>
      <c r="O436"/>
      <c r="P436"/>
      <c r="Q436"/>
    </row>
    <row r="437" spans="1:17" ht="12.75">
      <c r="A437" s="109" t="s">
        <v>151</v>
      </c>
      <c r="B437" s="293">
        <f>+B71</f>
        <v>36</v>
      </c>
      <c r="C437" s="292"/>
      <c r="D437" s="292"/>
      <c r="E437" s="112"/>
      <c r="I437"/>
      <c r="J437"/>
      <c r="K437"/>
      <c r="L437"/>
      <c r="M437"/>
      <c r="N437"/>
      <c r="O437"/>
      <c r="P437"/>
      <c r="Q437"/>
    </row>
    <row r="438" spans="1:17" ht="12.75">
      <c r="A438" s="112"/>
      <c r="B438" s="288"/>
      <c r="C438" s="287"/>
      <c r="D438" s="287"/>
      <c r="E438" s="112"/>
      <c r="I438"/>
      <c r="J438"/>
      <c r="K438"/>
      <c r="L438"/>
      <c r="M438"/>
      <c r="N438"/>
      <c r="O438"/>
      <c r="P438"/>
      <c r="Q438"/>
    </row>
    <row r="439" spans="1:17" ht="12.75">
      <c r="A439" s="109" t="s">
        <v>101</v>
      </c>
      <c r="B439" s="292"/>
      <c r="C439" s="293">
        <f>+D71</f>
        <v>11</v>
      </c>
      <c r="D439" s="292"/>
      <c r="E439" s="112"/>
      <c r="I439"/>
      <c r="J439"/>
      <c r="K439"/>
      <c r="L439"/>
      <c r="M439"/>
      <c r="N439"/>
      <c r="O439"/>
      <c r="P439"/>
      <c r="Q439"/>
    </row>
    <row r="440" spans="1:17" ht="12.75">
      <c r="A440" s="112"/>
      <c r="B440" s="287"/>
      <c r="C440" s="288"/>
      <c r="D440" s="287"/>
      <c r="E440" s="112"/>
      <c r="I440"/>
      <c r="J440"/>
      <c r="K440"/>
      <c r="L440"/>
      <c r="M440"/>
      <c r="N440"/>
      <c r="O440"/>
      <c r="P440"/>
      <c r="Q440"/>
    </row>
    <row r="441" spans="1:17" ht="12.75">
      <c r="A441" s="109" t="s">
        <v>161</v>
      </c>
      <c r="B441" s="403">
        <f>IF(ISERROR($B435/$B437),0,$B435/$B437)</f>
        <v>0.2548358920608872</v>
      </c>
      <c r="C441" s="403"/>
      <c r="D441" s="294"/>
      <c r="E441" s="112"/>
      <c r="I441"/>
      <c r="J441"/>
      <c r="K441"/>
      <c r="L441"/>
      <c r="M441"/>
      <c r="N441"/>
      <c r="O441"/>
      <c r="P441"/>
      <c r="Q441"/>
    </row>
    <row r="442" spans="1:17" ht="12.75">
      <c r="A442" s="112"/>
      <c r="B442" s="404"/>
      <c r="C442" s="404"/>
      <c r="D442" s="289"/>
      <c r="E442" s="112"/>
      <c r="I442"/>
      <c r="J442"/>
      <c r="K442"/>
      <c r="L442"/>
      <c r="M442"/>
      <c r="N442"/>
      <c r="O442"/>
      <c r="P442"/>
      <c r="Q442"/>
    </row>
    <row r="443" spans="1:17" ht="12.75">
      <c r="A443" s="109" t="s">
        <v>160</v>
      </c>
      <c r="B443" s="405"/>
      <c r="C443" s="406">
        <f>IF(ISERROR($C435/$C439/12),0,$C435/$C439/12)</f>
        <v>0</v>
      </c>
      <c r="D443" s="295"/>
      <c r="E443" s="112"/>
      <c r="I443"/>
      <c r="J443"/>
      <c r="K443"/>
      <c r="L443"/>
      <c r="M443"/>
      <c r="N443"/>
      <c r="O443"/>
      <c r="P443"/>
      <c r="Q443"/>
    </row>
    <row r="444" spans="1:17" ht="12.75">
      <c r="A444" s="296"/>
      <c r="B444" s="297"/>
      <c r="C444" s="298"/>
      <c r="D444" s="297"/>
      <c r="E444" s="112"/>
      <c r="I444"/>
      <c r="J444"/>
      <c r="K444"/>
      <c r="L444"/>
      <c r="M444"/>
      <c r="N444"/>
      <c r="O444"/>
      <c r="P444"/>
      <c r="Q444"/>
    </row>
    <row r="445" spans="1:17" ht="12.75">
      <c r="A445" s="296"/>
      <c r="B445" s="297"/>
      <c r="C445" s="298"/>
      <c r="D445" s="297"/>
      <c r="E445" s="112"/>
      <c r="I445"/>
      <c r="J445"/>
      <c r="K445"/>
      <c r="L445"/>
      <c r="M445"/>
      <c r="N445"/>
      <c r="O445"/>
      <c r="P445"/>
      <c r="Q445"/>
    </row>
    <row r="446" spans="1:17" ht="51.75" thickBot="1">
      <c r="A446" s="132"/>
      <c r="B446" s="283" t="s">
        <v>104</v>
      </c>
      <c r="C446" s="283" t="s">
        <v>188</v>
      </c>
      <c r="D446" s="283" t="s">
        <v>103</v>
      </c>
      <c r="E446" s="112"/>
      <c r="I446"/>
      <c r="J446"/>
      <c r="K446"/>
      <c r="L446"/>
      <c r="M446"/>
      <c r="N446"/>
      <c r="O446"/>
      <c r="P446"/>
      <c r="Q446"/>
    </row>
    <row r="447" spans="1:17" ht="15">
      <c r="A447" s="481" t="s">
        <v>213</v>
      </c>
      <c r="B447" s="30"/>
      <c r="C447" s="30"/>
      <c r="E447" s="112"/>
      <c r="I447"/>
      <c r="J447"/>
      <c r="K447"/>
      <c r="L447"/>
      <c r="M447"/>
      <c r="N447"/>
      <c r="O447"/>
      <c r="P447"/>
      <c r="Q447"/>
    </row>
    <row r="448" spans="1:17" ht="12.75">
      <c r="A448" s="109" t="s">
        <v>99</v>
      </c>
      <c r="B448" s="290"/>
      <c r="C448" s="290"/>
      <c r="D448" s="407">
        <f>+G72</f>
        <v>105.74348278989656</v>
      </c>
      <c r="E448" s="112"/>
      <c r="I448"/>
      <c r="J448"/>
      <c r="K448"/>
      <c r="L448"/>
      <c r="M448"/>
      <c r="N448"/>
      <c r="O448"/>
      <c r="P448"/>
      <c r="Q448"/>
    </row>
    <row r="449" spans="1:17" ht="12.75">
      <c r="A449" s="112"/>
      <c r="B449" s="284"/>
      <c r="C449" s="284"/>
      <c r="D449" s="285"/>
      <c r="E449" s="112"/>
      <c r="I449"/>
      <c r="J449"/>
      <c r="K449"/>
      <c r="L449"/>
      <c r="M449"/>
      <c r="N449"/>
      <c r="O449"/>
      <c r="P449"/>
      <c r="Q449"/>
    </row>
    <row r="450" spans="1:17" ht="12.75">
      <c r="A450" s="109" t="s">
        <v>102</v>
      </c>
      <c r="B450" s="479">
        <v>1</v>
      </c>
      <c r="C450" s="479">
        <f>1-B450</f>
        <v>0</v>
      </c>
      <c r="D450" s="291">
        <f>B450+C450</f>
        <v>1</v>
      </c>
      <c r="E450" s="112"/>
      <c r="I450"/>
      <c r="J450"/>
      <c r="K450"/>
      <c r="L450"/>
      <c r="M450"/>
      <c r="N450"/>
      <c r="O450"/>
      <c r="P450"/>
      <c r="Q450"/>
    </row>
    <row r="451" spans="1:17" ht="12.75">
      <c r="A451" s="112"/>
      <c r="B451" s="286"/>
      <c r="C451" s="286"/>
      <c r="D451" s="286"/>
      <c r="E451" s="112"/>
      <c r="I451"/>
      <c r="J451"/>
      <c r="K451"/>
      <c r="L451"/>
      <c r="M451"/>
      <c r="N451"/>
      <c r="O451"/>
      <c r="P451"/>
      <c r="Q451"/>
    </row>
    <row r="452" spans="1:17" ht="12.75">
      <c r="A452" s="109" t="s">
        <v>105</v>
      </c>
      <c r="B452" s="402">
        <f>$B450*$D448</f>
        <v>105.74348278989656</v>
      </c>
      <c r="C452" s="402">
        <f>C450*D448</f>
        <v>0</v>
      </c>
      <c r="D452" s="402">
        <f>SUM(B452:C452)</f>
        <v>105.74348278989656</v>
      </c>
      <c r="E452" s="112"/>
      <c r="I452"/>
      <c r="J452"/>
      <c r="K452"/>
      <c r="L452"/>
      <c r="M452"/>
      <c r="N452"/>
      <c r="O452"/>
      <c r="P452"/>
      <c r="Q452"/>
    </row>
    <row r="453" spans="1:17" ht="12.75">
      <c r="A453" s="112"/>
      <c r="B453" s="287"/>
      <c r="C453" s="287"/>
      <c r="D453" s="287"/>
      <c r="E453" s="112"/>
      <c r="I453"/>
      <c r="J453"/>
      <c r="K453"/>
      <c r="L453"/>
      <c r="M453"/>
      <c r="N453"/>
      <c r="O453"/>
      <c r="P453"/>
      <c r="Q453"/>
    </row>
    <row r="454" spans="1:17" ht="12.75">
      <c r="A454" s="109" t="s">
        <v>151</v>
      </c>
      <c r="B454" s="293">
        <f>+B72</f>
        <v>478</v>
      </c>
      <c r="C454" s="292"/>
      <c r="D454" s="292"/>
      <c r="E454" s="112"/>
      <c r="I454"/>
      <c r="J454"/>
      <c r="K454"/>
      <c r="L454"/>
      <c r="M454"/>
      <c r="N454"/>
      <c r="O454"/>
      <c r="P454"/>
      <c r="Q454"/>
    </row>
    <row r="455" spans="1:17" ht="12.75">
      <c r="A455" s="112"/>
      <c r="B455" s="288"/>
      <c r="C455" s="287"/>
      <c r="D455" s="287"/>
      <c r="E455" s="112"/>
      <c r="I455"/>
      <c r="J455"/>
      <c r="K455"/>
      <c r="L455"/>
      <c r="M455"/>
      <c r="N455"/>
      <c r="O455"/>
      <c r="P455"/>
      <c r="Q455"/>
    </row>
    <row r="456" spans="1:17" ht="12.75">
      <c r="A456" s="109" t="s">
        <v>101</v>
      </c>
      <c r="B456" s="292"/>
      <c r="C456" s="293">
        <f>+D72</f>
        <v>108</v>
      </c>
      <c r="D456" s="292"/>
      <c r="E456" s="112"/>
      <c r="I456"/>
      <c r="J456"/>
      <c r="K456"/>
      <c r="L456"/>
      <c r="M456"/>
      <c r="N456"/>
      <c r="O456"/>
      <c r="P456"/>
      <c r="Q456"/>
    </row>
    <row r="457" spans="1:17" ht="12.75">
      <c r="A457" s="112"/>
      <c r="B457" s="287"/>
      <c r="C457" s="288"/>
      <c r="D457" s="287"/>
      <c r="E457" s="112"/>
      <c r="I457"/>
      <c r="J457"/>
      <c r="K457"/>
      <c r="L457"/>
      <c r="M457"/>
      <c r="N457"/>
      <c r="O457"/>
      <c r="P457"/>
      <c r="Q457"/>
    </row>
    <row r="458" spans="1:17" ht="12.75">
      <c r="A458" s="109" t="s">
        <v>161</v>
      </c>
      <c r="B458" s="403">
        <f>IF(ISERROR($B452/$B454),0,$B452/$B454)</f>
        <v>0.22122067529267062</v>
      </c>
      <c r="C458" s="403"/>
      <c r="D458" s="294"/>
      <c r="E458" s="112"/>
      <c r="I458"/>
      <c r="J458"/>
      <c r="K458"/>
      <c r="L458"/>
      <c r="M458"/>
      <c r="N458"/>
      <c r="O458"/>
      <c r="P458"/>
      <c r="Q458"/>
    </row>
    <row r="459" spans="1:17" ht="12.75">
      <c r="A459" s="112"/>
      <c r="B459" s="404"/>
      <c r="C459" s="404"/>
      <c r="D459" s="289"/>
      <c r="E459" s="112"/>
      <c r="I459"/>
      <c r="J459"/>
      <c r="K459"/>
      <c r="L459"/>
      <c r="M459"/>
      <c r="N459"/>
      <c r="O459"/>
      <c r="P459"/>
      <c r="Q459"/>
    </row>
    <row r="460" spans="1:17" ht="12.75">
      <c r="A460" s="109" t="s">
        <v>160</v>
      </c>
      <c r="B460" s="405"/>
      <c r="C460" s="406">
        <f>IF(ISERROR($C452/$C456/12),0,$C452/$C456/12)</f>
        <v>0</v>
      </c>
      <c r="D460" s="295"/>
      <c r="E460" s="112"/>
      <c r="I460"/>
      <c r="J460"/>
      <c r="K460"/>
      <c r="L460"/>
      <c r="M460"/>
      <c r="N460"/>
      <c r="O460"/>
      <c r="P460"/>
      <c r="Q460"/>
    </row>
    <row r="461" spans="1:17" ht="12.75">
      <c r="A461" s="296"/>
      <c r="B461" s="297"/>
      <c r="C461" s="298"/>
      <c r="D461" s="297"/>
      <c r="E461" s="112"/>
      <c r="I461"/>
      <c r="J461"/>
      <c r="K461"/>
      <c r="L461"/>
      <c r="M461"/>
      <c r="N461"/>
      <c r="O461"/>
      <c r="P461"/>
      <c r="Q461"/>
    </row>
    <row r="462" spans="1:17" ht="12.75">
      <c r="A462" s="296"/>
      <c r="B462" s="297"/>
      <c r="C462" s="298"/>
      <c r="D462" s="297"/>
      <c r="E462" s="112"/>
      <c r="I462"/>
      <c r="J462"/>
      <c r="K462"/>
      <c r="L462"/>
      <c r="M462"/>
      <c r="N462"/>
      <c r="O462"/>
      <c r="P462"/>
      <c r="Q462"/>
    </row>
    <row r="463" spans="1:17" ht="51.75" thickBot="1">
      <c r="A463" s="132"/>
      <c r="B463" s="283" t="s">
        <v>104</v>
      </c>
      <c r="C463" s="283" t="s">
        <v>188</v>
      </c>
      <c r="D463" s="283" t="s">
        <v>103</v>
      </c>
      <c r="E463" s="112"/>
      <c r="I463"/>
      <c r="J463"/>
      <c r="K463"/>
      <c r="L463"/>
      <c r="M463"/>
      <c r="N463"/>
      <c r="O463"/>
      <c r="P463"/>
      <c r="Q463"/>
    </row>
    <row r="464" spans="1:17" ht="15">
      <c r="A464" s="481" t="s">
        <v>214</v>
      </c>
      <c r="B464" s="30"/>
      <c r="C464" s="30"/>
      <c r="E464" s="112"/>
      <c r="I464"/>
      <c r="J464"/>
      <c r="K464"/>
      <c r="L464"/>
      <c r="M464"/>
      <c r="N464"/>
      <c r="O464"/>
      <c r="P464"/>
      <c r="Q464"/>
    </row>
    <row r="465" spans="1:17" ht="12.75">
      <c r="A465" s="109" t="s">
        <v>99</v>
      </c>
      <c r="B465" s="290"/>
      <c r="C465" s="290"/>
      <c r="D465" s="407">
        <f>+G73</f>
        <v>24.142347668926156</v>
      </c>
      <c r="E465" s="112"/>
      <c r="I465"/>
      <c r="J465"/>
      <c r="K465"/>
      <c r="L465"/>
      <c r="M465"/>
      <c r="N465"/>
      <c r="O465"/>
      <c r="P465"/>
      <c r="Q465"/>
    </row>
    <row r="466" spans="1:17" ht="12.75">
      <c r="A466" s="112"/>
      <c r="B466" s="284"/>
      <c r="C466" s="284"/>
      <c r="D466" s="285"/>
      <c r="E466" s="112"/>
      <c r="I466"/>
      <c r="J466"/>
      <c r="K466"/>
      <c r="L466"/>
      <c r="M466"/>
      <c r="N466"/>
      <c r="O466"/>
      <c r="P466"/>
      <c r="Q466"/>
    </row>
    <row r="467" spans="1:17" ht="12.75">
      <c r="A467" s="109" t="s">
        <v>102</v>
      </c>
      <c r="B467" s="479">
        <v>1</v>
      </c>
      <c r="C467" s="479">
        <f>1-B467</f>
        <v>0</v>
      </c>
      <c r="D467" s="291">
        <f>B467+C467</f>
        <v>1</v>
      </c>
      <c r="E467" s="112"/>
      <c r="I467"/>
      <c r="J467"/>
      <c r="K467"/>
      <c r="L467"/>
      <c r="M467"/>
      <c r="N467"/>
      <c r="O467"/>
      <c r="P467"/>
      <c r="Q467"/>
    </row>
    <row r="468" spans="1:17" ht="12.75">
      <c r="A468" s="112"/>
      <c r="B468" s="286"/>
      <c r="C468" s="286"/>
      <c r="D468" s="286"/>
      <c r="E468" s="112"/>
      <c r="I468"/>
      <c r="J468"/>
      <c r="K468"/>
      <c r="L468"/>
      <c r="M468"/>
      <c r="N468"/>
      <c r="O468"/>
      <c r="P468"/>
      <c r="Q468"/>
    </row>
    <row r="469" spans="1:17" ht="12.75">
      <c r="A469" s="109" t="s">
        <v>105</v>
      </c>
      <c r="B469" s="402">
        <f>$B467*$D465</f>
        <v>24.142347668926156</v>
      </c>
      <c r="C469" s="402">
        <f>C467*D465</f>
        <v>0</v>
      </c>
      <c r="D469" s="402">
        <f>SUM(B469:C469)</f>
        <v>24.142347668926156</v>
      </c>
      <c r="E469" s="112"/>
      <c r="I469"/>
      <c r="J469"/>
      <c r="K469"/>
      <c r="L469"/>
      <c r="M469"/>
      <c r="N469"/>
      <c r="O469"/>
      <c r="P469"/>
      <c r="Q469"/>
    </row>
    <row r="470" spans="1:17" ht="12.75">
      <c r="A470" s="112"/>
      <c r="B470" s="287"/>
      <c r="C470" s="287"/>
      <c r="D470" s="287"/>
      <c r="E470" s="112"/>
      <c r="I470"/>
      <c r="J470"/>
      <c r="K470"/>
      <c r="L470"/>
      <c r="M470"/>
      <c r="N470"/>
      <c r="O470"/>
      <c r="P470"/>
      <c r="Q470"/>
    </row>
    <row r="471" spans="1:17" ht="12.75">
      <c r="A471" s="109" t="s">
        <v>151</v>
      </c>
      <c r="B471" s="293">
        <f>+B73</f>
        <v>109</v>
      </c>
      <c r="C471" s="292"/>
      <c r="D471" s="292"/>
      <c r="E471" s="112"/>
      <c r="I471"/>
      <c r="J471"/>
      <c r="K471"/>
      <c r="L471"/>
      <c r="M471"/>
      <c r="N471"/>
      <c r="O471"/>
      <c r="P471"/>
      <c r="Q471"/>
    </row>
    <row r="472" spans="1:17" ht="12.75">
      <c r="A472" s="112"/>
      <c r="B472" s="288"/>
      <c r="C472" s="287"/>
      <c r="D472" s="287"/>
      <c r="E472" s="112"/>
      <c r="I472"/>
      <c r="J472"/>
      <c r="K472"/>
      <c r="L472"/>
      <c r="M472"/>
      <c r="N472"/>
      <c r="O472"/>
      <c r="P472"/>
      <c r="Q472"/>
    </row>
    <row r="473" spans="1:17" ht="12.75">
      <c r="A473" s="109" t="s">
        <v>101</v>
      </c>
      <c r="B473" s="292"/>
      <c r="C473" s="293">
        <f>+D73</f>
        <v>26</v>
      </c>
      <c r="D473" s="292"/>
      <c r="E473" s="112"/>
      <c r="I473"/>
      <c r="J473"/>
      <c r="K473"/>
      <c r="L473"/>
      <c r="M473"/>
      <c r="N473"/>
      <c r="O473"/>
      <c r="P473"/>
      <c r="Q473"/>
    </row>
    <row r="474" spans="1:17" ht="12.75">
      <c r="A474" s="112"/>
      <c r="B474" s="287"/>
      <c r="C474" s="288"/>
      <c r="D474" s="287"/>
      <c r="E474" s="112"/>
      <c r="I474"/>
      <c r="J474"/>
      <c r="K474"/>
      <c r="L474"/>
      <c r="M474"/>
      <c r="N474"/>
      <c r="O474"/>
      <c r="P474"/>
      <c r="Q474"/>
    </row>
    <row r="475" spans="1:17" ht="12.75">
      <c r="A475" s="109" t="s">
        <v>161</v>
      </c>
      <c r="B475" s="403">
        <f>IF(ISERROR($B469/$B471),0,$B469/$B471)</f>
        <v>0.22148942815528583</v>
      </c>
      <c r="C475" s="403"/>
      <c r="D475" s="294"/>
      <c r="E475" s="112"/>
      <c r="I475"/>
      <c r="J475"/>
      <c r="K475"/>
      <c r="L475"/>
      <c r="M475"/>
      <c r="N475"/>
      <c r="O475"/>
      <c r="P475"/>
      <c r="Q475"/>
    </row>
    <row r="476" spans="1:17" ht="12.75">
      <c r="A476" s="112"/>
      <c r="B476" s="404"/>
      <c r="C476" s="404"/>
      <c r="D476" s="289"/>
      <c r="E476" s="112"/>
      <c r="I476"/>
      <c r="J476"/>
      <c r="K476"/>
      <c r="L476"/>
      <c r="M476"/>
      <c r="N476"/>
      <c r="O476"/>
      <c r="P476"/>
      <c r="Q476"/>
    </row>
    <row r="477" spans="1:17" ht="12.75">
      <c r="A477" s="109" t="s">
        <v>160</v>
      </c>
      <c r="B477" s="405"/>
      <c r="C477" s="406">
        <f>IF(ISERROR($C469/$C473/12),0,$C469/$C473/12)</f>
        <v>0</v>
      </c>
      <c r="D477" s="295"/>
      <c r="E477" s="112"/>
      <c r="I477"/>
      <c r="J477"/>
      <c r="K477"/>
      <c r="L477"/>
      <c r="M477"/>
      <c r="N477"/>
      <c r="O477"/>
      <c r="P477"/>
      <c r="Q477"/>
    </row>
    <row r="478" spans="1:17" ht="12.75">
      <c r="A478" s="296"/>
      <c r="B478" s="297"/>
      <c r="C478" s="298"/>
      <c r="D478" s="297"/>
      <c r="E478" s="112"/>
      <c r="I478"/>
      <c r="J478"/>
      <c r="K478"/>
      <c r="L478"/>
      <c r="M478"/>
      <c r="N478"/>
      <c r="O478"/>
      <c r="P478"/>
      <c r="Q478"/>
    </row>
    <row r="479" spans="1:17" ht="12.75">
      <c r="A479" s="296"/>
      <c r="B479" s="297"/>
      <c r="C479" s="298"/>
      <c r="D479" s="297"/>
      <c r="E479" s="112"/>
      <c r="I479"/>
      <c r="J479"/>
      <c r="K479"/>
      <c r="L479"/>
      <c r="M479"/>
      <c r="N479"/>
      <c r="O479"/>
      <c r="P479"/>
      <c r="Q479"/>
    </row>
    <row r="480" spans="1:17" ht="51.75" thickBot="1">
      <c r="A480" s="132"/>
      <c r="B480" s="283" t="s">
        <v>104</v>
      </c>
      <c r="C480" s="283" t="s">
        <v>188</v>
      </c>
      <c r="D480" s="283" t="s">
        <v>103</v>
      </c>
      <c r="E480" s="112"/>
      <c r="I480"/>
      <c r="J480"/>
      <c r="K480"/>
      <c r="L480"/>
      <c r="M480"/>
      <c r="N480"/>
      <c r="O480"/>
      <c r="P480"/>
      <c r="Q480"/>
    </row>
    <row r="481" spans="1:17" ht="15">
      <c r="A481" s="481" t="s">
        <v>215</v>
      </c>
      <c r="B481" s="30"/>
      <c r="C481" s="30"/>
      <c r="E481" s="112"/>
      <c r="I481"/>
      <c r="J481"/>
      <c r="K481"/>
      <c r="L481"/>
      <c r="M481"/>
      <c r="N481"/>
      <c r="O481"/>
      <c r="P481"/>
      <c r="Q481"/>
    </row>
    <row r="482" spans="1:17" ht="12.75">
      <c r="A482" s="109" t="s">
        <v>99</v>
      </c>
      <c r="B482" s="290"/>
      <c r="C482" s="290"/>
      <c r="D482" s="407">
        <f>+G74</f>
        <v>0</v>
      </c>
      <c r="E482" s="112"/>
      <c r="I482"/>
      <c r="J482"/>
      <c r="K482"/>
      <c r="L482"/>
      <c r="M482"/>
      <c r="N482"/>
      <c r="O482"/>
      <c r="P482"/>
      <c r="Q482"/>
    </row>
    <row r="483" spans="1:17" ht="12.75">
      <c r="A483" s="112"/>
      <c r="B483" s="284"/>
      <c r="C483" s="284"/>
      <c r="D483" s="285"/>
      <c r="E483" s="112"/>
      <c r="I483"/>
      <c r="J483"/>
      <c r="K483"/>
      <c r="L483"/>
      <c r="M483"/>
      <c r="N483"/>
      <c r="O483"/>
      <c r="P483"/>
      <c r="Q483"/>
    </row>
    <row r="484" spans="1:17" ht="12.75">
      <c r="A484" s="109" t="s">
        <v>102</v>
      </c>
      <c r="B484" s="479">
        <v>1</v>
      </c>
      <c r="C484" s="479">
        <f>1-B484</f>
        <v>0</v>
      </c>
      <c r="D484" s="291">
        <f>B484+C484</f>
        <v>1</v>
      </c>
      <c r="E484" s="112"/>
      <c r="I484"/>
      <c r="J484"/>
      <c r="K484"/>
      <c r="L484"/>
      <c r="M484"/>
      <c r="N484"/>
      <c r="O484"/>
      <c r="P484"/>
      <c r="Q484"/>
    </row>
    <row r="485" spans="1:17" ht="12.75">
      <c r="A485" s="112"/>
      <c r="B485" s="286"/>
      <c r="C485" s="286"/>
      <c r="D485" s="286"/>
      <c r="E485" s="112"/>
      <c r="I485"/>
      <c r="J485"/>
      <c r="K485"/>
      <c r="L485"/>
      <c r="M485"/>
      <c r="N485"/>
      <c r="O485"/>
      <c r="P485"/>
      <c r="Q485"/>
    </row>
    <row r="486" spans="1:17" ht="12.75">
      <c r="A486" s="109" t="s">
        <v>105</v>
      </c>
      <c r="B486" s="402">
        <f>$B484*$D482</f>
        <v>0</v>
      </c>
      <c r="C486" s="402">
        <f>C484*D482</f>
        <v>0</v>
      </c>
      <c r="D486" s="402">
        <f>SUM(B486:C486)</f>
        <v>0</v>
      </c>
      <c r="E486" s="112"/>
      <c r="I486"/>
      <c r="J486"/>
      <c r="K486"/>
      <c r="L486"/>
      <c r="M486"/>
      <c r="N486"/>
      <c r="O486"/>
      <c r="P486"/>
      <c r="Q486"/>
    </row>
    <row r="487" spans="1:17" ht="12.75">
      <c r="A487" s="112"/>
      <c r="B487" s="287"/>
      <c r="C487" s="287"/>
      <c r="D487" s="287"/>
      <c r="E487" s="112"/>
      <c r="I487"/>
      <c r="J487"/>
      <c r="K487"/>
      <c r="L487"/>
      <c r="M487"/>
      <c r="N487"/>
      <c r="O487"/>
      <c r="P487"/>
      <c r="Q487"/>
    </row>
    <row r="488" spans="1:17" ht="12.75">
      <c r="A488" s="109" t="s">
        <v>151</v>
      </c>
      <c r="B488" s="293">
        <f>+B74</f>
        <v>0</v>
      </c>
      <c r="C488" s="292"/>
      <c r="D488" s="292"/>
      <c r="E488" s="112"/>
      <c r="I488"/>
      <c r="J488"/>
      <c r="K488"/>
      <c r="L488"/>
      <c r="M488"/>
      <c r="N488"/>
      <c r="O488"/>
      <c r="P488"/>
      <c r="Q488"/>
    </row>
    <row r="489" spans="1:17" ht="12.75">
      <c r="A489" s="112"/>
      <c r="B489" s="288"/>
      <c r="C489" s="287"/>
      <c r="D489" s="287"/>
      <c r="E489" s="112"/>
      <c r="I489"/>
      <c r="J489"/>
      <c r="K489"/>
      <c r="L489"/>
      <c r="M489"/>
      <c r="N489"/>
      <c r="O489"/>
      <c r="P489"/>
      <c r="Q489"/>
    </row>
    <row r="490" spans="1:17" ht="12.75">
      <c r="A490" s="109" t="s">
        <v>101</v>
      </c>
      <c r="B490" s="292"/>
      <c r="C490" s="293">
        <f>+D74</f>
        <v>0</v>
      </c>
      <c r="D490" s="292"/>
      <c r="E490" s="112"/>
      <c r="I490"/>
      <c r="J490"/>
      <c r="K490"/>
      <c r="L490"/>
      <c r="M490"/>
      <c r="N490"/>
      <c r="O490"/>
      <c r="P490"/>
      <c r="Q490"/>
    </row>
    <row r="491" spans="1:17" ht="12.75">
      <c r="A491" s="112"/>
      <c r="B491" s="287"/>
      <c r="C491" s="288"/>
      <c r="D491" s="287"/>
      <c r="E491" s="112"/>
      <c r="I491"/>
      <c r="J491"/>
      <c r="K491"/>
      <c r="L491"/>
      <c r="M491"/>
      <c r="N491"/>
      <c r="O491"/>
      <c r="P491"/>
      <c r="Q491"/>
    </row>
    <row r="492" spans="1:17" ht="12.75">
      <c r="A492" s="109" t="s">
        <v>161</v>
      </c>
      <c r="B492" s="403">
        <f>IF(ISERROR($B486/$B488),0,$B486/$B488)</f>
        <v>0</v>
      </c>
      <c r="C492" s="403"/>
      <c r="D492" s="294"/>
      <c r="E492" s="112"/>
      <c r="I492"/>
      <c r="J492"/>
      <c r="K492"/>
      <c r="L492"/>
      <c r="M492"/>
      <c r="N492"/>
      <c r="O492"/>
      <c r="P492"/>
      <c r="Q492"/>
    </row>
    <row r="493" spans="1:17" ht="12.75">
      <c r="A493" s="112"/>
      <c r="B493" s="404"/>
      <c r="C493" s="404"/>
      <c r="D493" s="289"/>
      <c r="E493" s="112"/>
      <c r="I493"/>
      <c r="J493"/>
      <c r="K493"/>
      <c r="L493"/>
      <c r="M493"/>
      <c r="N493"/>
      <c r="O493"/>
      <c r="P493"/>
      <c r="Q493"/>
    </row>
    <row r="494" spans="1:17" ht="12.75">
      <c r="A494" s="109" t="s">
        <v>160</v>
      </c>
      <c r="B494" s="405"/>
      <c r="C494" s="406">
        <f>IF(ISERROR($C486/$C490/12),0,$C486/$C490/12)</f>
        <v>0</v>
      </c>
      <c r="D494" s="295"/>
      <c r="E494" s="112"/>
      <c r="I494"/>
      <c r="J494"/>
      <c r="K494"/>
      <c r="L494"/>
      <c r="M494"/>
      <c r="N494"/>
      <c r="O494"/>
      <c r="P494"/>
      <c r="Q494"/>
    </row>
    <row r="495" spans="1:17" ht="12.75">
      <c r="A495" s="296"/>
      <c r="B495" s="297"/>
      <c r="C495" s="298"/>
      <c r="D495" s="297"/>
      <c r="E495" s="112"/>
      <c r="I495"/>
      <c r="J495"/>
      <c r="K495"/>
      <c r="L495"/>
      <c r="M495"/>
      <c r="N495"/>
      <c r="O495"/>
      <c r="P495"/>
      <c r="Q495"/>
    </row>
    <row r="496" spans="1:17" ht="12.75">
      <c r="A496" s="296"/>
      <c r="B496" s="297"/>
      <c r="C496" s="298"/>
      <c r="D496" s="297"/>
      <c r="E496" s="112"/>
      <c r="I496"/>
      <c r="J496"/>
      <c r="K496"/>
      <c r="L496"/>
      <c r="M496"/>
      <c r="N496"/>
      <c r="O496"/>
      <c r="P496"/>
      <c r="Q496"/>
    </row>
    <row r="497" spans="1:17" ht="51.75" thickBot="1">
      <c r="A497" s="132"/>
      <c r="B497" s="283" t="s">
        <v>104</v>
      </c>
      <c r="C497" s="283" t="s">
        <v>188</v>
      </c>
      <c r="D497" s="283" t="s">
        <v>103</v>
      </c>
      <c r="E497" s="112"/>
      <c r="I497"/>
      <c r="J497"/>
      <c r="K497"/>
      <c r="L497"/>
      <c r="M497"/>
      <c r="N497"/>
      <c r="O497"/>
      <c r="P497"/>
      <c r="Q497"/>
    </row>
    <row r="498" spans="1:17" ht="15">
      <c r="A498" s="481" t="s">
        <v>216</v>
      </c>
      <c r="B498" s="30"/>
      <c r="C498" s="30"/>
      <c r="E498" s="112"/>
      <c r="I498"/>
      <c r="J498"/>
      <c r="K498"/>
      <c r="L498"/>
      <c r="M498"/>
      <c r="N498"/>
      <c r="O498"/>
      <c r="P498"/>
      <c r="Q498"/>
    </row>
    <row r="499" spans="1:17" ht="12.75">
      <c r="A499" s="109" t="s">
        <v>99</v>
      </c>
      <c r="B499" s="290"/>
      <c r="C499" s="290"/>
      <c r="D499" s="407">
        <f>+G75</f>
        <v>0.40237246114876923</v>
      </c>
      <c r="E499" s="112"/>
      <c r="I499"/>
      <c r="J499"/>
      <c r="K499"/>
      <c r="L499"/>
      <c r="M499"/>
      <c r="N499"/>
      <c r="O499"/>
      <c r="P499"/>
      <c r="Q499"/>
    </row>
    <row r="500" spans="1:17" ht="12.75">
      <c r="A500" s="112"/>
      <c r="B500" s="284"/>
      <c r="C500" s="284"/>
      <c r="D500" s="285"/>
      <c r="E500" s="112"/>
      <c r="I500"/>
      <c r="J500"/>
      <c r="K500"/>
      <c r="L500"/>
      <c r="M500"/>
      <c r="N500"/>
      <c r="O500"/>
      <c r="P500"/>
      <c r="Q500"/>
    </row>
    <row r="501" spans="1:17" ht="12.75">
      <c r="A501" s="109" t="s">
        <v>102</v>
      </c>
      <c r="B501" s="479">
        <v>1</v>
      </c>
      <c r="C501" s="479">
        <f>1-B501</f>
        <v>0</v>
      </c>
      <c r="D501" s="291">
        <f>B501+C501</f>
        <v>1</v>
      </c>
      <c r="E501" s="112"/>
      <c r="I501"/>
      <c r="J501"/>
      <c r="K501"/>
      <c r="L501"/>
      <c r="M501"/>
      <c r="N501"/>
      <c r="O501"/>
      <c r="P501"/>
      <c r="Q501"/>
    </row>
    <row r="502" spans="1:17" ht="12.75">
      <c r="A502" s="112"/>
      <c r="B502" s="286"/>
      <c r="C502" s="286"/>
      <c r="D502" s="286"/>
      <c r="E502" s="112"/>
      <c r="I502"/>
      <c r="J502"/>
      <c r="K502"/>
      <c r="L502"/>
      <c r="M502"/>
      <c r="N502"/>
      <c r="O502"/>
      <c r="P502"/>
      <c r="Q502"/>
    </row>
    <row r="503" spans="1:17" ht="12.75">
      <c r="A503" s="109" t="s">
        <v>105</v>
      </c>
      <c r="B503" s="402">
        <f>$B501*$D499</f>
        <v>0.40237246114876923</v>
      </c>
      <c r="C503" s="402">
        <f>C501*D499</f>
        <v>0</v>
      </c>
      <c r="D503" s="402">
        <f>SUM(B503:C503)</f>
        <v>0.40237246114876923</v>
      </c>
      <c r="E503" s="112"/>
      <c r="I503"/>
      <c r="J503"/>
      <c r="K503"/>
      <c r="L503"/>
      <c r="M503"/>
      <c r="N503"/>
      <c r="O503"/>
      <c r="P503"/>
      <c r="Q503"/>
    </row>
    <row r="504" spans="1:17" ht="12.75">
      <c r="A504" s="112"/>
      <c r="B504" s="287"/>
      <c r="C504" s="287"/>
      <c r="D504" s="287"/>
      <c r="E504" s="112"/>
      <c r="I504"/>
      <c r="J504"/>
      <c r="K504"/>
      <c r="L504"/>
      <c r="M504"/>
      <c r="N504"/>
      <c r="O504"/>
      <c r="P504"/>
      <c r="Q504"/>
    </row>
    <row r="505" spans="1:17" ht="12.75">
      <c r="A505" s="109" t="s">
        <v>151</v>
      </c>
      <c r="B505" s="293">
        <f>+B75</f>
        <v>9</v>
      </c>
      <c r="C505" s="292"/>
      <c r="D505" s="292"/>
      <c r="E505" s="112"/>
      <c r="I505"/>
      <c r="J505"/>
      <c r="K505"/>
      <c r="L505"/>
      <c r="M505"/>
      <c r="N505"/>
      <c r="O505"/>
      <c r="P505"/>
      <c r="Q505"/>
    </row>
    <row r="506" spans="1:17" ht="12.75">
      <c r="A506" s="112"/>
      <c r="B506" s="288"/>
      <c r="C506" s="287"/>
      <c r="D506" s="287"/>
      <c r="E506" s="112"/>
      <c r="I506"/>
      <c r="J506"/>
      <c r="K506"/>
      <c r="L506"/>
      <c r="M506"/>
      <c r="N506"/>
      <c r="O506"/>
      <c r="P506"/>
      <c r="Q506"/>
    </row>
    <row r="507" spans="1:17" ht="12.75">
      <c r="A507" s="109" t="s">
        <v>101</v>
      </c>
      <c r="B507" s="292"/>
      <c r="C507" s="293">
        <f>+D75</f>
        <v>4</v>
      </c>
      <c r="D507" s="292"/>
      <c r="E507" s="112"/>
      <c r="I507"/>
      <c r="J507"/>
      <c r="K507"/>
      <c r="L507"/>
      <c r="M507"/>
      <c r="N507"/>
      <c r="O507"/>
      <c r="P507"/>
      <c r="Q507"/>
    </row>
    <row r="508" spans="1:17" ht="12.75">
      <c r="A508" s="112"/>
      <c r="B508" s="287"/>
      <c r="C508" s="288"/>
      <c r="D508" s="287"/>
      <c r="E508" s="112"/>
      <c r="I508"/>
      <c r="J508"/>
      <c r="K508"/>
      <c r="L508"/>
      <c r="M508"/>
      <c r="N508"/>
      <c r="O508"/>
      <c r="P508"/>
      <c r="Q508"/>
    </row>
    <row r="509" spans="1:17" ht="12.75">
      <c r="A509" s="109" t="s">
        <v>161</v>
      </c>
      <c r="B509" s="403">
        <f>IF(ISERROR($B503/$B505),0,$B503/$B505)</f>
        <v>0.044708051238752135</v>
      </c>
      <c r="C509" s="403"/>
      <c r="D509" s="294"/>
      <c r="E509" s="112"/>
      <c r="I509"/>
      <c r="J509"/>
      <c r="K509"/>
      <c r="L509"/>
      <c r="M509"/>
      <c r="N509"/>
      <c r="O509"/>
      <c r="P509"/>
      <c r="Q509"/>
    </row>
    <row r="510" spans="1:17" ht="12.75">
      <c r="A510" s="112"/>
      <c r="B510" s="404"/>
      <c r="C510" s="404"/>
      <c r="D510" s="289"/>
      <c r="E510" s="112"/>
      <c r="I510"/>
      <c r="J510"/>
      <c r="K510"/>
      <c r="L510"/>
      <c r="M510"/>
      <c r="N510"/>
      <c r="O510"/>
      <c r="P510"/>
      <c r="Q510"/>
    </row>
    <row r="511" spans="1:17" ht="12.75">
      <c r="A511" s="109" t="s">
        <v>160</v>
      </c>
      <c r="B511" s="405"/>
      <c r="C511" s="406">
        <f>IF(ISERROR($C503/$C507/12),0,$C503/$C507/12)</f>
        <v>0</v>
      </c>
      <c r="D511" s="295"/>
      <c r="E511" s="112"/>
      <c r="I511"/>
      <c r="J511"/>
      <c r="K511"/>
      <c r="L511"/>
      <c r="M511"/>
      <c r="N511"/>
      <c r="O511"/>
      <c r="P511"/>
      <c r="Q511"/>
    </row>
    <row r="512" spans="1:17" ht="12.75">
      <c r="A512" s="296"/>
      <c r="B512" s="297"/>
      <c r="C512" s="298"/>
      <c r="D512" s="297"/>
      <c r="E512" s="112"/>
      <c r="I512"/>
      <c r="J512"/>
      <c r="K512"/>
      <c r="L512"/>
      <c r="M512"/>
      <c r="N512"/>
      <c r="O512"/>
      <c r="P512"/>
      <c r="Q512"/>
    </row>
    <row r="513" spans="1:17" ht="12.75">
      <c r="A513" s="296"/>
      <c r="B513" s="297"/>
      <c r="C513" s="298"/>
      <c r="D513" s="297"/>
      <c r="E513" s="112"/>
      <c r="I513"/>
      <c r="J513"/>
      <c r="K513"/>
      <c r="L513"/>
      <c r="M513"/>
      <c r="N513"/>
      <c r="O513"/>
      <c r="P513"/>
      <c r="Q513"/>
    </row>
    <row r="514" spans="1:17" ht="51.75" thickBot="1">
      <c r="A514" s="132"/>
      <c r="B514" s="283" t="s">
        <v>104</v>
      </c>
      <c r="C514" s="283" t="s">
        <v>188</v>
      </c>
      <c r="D514" s="283" t="s">
        <v>103</v>
      </c>
      <c r="E514" s="112"/>
      <c r="I514"/>
      <c r="J514"/>
      <c r="K514"/>
      <c r="L514"/>
      <c r="M514"/>
      <c r="N514"/>
      <c r="O514"/>
      <c r="P514"/>
      <c r="Q514"/>
    </row>
    <row r="515" spans="1:17" ht="15">
      <c r="A515" s="481" t="s">
        <v>217</v>
      </c>
      <c r="B515" s="30"/>
      <c r="C515" s="30"/>
      <c r="E515" s="112"/>
      <c r="I515"/>
      <c r="J515"/>
      <c r="K515"/>
      <c r="L515"/>
      <c r="M515"/>
      <c r="N515"/>
      <c r="O515"/>
      <c r="P515"/>
      <c r="Q515"/>
    </row>
    <row r="516" spans="1:17" ht="12.75">
      <c r="A516" s="109" t="s">
        <v>99</v>
      </c>
      <c r="B516" s="290"/>
      <c r="C516" s="290"/>
      <c r="D516" s="407">
        <f>+G76</f>
        <v>10.44558909142205</v>
      </c>
      <c r="E516" s="112"/>
      <c r="I516"/>
      <c r="J516"/>
      <c r="K516"/>
      <c r="L516"/>
      <c r="M516"/>
      <c r="N516"/>
      <c r="O516"/>
      <c r="P516"/>
      <c r="Q516"/>
    </row>
    <row r="517" spans="1:17" ht="12.75">
      <c r="A517" s="112"/>
      <c r="B517" s="284"/>
      <c r="C517" s="284"/>
      <c r="D517" s="285"/>
      <c r="E517" s="112"/>
      <c r="I517"/>
      <c r="J517"/>
      <c r="K517"/>
      <c r="L517"/>
      <c r="M517"/>
      <c r="N517"/>
      <c r="O517"/>
      <c r="P517"/>
      <c r="Q517"/>
    </row>
    <row r="518" spans="1:17" ht="12.75">
      <c r="A518" s="109" t="s">
        <v>102</v>
      </c>
      <c r="B518" s="479">
        <v>1</v>
      </c>
      <c r="C518" s="479">
        <f>1-B518</f>
        <v>0</v>
      </c>
      <c r="D518" s="291">
        <f>B518+C518</f>
        <v>1</v>
      </c>
      <c r="E518" s="112"/>
      <c r="I518"/>
      <c r="J518"/>
      <c r="K518"/>
      <c r="L518"/>
      <c r="M518"/>
      <c r="N518"/>
      <c r="O518"/>
      <c r="P518"/>
      <c r="Q518"/>
    </row>
    <row r="519" spans="1:17" ht="12.75">
      <c r="A519" s="112"/>
      <c r="B519" s="286"/>
      <c r="C519" s="286"/>
      <c r="D519" s="286"/>
      <c r="E519" s="112"/>
      <c r="I519"/>
      <c r="J519"/>
      <c r="K519"/>
      <c r="L519"/>
      <c r="M519"/>
      <c r="N519"/>
      <c r="O519"/>
      <c r="P519"/>
      <c r="Q519"/>
    </row>
    <row r="520" spans="1:17" ht="12.75">
      <c r="A520" s="109" t="s">
        <v>105</v>
      </c>
      <c r="B520" s="402">
        <f>$B518*$D516</f>
        <v>10.44558909142205</v>
      </c>
      <c r="C520" s="402">
        <f>C518*D516</f>
        <v>0</v>
      </c>
      <c r="D520" s="402">
        <f>SUM(B520:C520)</f>
        <v>10.44558909142205</v>
      </c>
      <c r="E520" s="112"/>
      <c r="I520"/>
      <c r="J520"/>
      <c r="K520"/>
      <c r="L520"/>
      <c r="M520"/>
      <c r="N520"/>
      <c r="O520"/>
      <c r="P520"/>
      <c r="Q520"/>
    </row>
    <row r="521" spans="1:17" ht="12.75">
      <c r="A521" s="112"/>
      <c r="B521" s="287"/>
      <c r="C521" s="287"/>
      <c r="D521" s="287"/>
      <c r="E521" s="112"/>
      <c r="I521"/>
      <c r="J521"/>
      <c r="K521"/>
      <c r="L521"/>
      <c r="M521"/>
      <c r="N521"/>
      <c r="O521"/>
      <c r="P521"/>
      <c r="Q521"/>
    </row>
    <row r="522" spans="1:17" ht="12.75">
      <c r="A522" s="109" t="s">
        <v>151</v>
      </c>
      <c r="B522" s="293">
        <f>+B76</f>
        <v>62</v>
      </c>
      <c r="C522" s="292"/>
      <c r="D522" s="292"/>
      <c r="E522" s="112"/>
      <c r="I522"/>
      <c r="J522"/>
      <c r="K522"/>
      <c r="L522"/>
      <c r="M522"/>
      <c r="N522"/>
      <c r="O522"/>
      <c r="P522"/>
      <c r="Q522"/>
    </row>
    <row r="523" spans="1:17" ht="12.75">
      <c r="A523" s="112"/>
      <c r="B523" s="288"/>
      <c r="C523" s="287"/>
      <c r="D523" s="287"/>
      <c r="E523" s="112"/>
      <c r="I523"/>
      <c r="J523"/>
      <c r="K523"/>
      <c r="L523"/>
      <c r="M523"/>
      <c r="N523"/>
      <c r="O523"/>
      <c r="P523"/>
      <c r="Q523"/>
    </row>
    <row r="524" spans="1:17" ht="12.75">
      <c r="A524" s="109" t="s">
        <v>101</v>
      </c>
      <c r="B524" s="292"/>
      <c r="C524" s="293">
        <f>+D76</f>
        <v>20</v>
      </c>
      <c r="D524" s="292"/>
      <c r="E524" s="112"/>
      <c r="I524"/>
      <c r="J524"/>
      <c r="K524"/>
      <c r="L524"/>
      <c r="M524"/>
      <c r="N524"/>
      <c r="O524"/>
      <c r="P524"/>
      <c r="Q524"/>
    </row>
    <row r="525" spans="1:17" ht="12.75">
      <c r="A525" s="112"/>
      <c r="B525" s="287"/>
      <c r="C525" s="288"/>
      <c r="D525" s="287"/>
      <c r="E525" s="112"/>
      <c r="I525"/>
      <c r="J525"/>
      <c r="K525"/>
      <c r="L525"/>
      <c r="M525"/>
      <c r="N525"/>
      <c r="O525"/>
      <c r="P525"/>
      <c r="Q525"/>
    </row>
    <row r="526" spans="1:17" ht="12.75">
      <c r="A526" s="109" t="s">
        <v>161</v>
      </c>
      <c r="B526" s="403">
        <f>IF(ISERROR($B520/$B522),0,$B520/$B522)</f>
        <v>0.16847724341003306</v>
      </c>
      <c r="C526" s="403"/>
      <c r="D526" s="294"/>
      <c r="E526" s="112"/>
      <c r="I526"/>
      <c r="J526"/>
      <c r="K526"/>
      <c r="L526"/>
      <c r="M526"/>
      <c r="N526"/>
      <c r="O526"/>
      <c r="P526"/>
      <c r="Q526"/>
    </row>
    <row r="527" spans="1:17" ht="12.75">
      <c r="A527" s="112"/>
      <c r="B527" s="404"/>
      <c r="C527" s="404"/>
      <c r="D527" s="289"/>
      <c r="E527" s="112"/>
      <c r="I527"/>
      <c r="J527"/>
      <c r="K527"/>
      <c r="L527"/>
      <c r="M527"/>
      <c r="N527"/>
      <c r="O527"/>
      <c r="P527"/>
      <c r="Q527"/>
    </row>
    <row r="528" spans="1:17" ht="12.75">
      <c r="A528" s="109" t="s">
        <v>160</v>
      </c>
      <c r="B528" s="405"/>
      <c r="C528" s="406">
        <f>IF(ISERROR($C520/$C524/12),0,$C520/$C524/12)</f>
        <v>0</v>
      </c>
      <c r="D528" s="295"/>
      <c r="E528" s="112"/>
      <c r="I528"/>
      <c r="J528"/>
      <c r="K528"/>
      <c r="L528"/>
      <c r="M528"/>
      <c r="N528"/>
      <c r="O528"/>
      <c r="P528"/>
      <c r="Q528"/>
    </row>
    <row r="529" spans="1:17" ht="12.75">
      <c r="A529" s="296"/>
      <c r="B529" s="297"/>
      <c r="C529" s="298"/>
      <c r="D529" s="297"/>
      <c r="E529" s="112"/>
      <c r="I529"/>
      <c r="J529"/>
      <c r="K529"/>
      <c r="L529"/>
      <c r="M529"/>
      <c r="N529"/>
      <c r="O529"/>
      <c r="P529"/>
      <c r="Q529"/>
    </row>
    <row r="530" spans="1:17" ht="12.75">
      <c r="A530" s="296"/>
      <c r="B530" s="297"/>
      <c r="C530" s="298"/>
      <c r="D530" s="297"/>
      <c r="E530" s="112"/>
      <c r="I530"/>
      <c r="J530"/>
      <c r="K530"/>
      <c r="L530"/>
      <c r="M530"/>
      <c r="N530"/>
      <c r="O530"/>
      <c r="P530"/>
      <c r="Q530"/>
    </row>
    <row r="531" spans="1:17" ht="51.75" thickBot="1">
      <c r="A531" s="132"/>
      <c r="B531" s="283" t="s">
        <v>104</v>
      </c>
      <c r="C531" s="283" t="s">
        <v>188</v>
      </c>
      <c r="D531" s="283" t="s">
        <v>103</v>
      </c>
      <c r="E531" s="112"/>
      <c r="I531"/>
      <c r="J531"/>
      <c r="K531"/>
      <c r="L531"/>
      <c r="M531"/>
      <c r="N531"/>
      <c r="O531"/>
      <c r="P531"/>
      <c r="Q531"/>
    </row>
    <row r="532" spans="1:17" ht="15">
      <c r="A532" s="481" t="s">
        <v>218</v>
      </c>
      <c r="B532" s="30"/>
      <c r="C532" s="30"/>
      <c r="E532" s="112"/>
      <c r="I532"/>
      <c r="J532"/>
      <c r="K532"/>
      <c r="L532"/>
      <c r="M532"/>
      <c r="N532"/>
      <c r="O532"/>
      <c r="P532"/>
      <c r="Q532"/>
    </row>
    <row r="533" spans="1:17" ht="12.75">
      <c r="A533" s="109" t="s">
        <v>99</v>
      </c>
      <c r="B533" s="290"/>
      <c r="C533" s="290"/>
      <c r="D533" s="407">
        <f>+G77</f>
        <v>15.097014742301821</v>
      </c>
      <c r="E533" s="112"/>
      <c r="I533"/>
      <c r="J533"/>
      <c r="K533"/>
      <c r="L533"/>
      <c r="M533"/>
      <c r="N533"/>
      <c r="O533"/>
      <c r="P533"/>
      <c r="Q533"/>
    </row>
    <row r="534" spans="1:17" ht="12.75">
      <c r="A534" s="112"/>
      <c r="B534" s="284"/>
      <c r="C534" s="284"/>
      <c r="D534" s="285"/>
      <c r="E534" s="112"/>
      <c r="I534"/>
      <c r="J534"/>
      <c r="K534"/>
      <c r="L534"/>
      <c r="M534"/>
      <c r="N534"/>
      <c r="O534"/>
      <c r="P534"/>
      <c r="Q534"/>
    </row>
    <row r="535" spans="1:17" ht="12.75">
      <c r="A535" s="109" t="s">
        <v>102</v>
      </c>
      <c r="B535" s="479">
        <v>1</v>
      </c>
      <c r="C535" s="479">
        <f>1-B535</f>
        <v>0</v>
      </c>
      <c r="D535" s="291">
        <f>B535+C535</f>
        <v>1</v>
      </c>
      <c r="E535" s="112"/>
      <c r="I535"/>
      <c r="J535"/>
      <c r="K535"/>
      <c r="L535"/>
      <c r="M535"/>
      <c r="N535"/>
      <c r="O535"/>
      <c r="P535"/>
      <c r="Q535"/>
    </row>
    <row r="536" spans="1:17" ht="12.75">
      <c r="A536" s="112"/>
      <c r="B536" s="286"/>
      <c r="C536" s="286"/>
      <c r="D536" s="286"/>
      <c r="E536" s="112"/>
      <c r="I536"/>
      <c r="J536"/>
      <c r="K536"/>
      <c r="L536"/>
      <c r="M536"/>
      <c r="N536"/>
      <c r="O536"/>
      <c r="P536"/>
      <c r="Q536"/>
    </row>
    <row r="537" spans="1:17" ht="12.75">
      <c r="A537" s="109" t="s">
        <v>105</v>
      </c>
      <c r="B537" s="402">
        <f>$B535*$D533</f>
        <v>15.097014742301821</v>
      </c>
      <c r="C537" s="402">
        <f>C535*D533</f>
        <v>0</v>
      </c>
      <c r="D537" s="402">
        <f>SUM(B537:C537)</f>
        <v>15.097014742301821</v>
      </c>
      <c r="E537" s="112"/>
      <c r="I537"/>
      <c r="J537"/>
      <c r="K537"/>
      <c r="L537"/>
      <c r="M537"/>
      <c r="N537"/>
      <c r="O537"/>
      <c r="P537"/>
      <c r="Q537"/>
    </row>
    <row r="538" spans="1:17" ht="12.75">
      <c r="A538" s="112"/>
      <c r="B538" s="287"/>
      <c r="C538" s="287"/>
      <c r="D538" s="287"/>
      <c r="E538" s="112"/>
      <c r="I538"/>
      <c r="J538"/>
      <c r="K538"/>
      <c r="L538"/>
      <c r="M538"/>
      <c r="N538"/>
      <c r="O538"/>
      <c r="P538"/>
      <c r="Q538"/>
    </row>
    <row r="539" spans="1:17" ht="12.75">
      <c r="A539" s="109" t="s">
        <v>151</v>
      </c>
      <c r="B539" s="293">
        <f>+B77</f>
        <v>59</v>
      </c>
      <c r="C539" s="292"/>
      <c r="D539" s="292"/>
      <c r="E539" s="112"/>
      <c r="I539"/>
      <c r="J539"/>
      <c r="K539"/>
      <c r="L539"/>
      <c r="M539"/>
      <c r="N539"/>
      <c r="O539"/>
      <c r="P539"/>
      <c r="Q539"/>
    </row>
    <row r="540" spans="1:17" ht="12.75">
      <c r="A540" s="112"/>
      <c r="B540" s="288"/>
      <c r="C540" s="287"/>
      <c r="D540" s="287"/>
      <c r="E540" s="112"/>
      <c r="I540"/>
      <c r="J540"/>
      <c r="K540"/>
      <c r="L540"/>
      <c r="M540"/>
      <c r="N540"/>
      <c r="O540"/>
      <c r="P540"/>
      <c r="Q540"/>
    </row>
    <row r="541" spans="1:17" ht="12.75">
      <c r="A541" s="109" t="s">
        <v>101</v>
      </c>
      <c r="B541" s="292"/>
      <c r="C541" s="293">
        <f>+D77</f>
        <v>16</v>
      </c>
      <c r="D541" s="292"/>
      <c r="E541" s="112"/>
      <c r="I541"/>
      <c r="J541"/>
      <c r="K541"/>
      <c r="L541"/>
      <c r="M541"/>
      <c r="N541"/>
      <c r="O541"/>
      <c r="P541"/>
      <c r="Q541"/>
    </row>
    <row r="542" spans="1:17" ht="12.75">
      <c r="A542" s="112"/>
      <c r="B542" s="287"/>
      <c r="C542" s="288"/>
      <c r="D542" s="287"/>
      <c r="E542" s="112"/>
      <c r="I542"/>
      <c r="J542"/>
      <c r="K542"/>
      <c r="L542"/>
      <c r="M542"/>
      <c r="N542"/>
      <c r="O542"/>
      <c r="P542"/>
      <c r="Q542"/>
    </row>
    <row r="543" spans="1:17" ht="12.75">
      <c r="A543" s="109" t="s">
        <v>161</v>
      </c>
      <c r="B543" s="403">
        <f>IF(ISERROR($B537/$B539),0,$B537/$B539)</f>
        <v>0.2558816058017258</v>
      </c>
      <c r="C543" s="403"/>
      <c r="D543" s="294"/>
      <c r="E543" s="112"/>
      <c r="I543"/>
      <c r="J543"/>
      <c r="K543"/>
      <c r="L543"/>
      <c r="M543"/>
      <c r="N543"/>
      <c r="O543"/>
      <c r="P543"/>
      <c r="Q543"/>
    </row>
    <row r="544" spans="1:17" ht="12.75">
      <c r="A544" s="112"/>
      <c r="B544" s="404"/>
      <c r="C544" s="404"/>
      <c r="D544" s="289"/>
      <c r="E544" s="112"/>
      <c r="I544"/>
      <c r="J544"/>
      <c r="K544"/>
      <c r="L544"/>
      <c r="M544"/>
      <c r="N544"/>
      <c r="O544"/>
      <c r="P544"/>
      <c r="Q544"/>
    </row>
    <row r="545" spans="1:17" ht="12.75">
      <c r="A545" s="109" t="s">
        <v>160</v>
      </c>
      <c r="B545" s="405"/>
      <c r="C545" s="406">
        <f>IF(ISERROR($C537/$C541/12),0,$C537/$C541/12)</f>
        <v>0</v>
      </c>
      <c r="D545" s="295"/>
      <c r="E545" s="112"/>
      <c r="I545"/>
      <c r="J545"/>
      <c r="K545"/>
      <c r="L545"/>
      <c r="M545"/>
      <c r="N545"/>
      <c r="O545"/>
      <c r="P545"/>
      <c r="Q545"/>
    </row>
    <row r="546" spans="1:17" ht="12.75">
      <c r="A546" s="296"/>
      <c r="B546" s="297"/>
      <c r="C546" s="298"/>
      <c r="D546" s="297"/>
      <c r="E546" s="112"/>
      <c r="I546"/>
      <c r="J546"/>
      <c r="K546"/>
      <c r="L546"/>
      <c r="M546"/>
      <c r="N546"/>
      <c r="O546"/>
      <c r="P546"/>
      <c r="Q546"/>
    </row>
    <row r="547" spans="1:17" ht="12.75">
      <c r="A547" s="296"/>
      <c r="B547" s="297"/>
      <c r="C547" s="298"/>
      <c r="D547" s="297"/>
      <c r="E547" s="112"/>
      <c r="I547"/>
      <c r="J547"/>
      <c r="K547"/>
      <c r="L547"/>
      <c r="M547"/>
      <c r="N547"/>
      <c r="O547"/>
      <c r="P547"/>
      <c r="Q547"/>
    </row>
    <row r="548" spans="1:17" ht="51.75" thickBot="1">
      <c r="A548" s="132"/>
      <c r="B548" s="283" t="s">
        <v>104</v>
      </c>
      <c r="C548" s="283" t="s">
        <v>188</v>
      </c>
      <c r="D548" s="283" t="s">
        <v>103</v>
      </c>
      <c r="E548" s="112"/>
      <c r="I548"/>
      <c r="J548"/>
      <c r="K548"/>
      <c r="L548"/>
      <c r="M548"/>
      <c r="N548"/>
      <c r="O548"/>
      <c r="P548"/>
      <c r="Q548"/>
    </row>
    <row r="549" spans="1:17" ht="15">
      <c r="A549" s="481" t="s">
        <v>219</v>
      </c>
      <c r="B549" s="30"/>
      <c r="C549" s="30"/>
      <c r="E549" s="112"/>
      <c r="I549"/>
      <c r="J549"/>
      <c r="K549"/>
      <c r="L549"/>
      <c r="M549"/>
      <c r="N549"/>
      <c r="O549"/>
      <c r="P549"/>
      <c r="Q549"/>
    </row>
    <row r="550" spans="1:17" ht="12.75">
      <c r="A550" s="109" t="s">
        <v>99</v>
      </c>
      <c r="B550" s="290"/>
      <c r="C550" s="290"/>
      <c r="D550" s="407">
        <f>+G78</f>
        <v>27.699320225481273</v>
      </c>
      <c r="E550" s="112"/>
      <c r="I550"/>
      <c r="J550"/>
      <c r="K550"/>
      <c r="L550"/>
      <c r="M550"/>
      <c r="N550"/>
      <c r="O550"/>
      <c r="P550"/>
      <c r="Q550"/>
    </row>
    <row r="551" spans="1:17" ht="12.75">
      <c r="A551" s="112"/>
      <c r="B551" s="284"/>
      <c r="C551" s="284"/>
      <c r="D551" s="285"/>
      <c r="E551" s="112"/>
      <c r="I551"/>
      <c r="J551"/>
      <c r="K551"/>
      <c r="L551"/>
      <c r="M551"/>
      <c r="N551"/>
      <c r="O551"/>
      <c r="P551"/>
      <c r="Q551"/>
    </row>
    <row r="552" spans="1:17" ht="12.75">
      <c r="A552" s="109" t="s">
        <v>102</v>
      </c>
      <c r="B552" s="479">
        <v>1</v>
      </c>
      <c r="C552" s="479">
        <f>1-B552</f>
        <v>0</v>
      </c>
      <c r="D552" s="291">
        <f>B552+C552</f>
        <v>1</v>
      </c>
      <c r="E552" s="112"/>
      <c r="I552"/>
      <c r="J552"/>
      <c r="K552"/>
      <c r="L552"/>
      <c r="M552"/>
      <c r="N552"/>
      <c r="O552"/>
      <c r="P552"/>
      <c r="Q552"/>
    </row>
    <row r="553" spans="1:17" ht="12.75">
      <c r="A553" s="112"/>
      <c r="B553" s="286"/>
      <c r="C553" s="286"/>
      <c r="D553" s="286"/>
      <c r="E553" s="112"/>
      <c r="I553"/>
      <c r="J553"/>
      <c r="K553"/>
      <c r="L553"/>
      <c r="M553"/>
      <c r="N553"/>
      <c r="O553"/>
      <c r="P553"/>
      <c r="Q553"/>
    </row>
    <row r="554" spans="1:17" ht="12.75">
      <c r="A554" s="109" t="s">
        <v>105</v>
      </c>
      <c r="B554" s="402">
        <f>$B552*$D550</f>
        <v>27.699320225481273</v>
      </c>
      <c r="C554" s="402">
        <f>C552*D550</f>
        <v>0</v>
      </c>
      <c r="D554" s="402">
        <f>SUM(B554:C554)</f>
        <v>27.699320225481273</v>
      </c>
      <c r="E554" s="112"/>
      <c r="I554"/>
      <c r="J554"/>
      <c r="K554"/>
      <c r="L554"/>
      <c r="M554"/>
      <c r="N554"/>
      <c r="O554"/>
      <c r="P554"/>
      <c r="Q554"/>
    </row>
    <row r="555" spans="1:17" ht="12.75">
      <c r="A555" s="112"/>
      <c r="B555" s="287"/>
      <c r="C555" s="287"/>
      <c r="D555" s="287"/>
      <c r="E555" s="112"/>
      <c r="I555"/>
      <c r="J555"/>
      <c r="K555"/>
      <c r="L555"/>
      <c r="M555"/>
      <c r="N555"/>
      <c r="O555"/>
      <c r="P555"/>
      <c r="Q555"/>
    </row>
    <row r="556" spans="1:17" ht="12.75">
      <c r="A556" s="109" t="s">
        <v>151</v>
      </c>
      <c r="B556" s="293">
        <f>+B78</f>
        <v>141</v>
      </c>
      <c r="C556" s="292"/>
      <c r="D556" s="292"/>
      <c r="E556" s="112"/>
      <c r="I556"/>
      <c r="J556"/>
      <c r="K556"/>
      <c r="L556"/>
      <c r="M556"/>
      <c r="N556"/>
      <c r="O556"/>
      <c r="P556"/>
      <c r="Q556"/>
    </row>
    <row r="557" spans="1:17" ht="12.75">
      <c r="A557" s="112"/>
      <c r="B557" s="288"/>
      <c r="C557" s="287"/>
      <c r="D557" s="287"/>
      <c r="E557" s="112"/>
      <c r="I557"/>
      <c r="J557"/>
      <c r="K557"/>
      <c r="L557"/>
      <c r="M557"/>
      <c r="N557"/>
      <c r="O557"/>
      <c r="P557"/>
      <c r="Q557"/>
    </row>
    <row r="558" spans="1:17" ht="12.75">
      <c r="A558" s="109" t="s">
        <v>101</v>
      </c>
      <c r="B558" s="292"/>
      <c r="C558" s="293">
        <f>+D78</f>
        <v>32</v>
      </c>
      <c r="D558" s="292"/>
      <c r="E558" s="112"/>
      <c r="I558"/>
      <c r="J558"/>
      <c r="K558"/>
      <c r="L558"/>
      <c r="M558"/>
      <c r="N558"/>
      <c r="O558"/>
      <c r="P558"/>
      <c r="Q558"/>
    </row>
    <row r="559" spans="1:17" ht="12.75">
      <c r="A559" s="112"/>
      <c r="B559" s="287"/>
      <c r="C559" s="288"/>
      <c r="D559" s="287"/>
      <c r="E559" s="112"/>
      <c r="I559"/>
      <c r="J559"/>
      <c r="K559"/>
      <c r="L559"/>
      <c r="M559"/>
      <c r="N559"/>
      <c r="O559"/>
      <c r="P559"/>
      <c r="Q559"/>
    </row>
    <row r="560" spans="1:17" ht="12.75">
      <c r="A560" s="109" t="s">
        <v>161</v>
      </c>
      <c r="B560" s="403">
        <f>IF(ISERROR($B554/$B556),0,$B554/$B556)</f>
        <v>0.19644907961334235</v>
      </c>
      <c r="C560" s="403"/>
      <c r="D560" s="294"/>
      <c r="E560" s="112"/>
      <c r="I560"/>
      <c r="J560"/>
      <c r="K560"/>
      <c r="L560"/>
      <c r="M560"/>
      <c r="N560"/>
      <c r="O560"/>
      <c r="P560"/>
      <c r="Q560"/>
    </row>
    <row r="561" spans="1:17" ht="12.75">
      <c r="A561" s="112"/>
      <c r="B561" s="404"/>
      <c r="C561" s="404"/>
      <c r="D561" s="289"/>
      <c r="E561" s="112"/>
      <c r="I561"/>
      <c r="J561"/>
      <c r="K561"/>
      <c r="L561"/>
      <c r="M561"/>
      <c r="N561"/>
      <c r="O561"/>
      <c r="P561"/>
      <c r="Q561"/>
    </row>
    <row r="562" spans="1:17" ht="12.75">
      <c r="A562" s="109" t="s">
        <v>160</v>
      </c>
      <c r="B562" s="405"/>
      <c r="C562" s="406">
        <f>IF(ISERROR($C554/$C558/12),0,$C554/$C558/12)</f>
        <v>0</v>
      </c>
      <c r="D562" s="295"/>
      <c r="E562" s="112"/>
      <c r="I562"/>
      <c r="J562"/>
      <c r="K562"/>
      <c r="L562"/>
      <c r="M562"/>
      <c r="N562"/>
      <c r="O562"/>
      <c r="P562"/>
      <c r="Q562"/>
    </row>
    <row r="563" spans="1:17" ht="12.75">
      <c r="A563" s="296"/>
      <c r="B563" s="297"/>
      <c r="C563" s="298"/>
      <c r="D563" s="297"/>
      <c r="E563" s="112"/>
      <c r="I563"/>
      <c r="J563"/>
      <c r="K563"/>
      <c r="L563"/>
      <c r="M563"/>
      <c r="N563"/>
      <c r="O563"/>
      <c r="P563"/>
      <c r="Q563"/>
    </row>
    <row r="564" spans="1:17" ht="12.75">
      <c r="A564" s="296"/>
      <c r="B564" s="297"/>
      <c r="C564" s="298"/>
      <c r="D564" s="297"/>
      <c r="E564" s="112"/>
      <c r="I564"/>
      <c r="J564"/>
      <c r="K564"/>
      <c r="L564"/>
      <c r="M564"/>
      <c r="N564"/>
      <c r="O564"/>
      <c r="P564"/>
      <c r="Q564"/>
    </row>
    <row r="565" spans="1:17" ht="51.75" thickBot="1">
      <c r="A565" s="132"/>
      <c r="B565" s="283" t="s">
        <v>104</v>
      </c>
      <c r="C565" s="283" t="s">
        <v>188</v>
      </c>
      <c r="D565" s="283" t="s">
        <v>103</v>
      </c>
      <c r="E565" s="112"/>
      <c r="I565"/>
      <c r="J565"/>
      <c r="K565"/>
      <c r="L565"/>
      <c r="M565"/>
      <c r="N565"/>
      <c r="O565"/>
      <c r="P565"/>
      <c r="Q565"/>
    </row>
    <row r="566" spans="1:17" ht="15">
      <c r="A566" s="481" t="s">
        <v>220</v>
      </c>
      <c r="B566" s="30"/>
      <c r="C566" s="30"/>
      <c r="E566" s="112"/>
      <c r="I566"/>
      <c r="J566"/>
      <c r="K566"/>
      <c r="L566"/>
      <c r="M566"/>
      <c r="N566"/>
      <c r="O566"/>
      <c r="P566"/>
      <c r="Q566"/>
    </row>
    <row r="567" spans="1:17" ht="12.75">
      <c r="A567" s="109" t="s">
        <v>99</v>
      </c>
      <c r="B567" s="290"/>
      <c r="C567" s="290"/>
      <c r="D567" s="407">
        <f>+G79</f>
        <v>78.83281258826688</v>
      </c>
      <c r="E567" s="112"/>
      <c r="I567"/>
      <c r="J567"/>
      <c r="K567"/>
      <c r="L567"/>
      <c r="M567"/>
      <c r="N567"/>
      <c r="O567"/>
      <c r="P567"/>
      <c r="Q567"/>
    </row>
    <row r="568" spans="1:17" ht="12.75">
      <c r="A568" s="112"/>
      <c r="B568" s="284"/>
      <c r="C568" s="284"/>
      <c r="D568" s="285"/>
      <c r="E568" s="112"/>
      <c r="I568"/>
      <c r="J568"/>
      <c r="K568"/>
      <c r="L568"/>
      <c r="M568"/>
      <c r="N568"/>
      <c r="O568"/>
      <c r="P568"/>
      <c r="Q568"/>
    </row>
    <row r="569" spans="1:17" ht="12.75">
      <c r="A569" s="109" t="s">
        <v>102</v>
      </c>
      <c r="B569" s="479">
        <v>1</v>
      </c>
      <c r="C569" s="479">
        <f>1-B569</f>
        <v>0</v>
      </c>
      <c r="D569" s="291">
        <f>B569+C569</f>
        <v>1</v>
      </c>
      <c r="E569" s="112"/>
      <c r="I569"/>
      <c r="J569"/>
      <c r="K569"/>
      <c r="L569"/>
      <c r="M569"/>
      <c r="N569"/>
      <c r="O569"/>
      <c r="P569"/>
      <c r="Q569"/>
    </row>
    <row r="570" spans="1:17" ht="12.75">
      <c r="A570" s="112"/>
      <c r="B570" s="286"/>
      <c r="C570" s="286"/>
      <c r="D570" s="286"/>
      <c r="E570" s="112"/>
      <c r="I570"/>
      <c r="J570"/>
      <c r="K570"/>
      <c r="L570"/>
      <c r="M570"/>
      <c r="N570"/>
      <c r="O570"/>
      <c r="P570"/>
      <c r="Q570"/>
    </row>
    <row r="571" spans="1:17" ht="12.75">
      <c r="A571" s="109" t="s">
        <v>105</v>
      </c>
      <c r="B571" s="402">
        <f>$B569*$D567</f>
        <v>78.83281258826688</v>
      </c>
      <c r="C571" s="402">
        <f>C569*D567</f>
        <v>0</v>
      </c>
      <c r="D571" s="402">
        <f>SUM(B571:C571)</f>
        <v>78.83281258826688</v>
      </c>
      <c r="E571" s="112"/>
      <c r="I571"/>
      <c r="J571"/>
      <c r="K571"/>
      <c r="L571"/>
      <c r="M571"/>
      <c r="N571"/>
      <c r="O571"/>
      <c r="P571"/>
      <c r="Q571"/>
    </row>
    <row r="572" spans="1:17" ht="12.75">
      <c r="A572" s="112"/>
      <c r="B572" s="287"/>
      <c r="C572" s="287"/>
      <c r="D572" s="287"/>
      <c r="E572" s="112"/>
      <c r="I572"/>
      <c r="J572"/>
      <c r="K572"/>
      <c r="L572"/>
      <c r="M572"/>
      <c r="N572"/>
      <c r="O572"/>
      <c r="P572"/>
      <c r="Q572"/>
    </row>
    <row r="573" spans="1:17" ht="12.75">
      <c r="A573" s="109" t="s">
        <v>151</v>
      </c>
      <c r="B573" s="293">
        <f>+B79</f>
        <v>302</v>
      </c>
      <c r="C573" s="292"/>
      <c r="D573" s="292"/>
      <c r="E573" s="112"/>
      <c r="I573"/>
      <c r="J573"/>
      <c r="K573"/>
      <c r="L573"/>
      <c r="M573"/>
      <c r="N573"/>
      <c r="O573"/>
      <c r="P573"/>
      <c r="Q573"/>
    </row>
    <row r="574" spans="1:17" ht="12.75">
      <c r="A574" s="112"/>
      <c r="B574" s="288"/>
      <c r="C574" s="287"/>
      <c r="D574" s="287"/>
      <c r="E574" s="112"/>
      <c r="I574"/>
      <c r="J574"/>
      <c r="K574"/>
      <c r="L574"/>
      <c r="M574"/>
      <c r="N574"/>
      <c r="O574"/>
      <c r="P574"/>
      <c r="Q574"/>
    </row>
    <row r="575" spans="1:17" ht="12.75">
      <c r="A575" s="109" t="s">
        <v>101</v>
      </c>
      <c r="B575" s="292"/>
      <c r="C575" s="293">
        <f>+D79</f>
        <v>102</v>
      </c>
      <c r="D575" s="292"/>
      <c r="E575" s="112"/>
      <c r="I575"/>
      <c r="J575"/>
      <c r="K575"/>
      <c r="L575"/>
      <c r="M575"/>
      <c r="N575"/>
      <c r="O575"/>
      <c r="P575"/>
      <c r="Q575"/>
    </row>
    <row r="576" spans="1:17" ht="12.75">
      <c r="A576" s="112"/>
      <c r="B576" s="287"/>
      <c r="C576" s="288"/>
      <c r="D576" s="287"/>
      <c r="E576" s="112"/>
      <c r="I576"/>
      <c r="J576"/>
      <c r="K576"/>
      <c r="L576"/>
      <c r="M576"/>
      <c r="N576"/>
      <c r="O576"/>
      <c r="P576"/>
      <c r="Q576"/>
    </row>
    <row r="577" spans="1:17" ht="12.75">
      <c r="A577" s="109" t="s">
        <v>161</v>
      </c>
      <c r="B577" s="403">
        <f>IF(ISERROR($B571/$B573),0,$B571/$B573)</f>
        <v>0.2610358032724069</v>
      </c>
      <c r="C577" s="403"/>
      <c r="D577" s="294"/>
      <c r="E577" s="112"/>
      <c r="I577"/>
      <c r="J577"/>
      <c r="K577"/>
      <c r="L577"/>
      <c r="M577"/>
      <c r="N577"/>
      <c r="O577"/>
      <c r="P577"/>
      <c r="Q577"/>
    </row>
    <row r="578" spans="1:17" ht="12.75">
      <c r="A578" s="112"/>
      <c r="B578" s="404"/>
      <c r="C578" s="404"/>
      <c r="D578" s="289"/>
      <c r="E578" s="112"/>
      <c r="I578"/>
      <c r="J578"/>
      <c r="K578"/>
      <c r="L578"/>
      <c r="M578"/>
      <c r="N578"/>
      <c r="O578"/>
      <c r="P578"/>
      <c r="Q578"/>
    </row>
    <row r="579" spans="1:17" ht="12.75">
      <c r="A579" s="109" t="s">
        <v>160</v>
      </c>
      <c r="B579" s="405"/>
      <c r="C579" s="406">
        <f>IF(ISERROR($C571/$C575/12),0,$C571/$C575/12)</f>
        <v>0</v>
      </c>
      <c r="D579" s="295"/>
      <c r="E579" s="112"/>
      <c r="I579"/>
      <c r="J579"/>
      <c r="K579"/>
      <c r="L579"/>
      <c r="M579"/>
      <c r="N579"/>
      <c r="O579"/>
      <c r="P579"/>
      <c r="Q579"/>
    </row>
    <row r="580" spans="1:17" ht="12.75">
      <c r="A580" s="296"/>
      <c r="B580" s="297"/>
      <c r="C580" s="298"/>
      <c r="D580" s="297"/>
      <c r="E580" s="112"/>
      <c r="I580"/>
      <c r="J580"/>
      <c r="K580"/>
      <c r="L580"/>
      <c r="M580"/>
      <c r="N580"/>
      <c r="O580"/>
      <c r="P580"/>
      <c r="Q580"/>
    </row>
    <row r="581" spans="1:17" ht="12.75">
      <c r="A581" s="296"/>
      <c r="B581" s="297"/>
      <c r="C581" s="298"/>
      <c r="D581" s="297"/>
      <c r="E581" s="112"/>
      <c r="I581"/>
      <c r="J581"/>
      <c r="K581"/>
      <c r="L581"/>
      <c r="M581"/>
      <c r="N581"/>
      <c r="O581"/>
      <c r="P581"/>
      <c r="Q581"/>
    </row>
    <row r="582" spans="1:17" ht="51.75" thickBot="1">
      <c r="A582" s="132"/>
      <c r="B582" s="283" t="s">
        <v>104</v>
      </c>
      <c r="C582" s="283" t="s">
        <v>188</v>
      </c>
      <c r="D582" s="283" t="s">
        <v>103</v>
      </c>
      <c r="E582" s="112"/>
      <c r="I582"/>
      <c r="J582"/>
      <c r="K582"/>
      <c r="L582"/>
      <c r="M582"/>
      <c r="N582"/>
      <c r="O582"/>
      <c r="P582"/>
      <c r="Q582"/>
    </row>
    <row r="583" spans="1:17" ht="15">
      <c r="A583" s="481" t="s">
        <v>221</v>
      </c>
      <c r="B583" s="30"/>
      <c r="C583" s="30"/>
      <c r="E583" s="112"/>
      <c r="I583"/>
      <c r="J583"/>
      <c r="K583"/>
      <c r="L583"/>
      <c r="M583"/>
      <c r="N583"/>
      <c r="O583"/>
      <c r="P583"/>
      <c r="Q583"/>
    </row>
    <row r="584" spans="1:17" ht="12.75">
      <c r="A584" s="109" t="s">
        <v>99</v>
      </c>
      <c r="B584" s="290"/>
      <c r="C584" s="290"/>
      <c r="D584" s="407">
        <f>+G80</f>
        <v>2.4786143606764184</v>
      </c>
      <c r="I584"/>
      <c r="J584"/>
      <c r="K584"/>
      <c r="L584"/>
      <c r="M584"/>
      <c r="N584"/>
      <c r="O584"/>
      <c r="P584"/>
      <c r="Q584"/>
    </row>
    <row r="585" spans="1:17" ht="9.75" customHeight="1">
      <c r="A585" s="112"/>
      <c r="B585" s="284"/>
      <c r="C585" s="284"/>
      <c r="D585" s="285"/>
      <c r="I585"/>
      <c r="J585"/>
      <c r="K585"/>
      <c r="L585"/>
      <c r="M585"/>
      <c r="N585"/>
      <c r="O585"/>
      <c r="P585"/>
      <c r="Q585"/>
    </row>
    <row r="586" spans="1:17" ht="12.75">
      <c r="A586" s="109" t="s">
        <v>102</v>
      </c>
      <c r="B586" s="479">
        <v>1</v>
      </c>
      <c r="C586" s="479">
        <f>1-B586</f>
        <v>0</v>
      </c>
      <c r="D586" s="291">
        <f>B586+C586</f>
        <v>1</v>
      </c>
      <c r="I586"/>
      <c r="J586"/>
      <c r="K586"/>
      <c r="L586"/>
      <c r="M586"/>
      <c r="N586"/>
      <c r="O586"/>
      <c r="P586"/>
      <c r="Q586"/>
    </row>
    <row r="587" spans="1:17" ht="12.75">
      <c r="A587" s="112"/>
      <c r="B587" s="286"/>
      <c r="C587" s="286"/>
      <c r="D587" s="286"/>
      <c r="E587" s="280"/>
      <c r="F587" s="280"/>
      <c r="G587" s="280"/>
      <c r="I587"/>
      <c r="J587"/>
      <c r="K587"/>
      <c r="L587"/>
      <c r="M587"/>
      <c r="N587"/>
      <c r="O587"/>
      <c r="P587"/>
      <c r="Q587"/>
    </row>
    <row r="588" spans="1:17" ht="12.75">
      <c r="A588" s="109" t="s">
        <v>105</v>
      </c>
      <c r="B588" s="402">
        <f>$B586*$D584</f>
        <v>2.4786143606764184</v>
      </c>
      <c r="C588" s="402">
        <f>C586*D584</f>
        <v>0</v>
      </c>
      <c r="D588" s="402">
        <f>SUM(B588:C588)</f>
        <v>2.4786143606764184</v>
      </c>
      <c r="I588"/>
      <c r="J588"/>
      <c r="K588"/>
      <c r="L588"/>
      <c r="M588"/>
      <c r="N588"/>
      <c r="O588"/>
      <c r="P588"/>
      <c r="Q588"/>
    </row>
    <row r="589" spans="1:17" ht="12.75">
      <c r="A589" s="112"/>
      <c r="B589" s="287"/>
      <c r="C589" s="287"/>
      <c r="D589" s="287"/>
      <c r="E589" s="112"/>
      <c r="I589"/>
      <c r="J589"/>
      <c r="K589"/>
      <c r="L589"/>
      <c r="M589"/>
      <c r="N589"/>
      <c r="O589"/>
      <c r="P589"/>
      <c r="Q589"/>
    </row>
    <row r="590" spans="1:17" ht="12.75">
      <c r="A590" s="109" t="s">
        <v>151</v>
      </c>
      <c r="B590" s="293">
        <f>+B80</f>
        <v>39</v>
      </c>
      <c r="C590" s="292"/>
      <c r="D590" s="292"/>
      <c r="E590" s="112"/>
      <c r="I590"/>
      <c r="J590"/>
      <c r="K590"/>
      <c r="L590"/>
      <c r="M590"/>
      <c r="N590"/>
      <c r="O590"/>
      <c r="P590"/>
      <c r="Q590"/>
    </row>
    <row r="591" spans="1:17" ht="12.75">
      <c r="A591" s="112"/>
      <c r="B591" s="288"/>
      <c r="C591" s="287"/>
      <c r="D591" s="287"/>
      <c r="E591" s="112"/>
      <c r="I591"/>
      <c r="J591"/>
      <c r="K591"/>
      <c r="L591"/>
      <c r="M591"/>
      <c r="N591"/>
      <c r="O591"/>
      <c r="P591"/>
      <c r="Q591"/>
    </row>
    <row r="592" spans="1:17" ht="12.75">
      <c r="A592" s="109" t="s">
        <v>101</v>
      </c>
      <c r="B592" s="292"/>
      <c r="C592" s="293">
        <f>+D80</f>
        <v>9</v>
      </c>
      <c r="D592" s="292"/>
      <c r="E592" s="112"/>
      <c r="I592"/>
      <c r="J592"/>
      <c r="K592"/>
      <c r="L592"/>
      <c r="M592"/>
      <c r="N592"/>
      <c r="O592"/>
      <c r="P592"/>
      <c r="Q592"/>
    </row>
    <row r="593" spans="1:17" ht="13.5" customHeight="1">
      <c r="A593" s="112"/>
      <c r="B593" s="287"/>
      <c r="C593" s="288"/>
      <c r="D593" s="287"/>
      <c r="E593" s="112"/>
      <c r="I593"/>
      <c r="J593"/>
      <c r="K593"/>
      <c r="L593"/>
      <c r="M593"/>
      <c r="N593"/>
      <c r="O593"/>
      <c r="P593"/>
      <c r="Q593"/>
    </row>
    <row r="594" spans="1:17" ht="12.75">
      <c r="A594" s="109" t="s">
        <v>161</v>
      </c>
      <c r="B594" s="403">
        <f>IF(ISERROR($B588/$B590),0,$B588/$B590)</f>
        <v>0.06355421437631842</v>
      </c>
      <c r="C594" s="403"/>
      <c r="D594" s="294"/>
      <c r="E594" s="112"/>
      <c r="I594"/>
      <c r="J594"/>
      <c r="K594"/>
      <c r="L594"/>
      <c r="M594"/>
      <c r="N594"/>
      <c r="O594"/>
      <c r="P594"/>
      <c r="Q594"/>
    </row>
    <row r="595" spans="1:17" ht="13.5" customHeight="1">
      <c r="A595" s="112"/>
      <c r="B595" s="404"/>
      <c r="C595" s="404"/>
      <c r="D595" s="289"/>
      <c r="E595" s="112"/>
      <c r="I595"/>
      <c r="J595"/>
      <c r="K595"/>
      <c r="L595"/>
      <c r="M595"/>
      <c r="N595"/>
      <c r="O595"/>
      <c r="P595"/>
      <c r="Q595"/>
    </row>
    <row r="596" spans="1:17" ht="12.75">
      <c r="A596" s="109" t="s">
        <v>160</v>
      </c>
      <c r="B596" s="405"/>
      <c r="C596" s="406">
        <f>IF(ISERROR($C588/$C592/12),0,$C588/$C592/12)</f>
        <v>0</v>
      </c>
      <c r="D596" s="295"/>
      <c r="E596" s="112"/>
      <c r="I596"/>
      <c r="J596"/>
      <c r="K596"/>
      <c r="L596"/>
      <c r="M596"/>
      <c r="N596"/>
      <c r="O596"/>
      <c r="P596"/>
      <c r="Q596"/>
    </row>
    <row r="597" spans="1:17" ht="13.5" customHeight="1">
      <c r="A597" s="296"/>
      <c r="B597" s="482"/>
      <c r="C597" s="483"/>
      <c r="D597" s="297"/>
      <c r="E597" s="112"/>
      <c r="I597"/>
      <c r="J597"/>
      <c r="K597"/>
      <c r="L597"/>
      <c r="M597"/>
      <c r="N597"/>
      <c r="O597"/>
      <c r="P597"/>
      <c r="Q597"/>
    </row>
    <row r="598" spans="1:17" ht="7.5" customHeight="1">
      <c r="A598" s="296"/>
      <c r="B598" s="482"/>
      <c r="C598" s="483"/>
      <c r="D598" s="297"/>
      <c r="E598" s="112"/>
      <c r="I598"/>
      <c r="J598"/>
      <c r="K598"/>
      <c r="L598"/>
      <c r="M598"/>
      <c r="N598"/>
      <c r="O598"/>
      <c r="P598"/>
      <c r="Q598"/>
    </row>
    <row r="599" spans="1:17" ht="13.5" customHeight="1">
      <c r="A599" s="54" t="s">
        <v>107</v>
      </c>
      <c r="E599" s="112"/>
      <c r="I599"/>
      <c r="J599"/>
      <c r="K599"/>
      <c r="L599"/>
      <c r="M599"/>
      <c r="N599"/>
      <c r="O599"/>
      <c r="P599"/>
      <c r="Q599"/>
    </row>
    <row r="600" spans="1:17" ht="7.5" customHeight="1">
      <c r="A600" s="54"/>
      <c r="E600" s="112"/>
      <c r="I600"/>
      <c r="J600"/>
      <c r="K600"/>
      <c r="L600"/>
      <c r="M600"/>
      <c r="N600"/>
      <c r="O600"/>
      <c r="P600"/>
      <c r="Q600"/>
    </row>
    <row r="601" spans="1:17" ht="15">
      <c r="A601" s="132"/>
      <c r="E601" s="112"/>
      <c r="I601"/>
      <c r="J601"/>
      <c r="K601"/>
      <c r="L601"/>
      <c r="M601"/>
      <c r="N601"/>
      <c r="O601"/>
      <c r="P601"/>
      <c r="Q601"/>
    </row>
    <row r="602" spans="1:4" ht="51.75" thickBot="1">
      <c r="A602" s="132"/>
      <c r="B602" s="283" t="s">
        <v>104</v>
      </c>
      <c r="C602" s="283" t="s">
        <v>188</v>
      </c>
      <c r="D602" s="283" t="s">
        <v>103</v>
      </c>
    </row>
    <row r="603" spans="1:3" ht="15">
      <c r="A603" s="132"/>
      <c r="B603" s="30"/>
      <c r="C603" s="30"/>
    </row>
    <row r="604" spans="1:4" ht="12.75">
      <c r="A604" s="109" t="s">
        <v>99</v>
      </c>
      <c r="B604" s="290"/>
      <c r="C604" s="290"/>
      <c r="D604" s="407">
        <f>+G29</f>
        <v>5487.011211119598</v>
      </c>
    </row>
    <row r="605" spans="1:4" ht="12.75">
      <c r="A605" s="112"/>
      <c r="B605" s="284"/>
      <c r="C605" s="284"/>
      <c r="D605" s="285"/>
    </row>
    <row r="606" spans="1:4" ht="12.75">
      <c r="A606" s="109" t="s">
        <v>102</v>
      </c>
      <c r="B606" s="479">
        <v>1</v>
      </c>
      <c r="C606" s="479">
        <f>1-B606</f>
        <v>0</v>
      </c>
      <c r="D606" s="291">
        <f>B606+C606</f>
        <v>1</v>
      </c>
    </row>
    <row r="607" spans="1:4" ht="12.75">
      <c r="A607" s="112"/>
      <c r="B607" s="286"/>
      <c r="C607" s="286"/>
      <c r="D607" s="286"/>
    </row>
    <row r="608" spans="1:4" ht="12.75">
      <c r="A608" s="109" t="s">
        <v>105</v>
      </c>
      <c r="B608" s="402">
        <f>$B606*$D604</f>
        <v>5487.011211119598</v>
      </c>
      <c r="C608" s="402">
        <f>C606*D604</f>
        <v>0</v>
      </c>
      <c r="D608" s="402">
        <f>SUM(B608:C608)</f>
        <v>5487.011211119598</v>
      </c>
    </row>
    <row r="609" spans="1:4" ht="12.75">
      <c r="A609" s="112"/>
      <c r="B609" s="287"/>
      <c r="C609" s="287"/>
      <c r="D609" s="287"/>
    </row>
    <row r="610" spans="1:4" ht="12.75">
      <c r="A610" s="109" t="s">
        <v>151</v>
      </c>
      <c r="B610" s="293">
        <f>+B29</f>
        <v>22225</v>
      </c>
      <c r="C610" s="292"/>
      <c r="D610" s="292"/>
    </row>
    <row r="611" spans="1:4" ht="12.75">
      <c r="A611" s="112"/>
      <c r="B611" s="288"/>
      <c r="C611" s="287"/>
      <c r="D611" s="287"/>
    </row>
    <row r="612" spans="1:4" ht="12.75">
      <c r="A612" s="109" t="s">
        <v>101</v>
      </c>
      <c r="B612" s="292"/>
      <c r="C612" s="293">
        <f>+D29</f>
        <v>1</v>
      </c>
      <c r="D612" s="292"/>
    </row>
    <row r="613" spans="1:4" ht="12.75">
      <c r="A613" s="112"/>
      <c r="B613" s="287"/>
      <c r="C613" s="288"/>
      <c r="D613" s="287"/>
    </row>
    <row r="614" spans="1:4" ht="12.75">
      <c r="A614" s="109" t="s">
        <v>161</v>
      </c>
      <c r="B614" s="403">
        <f>IF(ISERROR($B608/$B610),0,$B608/$B610)</f>
        <v>0.2468846439198919</v>
      </c>
      <c r="C614" s="403"/>
      <c r="D614" s="294"/>
    </row>
    <row r="615" spans="1:4" ht="12.75">
      <c r="A615" s="112"/>
      <c r="B615" s="404"/>
      <c r="C615" s="404"/>
      <c r="D615" s="289"/>
    </row>
    <row r="616" spans="1:4" ht="12.75">
      <c r="A616" s="109" t="s">
        <v>160</v>
      </c>
      <c r="B616" s="405"/>
      <c r="C616" s="406">
        <f>IF(ISERROR($C608/$C612/12),0,$C608/$C612/12)</f>
        <v>0</v>
      </c>
      <c r="D616" s="295"/>
    </row>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sheetData>
  <sheetProtection/>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headerFooter alignWithMargins="0">
    <oddHeader>&amp;R&amp;P of &amp;N</oddHeader>
  </headerFooter>
  <rowBreaks count="13" manualBreakCount="13">
    <brk id="35" max="6" man="1"/>
    <brk id="81" max="255" man="1"/>
    <brk id="135" max="255" man="1"/>
    <brk id="186" max="255" man="1"/>
    <brk id="237" max="255" man="1"/>
    <brk id="271" max="255" man="1"/>
    <brk id="311" max="255" man="1"/>
    <brk id="348" max="255" man="1"/>
    <brk id="406" max="255" man="1"/>
    <brk id="461" max="255" man="1"/>
    <brk id="512" max="255" man="1"/>
    <brk id="563" max="255" man="1"/>
    <brk id="597"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Q616"/>
  <sheetViews>
    <sheetView zoomScalePageLayoutView="0" workbookViewId="0" topLeftCell="A593">
      <selection activeCell="A10" sqref="A10"/>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169</v>
      </c>
    </row>
    <row r="2" ht="18.75" thickBot="1">
      <c r="A2" s="116"/>
    </row>
    <row r="3" spans="1:7" ht="18">
      <c r="A3" s="518" t="str">
        <f>"Name of Utility:      "&amp;'Info Sheet'!B4</f>
        <v>Name of Utility:      Chatham-Kent Hydro</v>
      </c>
      <c r="B3" s="519"/>
      <c r="C3" s="519"/>
      <c r="D3" s="455" t="str">
        <f>'Info Sheet'!$B$21</f>
        <v>2005.V1.1</v>
      </c>
      <c r="E3" s="36"/>
      <c r="F3" s="116"/>
      <c r="G3" s="117"/>
    </row>
    <row r="4" spans="1:7" ht="18">
      <c r="A4" s="301" t="str">
        <f>"License Number:   "&amp;'Info Sheet'!B6</f>
        <v>License Number:   ED-2002-0563</v>
      </c>
      <c r="B4" s="27"/>
      <c r="C4" s="392"/>
      <c r="D4" s="395" t="str">
        <f>'Info Sheet'!B8</f>
        <v>RP-2005-0013</v>
      </c>
      <c r="E4" s="36"/>
      <c r="F4" s="116"/>
      <c r="G4" s="117"/>
    </row>
    <row r="5" spans="1:4" ht="15.75">
      <c r="A5" s="515" t="str">
        <f>"Name of Contact:  "&amp;'Info Sheet'!B12</f>
        <v>Name of Contact:  Jim Hogan</v>
      </c>
      <c r="B5" s="516"/>
      <c r="C5" s="390"/>
      <c r="D5" s="395" t="str">
        <f>'Info Sheet'!B10</f>
        <v>EB-2005-0017</v>
      </c>
    </row>
    <row r="6" spans="1:4" ht="18" customHeight="1">
      <c r="A6" s="520" t="str">
        <f>"E- Mail Address:    "&amp;'Info Sheet'!B14</f>
        <v>E- Mail Address:    jimhogan@ckenergy.com</v>
      </c>
      <c r="B6" s="517"/>
      <c r="C6" s="517"/>
      <c r="D6" s="100"/>
    </row>
    <row r="7" spans="1:4" ht="15.75">
      <c r="A7" s="301" t="str">
        <f>"Phone Number:     "&amp;'Info Sheet'!B16</f>
        <v>Phone Number:     </v>
      </c>
      <c r="B7" s="517" t="str">
        <f>'Info Sheet'!$C$16&amp;" "&amp;'Info Sheet'!$D$16</f>
        <v>519-352-6300 (277) </v>
      </c>
      <c r="C7" s="517"/>
      <c r="D7" s="100"/>
    </row>
    <row r="8" spans="1:4" ht="16.5" thickBot="1">
      <c r="A8" s="302" t="str">
        <f>"Date:                      "&amp;('Info Sheet'!B18)</f>
        <v>Date:                      March 10, 2005</v>
      </c>
      <c r="B8" s="303"/>
      <c r="C8" s="393"/>
      <c r="D8" s="149"/>
    </row>
    <row r="9" spans="1:3" ht="15.75">
      <c r="A9" s="28"/>
      <c r="B9" s="29"/>
      <c r="C9" s="27"/>
    </row>
    <row r="10" spans="1:7" ht="14.25">
      <c r="A10" s="136"/>
      <c r="B10" s="137"/>
      <c r="C10" s="137"/>
      <c r="D10" s="137"/>
      <c r="E10" s="137"/>
      <c r="F10" s="137"/>
      <c r="G10" s="137"/>
    </row>
    <row r="11" spans="1:7" ht="14.25">
      <c r="A11" s="136"/>
      <c r="B11" s="137"/>
      <c r="C11" s="137"/>
      <c r="D11" s="137"/>
      <c r="E11" s="137"/>
      <c r="F11" s="137"/>
      <c r="G11" s="137"/>
    </row>
    <row r="12" ht="12.75" customHeight="1">
      <c r="A12" s="118"/>
    </row>
    <row r="13" spans="2:3" ht="12.75">
      <c r="B13" s="106"/>
      <c r="C13" s="56"/>
    </row>
    <row r="14" spans="1:7" ht="15">
      <c r="A14" s="524" t="s">
        <v>127</v>
      </c>
      <c r="B14" s="524"/>
      <c r="C14" s="524"/>
      <c r="D14" s="524"/>
      <c r="E14" s="34"/>
      <c r="F14" s="262"/>
      <c r="G14" s="384">
        <f>IF('6. Dec. 31, 2003 Reg. Assets'!D59="N/A",'6. Dec. 31, 2003 Reg. Assets'!D76,0)</f>
        <v>0</v>
      </c>
    </row>
    <row r="15" spans="1:7" ht="14.25">
      <c r="A15" s="140"/>
      <c r="B15" s="141"/>
      <c r="C15" s="142"/>
      <c r="D15" s="143"/>
      <c r="E15" s="143"/>
      <c r="F15" s="56"/>
      <c r="G15" s="56"/>
    </row>
    <row r="16" ht="12.75">
      <c r="C16" s="120"/>
    </row>
    <row r="17" spans="1:7" ht="15">
      <c r="A17" s="385" t="s">
        <v>170</v>
      </c>
      <c r="B17" s="137"/>
      <c r="C17" s="137"/>
      <c r="D17" s="137"/>
      <c r="E17" s="137"/>
      <c r="F17" s="137"/>
      <c r="G17" s="137"/>
    </row>
    <row r="18" spans="2:7" ht="12.75">
      <c r="B18" s="137"/>
      <c r="C18" s="137"/>
      <c r="D18" s="137"/>
      <c r="E18" s="137"/>
      <c r="F18" s="137"/>
      <c r="G18" s="137"/>
    </row>
    <row r="19" ht="13.5" thickBot="1"/>
    <row r="20" spans="1:8" ht="39" thickBot="1">
      <c r="A20" s="150" t="s">
        <v>163</v>
      </c>
      <c r="B20" s="151" t="s">
        <v>11</v>
      </c>
      <c r="C20" s="151" t="s">
        <v>12</v>
      </c>
      <c r="D20" s="151" t="s">
        <v>20</v>
      </c>
      <c r="E20" s="151" t="s">
        <v>13</v>
      </c>
      <c r="F20" s="151" t="s">
        <v>97</v>
      </c>
      <c r="G20" s="152" t="s">
        <v>71</v>
      </c>
      <c r="H20" s="121"/>
    </row>
    <row r="21" spans="1:7" ht="12.75">
      <c r="A21" s="86"/>
      <c r="B21" s="31"/>
      <c r="C21" s="122"/>
      <c r="D21" s="122"/>
      <c r="E21" s="31"/>
      <c r="F21" s="31"/>
      <c r="G21" s="100"/>
    </row>
    <row r="22" spans="1:8" ht="12.75">
      <c r="A22" s="147" t="s">
        <v>16</v>
      </c>
      <c r="B22" s="305">
        <f>'4. 2003 Data &amp; 2005 PILs'!B22</f>
        <v>0</v>
      </c>
      <c r="C22" s="305">
        <f>'4. 2003 Data &amp; 2005 PILs'!C22</f>
        <v>248324523</v>
      </c>
      <c r="D22" s="305">
        <f>'4. 2003 Data &amp; 2005 PILs'!D22</f>
        <v>28204</v>
      </c>
      <c r="E22" s="422">
        <f>'4. 2003 Data &amp; 2005 PILs'!E22</f>
        <v>6789194</v>
      </c>
      <c r="F22" s="266">
        <f>IF(ISERROR(E22/E$31),"",E22/E$31)</f>
        <v>0.6086434765396115</v>
      </c>
      <c r="G22" s="418">
        <f>IF(ISERROR($G$32*F22),0,$G$32*F22)</f>
        <v>0</v>
      </c>
      <c r="H22" s="268"/>
    </row>
    <row r="23" spans="1:8" ht="12.75">
      <c r="A23" s="147" t="s">
        <v>72</v>
      </c>
      <c r="B23" s="305">
        <f>'4. 2003 Data &amp; 2005 PILs'!B23</f>
        <v>42776</v>
      </c>
      <c r="C23" s="305">
        <f>'4. 2003 Data &amp; 2005 PILs'!C23</f>
        <v>107128527</v>
      </c>
      <c r="D23" s="305">
        <f>'4. 2003 Data &amp; 2005 PILs'!D23</f>
        <v>3273</v>
      </c>
      <c r="E23" s="422">
        <f>'4. 2003 Data &amp; 2005 PILs'!E23</f>
        <v>2052938</v>
      </c>
      <c r="F23" s="266">
        <f aca="true" t="shared" si="0" ref="F23:F29">IF(ISERROR(E23/E$31),"",E23/E$31)</f>
        <v>0.18404354352523686</v>
      </c>
      <c r="G23" s="418">
        <f aca="true" t="shared" si="1" ref="G23:G29">IF(ISERROR($G$32*F23),0,$G$32*F23)</f>
        <v>0</v>
      </c>
      <c r="H23" s="268"/>
    </row>
    <row r="24" spans="1:8" ht="12.75">
      <c r="A24" s="147" t="s">
        <v>73</v>
      </c>
      <c r="B24" s="305">
        <f>'4. 2003 Data &amp; 2005 PILs'!B24</f>
        <v>1013027</v>
      </c>
      <c r="C24" s="305">
        <f>'4. 2003 Data &amp; 2005 PILs'!C24</f>
        <v>396146453</v>
      </c>
      <c r="D24" s="305">
        <f>'4. 2003 Data &amp; 2005 PILs'!D24</f>
        <v>438</v>
      </c>
      <c r="E24" s="422">
        <f>'4. 2003 Data &amp; 2005 PILs'!E24</f>
        <v>1437248</v>
      </c>
      <c r="F24" s="266">
        <f t="shared" si="0"/>
        <v>0.12884763925874024</v>
      </c>
      <c r="G24" s="418">
        <f t="shared" si="1"/>
        <v>0</v>
      </c>
      <c r="H24" s="268"/>
    </row>
    <row r="25" spans="1:8" ht="12.75">
      <c r="A25" s="147" t="s">
        <v>74</v>
      </c>
      <c r="B25" s="305">
        <f>'4. 2003 Data &amp; 2005 PILs'!B25</f>
        <v>141975</v>
      </c>
      <c r="C25" s="305">
        <f>'4. 2003 Data &amp; 2005 PILs'!C25</f>
        <v>64160678</v>
      </c>
      <c r="D25" s="305">
        <f>'4. 2003 Data &amp; 2005 PILs'!D25</f>
        <v>4</v>
      </c>
      <c r="E25" s="422">
        <f>'4. 2003 Data &amp; 2005 PILs'!E25</f>
        <v>352321</v>
      </c>
      <c r="F25" s="266">
        <f t="shared" si="0"/>
        <v>0.03158517466107354</v>
      </c>
      <c r="G25" s="418">
        <f t="shared" si="1"/>
        <v>0</v>
      </c>
      <c r="H25" s="270"/>
    </row>
    <row r="26" spans="1:8" ht="12.75">
      <c r="A26" s="147" t="s">
        <v>141</v>
      </c>
      <c r="B26" s="305">
        <f>'4. 2003 Data &amp; 2005 PILs'!B26</f>
        <v>0</v>
      </c>
      <c r="C26" s="305">
        <f>'4. 2003 Data &amp; 2005 PILs'!C26</f>
        <v>0</v>
      </c>
      <c r="D26" s="305">
        <f>'4. 2003 Data &amp; 2005 PILs'!D26</f>
        <v>0</v>
      </c>
      <c r="E26" s="422">
        <f>'4. 2003 Data &amp; 2005 PILs'!E26</f>
        <v>0</v>
      </c>
      <c r="F26" s="266">
        <f t="shared" si="0"/>
        <v>0</v>
      </c>
      <c r="G26" s="418">
        <f t="shared" si="1"/>
        <v>0</v>
      </c>
      <c r="H26" s="270"/>
    </row>
    <row r="27" spans="1:8" ht="12.75">
      <c r="A27" s="147" t="s">
        <v>75</v>
      </c>
      <c r="B27" s="305">
        <f>'4. 2003 Data &amp; 2005 PILs'!B27</f>
        <v>116775</v>
      </c>
      <c r="C27" s="305">
        <f>'4. 2003 Data &amp; 2005 PILs'!C27</f>
        <v>40010798</v>
      </c>
      <c r="D27" s="305">
        <f>'4. 2003 Data &amp; 2005 PILs'!D27</f>
        <v>2</v>
      </c>
      <c r="E27" s="422">
        <f>'4. 2003 Data &amp; 2005 PILs'!E27</f>
        <v>394763</v>
      </c>
      <c r="F27" s="266">
        <f t="shared" si="0"/>
        <v>0.035390051415412</v>
      </c>
      <c r="G27" s="418">
        <f t="shared" si="1"/>
        <v>0</v>
      </c>
      <c r="H27" s="270"/>
    </row>
    <row r="28" spans="1:8" ht="12.75">
      <c r="A28" s="147" t="s">
        <v>76</v>
      </c>
      <c r="B28" s="305">
        <f>'4. 2003 Data &amp; 2005 PILs'!B28</f>
        <v>1361</v>
      </c>
      <c r="C28" s="305">
        <f>'4. 2003 Data &amp; 2005 PILs'!C28</f>
        <v>418184</v>
      </c>
      <c r="D28" s="305">
        <f>'4. 2003 Data &amp; 2005 PILs'!D28</f>
        <v>363</v>
      </c>
      <c r="E28" s="422">
        <f>'4. 2003 Data &amp; 2005 PILs'!E28</f>
        <v>17678</v>
      </c>
      <c r="F28" s="266">
        <f t="shared" si="0"/>
        <v>0.001584812479694534</v>
      </c>
      <c r="G28" s="418">
        <f t="shared" si="1"/>
        <v>0</v>
      </c>
      <c r="H28" s="268"/>
    </row>
    <row r="29" spans="1:8" ht="12.75">
      <c r="A29" s="147" t="s">
        <v>77</v>
      </c>
      <c r="B29" s="361">
        <f>'4. 2003 Data &amp; 2005 PILs'!B29</f>
        <v>22225</v>
      </c>
      <c r="C29" s="361">
        <f>'4. 2003 Data &amp; 2005 PILs'!C29</f>
        <v>8065495</v>
      </c>
      <c r="D29" s="361">
        <f>'4. 2003 Data &amp; 2005 PILs'!D29</f>
        <v>1</v>
      </c>
      <c r="E29" s="423">
        <f>'4. 2003 Data &amp; 2005 PILs'!E29</f>
        <v>110490</v>
      </c>
      <c r="F29" s="274">
        <f t="shared" si="0"/>
        <v>0.009905302120231309</v>
      </c>
      <c r="G29" s="419">
        <f t="shared" si="1"/>
        <v>0</v>
      </c>
      <c r="H29" s="271"/>
    </row>
    <row r="30" spans="1:8" ht="12.75">
      <c r="A30" s="147"/>
      <c r="B30" s="264"/>
      <c r="C30" s="275"/>
      <c r="D30" s="276"/>
      <c r="E30" s="424"/>
      <c r="F30" s="277"/>
      <c r="G30" s="418"/>
      <c r="H30" s="56"/>
    </row>
    <row r="31" spans="1:8" ht="12.75">
      <c r="A31" s="147" t="s">
        <v>14</v>
      </c>
      <c r="B31" s="31"/>
      <c r="C31" s="153">
        <f>SUM(C22:C29)</f>
        <v>864254658</v>
      </c>
      <c r="D31" s="153">
        <f>SUM(D22:D29)</f>
        <v>32285</v>
      </c>
      <c r="E31" s="425">
        <f>SUM(E22:E29)</f>
        <v>11154632</v>
      </c>
      <c r="F31" s="155">
        <f>SUM(F22:F29)</f>
        <v>1</v>
      </c>
      <c r="G31" s="420">
        <f>SUM(G22:G29)</f>
        <v>0</v>
      </c>
      <c r="H31" s="56"/>
    </row>
    <row r="32" spans="1:8" ht="12.75">
      <c r="A32" s="86"/>
      <c r="B32" s="31"/>
      <c r="C32" s="527" t="s">
        <v>138</v>
      </c>
      <c r="D32" s="527"/>
      <c r="E32" s="527"/>
      <c r="F32" s="528"/>
      <c r="G32" s="421">
        <f>G14</f>
        <v>0</v>
      </c>
      <c r="H32" s="278"/>
    </row>
    <row r="33" spans="1:7" ht="13.5" thickBot="1">
      <c r="A33" s="94"/>
      <c r="B33" s="148"/>
      <c r="C33" s="148"/>
      <c r="D33" s="148"/>
      <c r="E33" s="148"/>
      <c r="F33" s="148"/>
      <c r="G33" s="149"/>
    </row>
    <row r="35" ht="15.75">
      <c r="A35" s="163" t="s">
        <v>168</v>
      </c>
    </row>
    <row r="36" ht="15.75">
      <c r="A36" s="54"/>
    </row>
    <row r="37" ht="10.5" customHeight="1" thickBot="1">
      <c r="A37" s="54"/>
    </row>
    <row r="38" spans="1:8" ht="37.5" thickBot="1">
      <c r="A38" s="54" t="s">
        <v>235</v>
      </c>
      <c r="B38" s="9"/>
      <c r="C38" s="492" t="s">
        <v>12</v>
      </c>
      <c r="D38" s="151" t="s">
        <v>20</v>
      </c>
      <c r="E38" s="151" t="s">
        <v>13</v>
      </c>
      <c r="F38" s="151" t="s">
        <v>234</v>
      </c>
      <c r="G38" s="151" t="s">
        <v>238</v>
      </c>
      <c r="H38" s="9"/>
    </row>
    <row r="39" ht="10.5" customHeight="1">
      <c r="A39" s="132"/>
    </row>
    <row r="40" spans="1:8" ht="15">
      <c r="A40" s="132" t="s">
        <v>223</v>
      </c>
      <c r="B40" s="9"/>
      <c r="C40" s="488">
        <f>+'7. 2003 Data &amp; add RSVA'!C40</f>
        <v>15819391</v>
      </c>
      <c r="D40" s="488">
        <f>+'7. 2003 Data &amp; add RSVA'!D40</f>
        <v>1687</v>
      </c>
      <c r="E40" s="486">
        <f>+'7. 2003 Data &amp; add RSVA'!E40</f>
        <v>139805</v>
      </c>
      <c r="F40" s="490">
        <f>+E40/$E$51</f>
        <v>0.02059228238285723</v>
      </c>
      <c r="G40" s="494">
        <f>+F40*$G$22</f>
        <v>0</v>
      </c>
      <c r="H40" s="9"/>
    </row>
    <row r="41" spans="1:8" ht="15">
      <c r="A41" s="132" t="s">
        <v>224</v>
      </c>
      <c r="B41" s="9"/>
      <c r="C41" s="488">
        <f>+'7. 2003 Data &amp; add RSVA'!C41</f>
        <v>3680038</v>
      </c>
      <c r="D41" s="488">
        <f>+'7. 2003 Data &amp; add RSVA'!D41</f>
        <v>388</v>
      </c>
      <c r="E41" s="486">
        <f>+'7. 2003 Data &amp; add RSVA'!E41</f>
        <v>110639</v>
      </c>
      <c r="F41" s="490">
        <f aca="true" t="shared" si="2" ref="F41:F50">+E41/$E$51</f>
        <v>0.016296337974728663</v>
      </c>
      <c r="G41" s="494">
        <f aca="true" t="shared" si="3" ref="G41:G50">+F41*$G$22</f>
        <v>0</v>
      </c>
      <c r="H41" s="9"/>
    </row>
    <row r="42" spans="1:8" ht="15">
      <c r="A42" s="132" t="s">
        <v>225</v>
      </c>
      <c r="B42" s="9"/>
      <c r="C42" s="488">
        <f>+'7. 2003 Data &amp; add RSVA'!C42</f>
        <v>139169853</v>
      </c>
      <c r="D42" s="488">
        <f>+'7. 2003 Data &amp; add RSVA'!D42</f>
        <v>15994</v>
      </c>
      <c r="E42" s="486">
        <f>+'7. 2003 Data &amp; add RSVA'!E42</f>
        <v>3993514</v>
      </c>
      <c r="F42" s="490">
        <f t="shared" si="2"/>
        <v>0.5882162153563442</v>
      </c>
      <c r="G42" s="494">
        <f t="shared" si="3"/>
        <v>0</v>
      </c>
      <c r="H42" s="9"/>
    </row>
    <row r="43" spans="1:8" ht="15">
      <c r="A43" s="132" t="s">
        <v>226</v>
      </c>
      <c r="B43" s="9"/>
      <c r="C43" s="488">
        <f>+'7. 2003 Data &amp; add RSVA'!C43</f>
        <v>9624043</v>
      </c>
      <c r="D43" s="488">
        <f>+'7. 2003 Data &amp; add RSVA'!D43</f>
        <v>1006</v>
      </c>
      <c r="E43" s="486">
        <f>+'7. 2003 Data &amp; add RSVA'!E43</f>
        <v>256444</v>
      </c>
      <c r="F43" s="490">
        <f t="shared" si="2"/>
        <v>0.037772377693140013</v>
      </c>
      <c r="G43" s="494">
        <f t="shared" si="3"/>
        <v>0</v>
      </c>
      <c r="H43" s="9"/>
    </row>
    <row r="44" spans="1:8" ht="15">
      <c r="A44" s="132" t="s">
        <v>227</v>
      </c>
      <c r="B44" s="9"/>
      <c r="C44" s="488">
        <f>+'7. 2003 Data &amp; add RSVA'!C44</f>
        <v>2597275</v>
      </c>
      <c r="D44" s="488">
        <f>+'7. 2003 Data &amp; add RSVA'!D44</f>
        <v>335</v>
      </c>
      <c r="E44" s="486">
        <f>+'7. 2003 Data &amp; add RSVA'!E44</f>
        <v>63911</v>
      </c>
      <c r="F44" s="490">
        <f t="shared" si="2"/>
        <v>0.0094136358454332</v>
      </c>
      <c r="G44" s="494">
        <f t="shared" si="3"/>
        <v>0</v>
      </c>
      <c r="H44" s="9"/>
    </row>
    <row r="45" spans="1:8" ht="15">
      <c r="A45" s="132" t="s">
        <v>228</v>
      </c>
      <c r="B45" s="9"/>
      <c r="C45" s="488">
        <f>+'7. 2003 Data &amp; add RSVA'!C45</f>
        <v>2237409</v>
      </c>
      <c r="D45" s="488">
        <f>+'7. 2003 Data &amp; add RSVA'!D45</f>
        <v>282</v>
      </c>
      <c r="E45" s="486">
        <f>+'7. 2003 Data &amp; add RSVA'!E45</f>
        <v>64423</v>
      </c>
      <c r="F45" s="490">
        <f t="shared" si="2"/>
        <v>0.009489049804733817</v>
      </c>
      <c r="G45" s="494">
        <f t="shared" si="3"/>
        <v>0</v>
      </c>
      <c r="H45" s="9"/>
    </row>
    <row r="46" spans="1:8" ht="15">
      <c r="A46" s="132" t="s">
        <v>229</v>
      </c>
      <c r="B46" s="9"/>
      <c r="C46" s="488">
        <f>+'7. 2003 Data &amp; add RSVA'!C46</f>
        <v>10742282</v>
      </c>
      <c r="D46" s="488">
        <f>+'7. 2003 Data &amp; add RSVA'!D46</f>
        <v>1345</v>
      </c>
      <c r="E46" s="486">
        <f>+'7. 2003 Data &amp; add RSVA'!E46</f>
        <v>354740</v>
      </c>
      <c r="F46" s="490">
        <f t="shared" si="2"/>
        <v>0.052250679535744596</v>
      </c>
      <c r="G46" s="494">
        <f t="shared" si="3"/>
        <v>0</v>
      </c>
      <c r="H46" s="9"/>
    </row>
    <row r="47" spans="1:8" ht="15">
      <c r="A47" s="132" t="s">
        <v>230</v>
      </c>
      <c r="B47" s="9"/>
      <c r="C47" s="488">
        <f>+'7. 2003 Data &amp; add RSVA'!C47</f>
        <v>3373917</v>
      </c>
      <c r="D47" s="488">
        <f>+'7. 2003 Data &amp; add RSVA'!D47</f>
        <v>361</v>
      </c>
      <c r="E47" s="486">
        <f>+'7. 2003 Data &amp; add RSVA'!E47</f>
        <v>54799</v>
      </c>
      <c r="F47" s="490">
        <f t="shared" si="2"/>
        <v>0.008071503038505012</v>
      </c>
      <c r="G47" s="494">
        <f t="shared" si="3"/>
        <v>0</v>
      </c>
      <c r="H47" s="9"/>
    </row>
    <row r="48" spans="1:8" ht="15">
      <c r="A48" s="132" t="s">
        <v>231</v>
      </c>
      <c r="B48" s="9"/>
      <c r="C48" s="488">
        <f>+'7. 2003 Data &amp; add RSVA'!C48</f>
        <v>17653441</v>
      </c>
      <c r="D48" s="488">
        <f>+'7. 2003 Data &amp; add RSVA'!D48</f>
        <v>1839</v>
      </c>
      <c r="E48" s="486">
        <f>+'7. 2003 Data &amp; add RSVA'!E48</f>
        <v>411759</v>
      </c>
      <c r="F48" s="490">
        <f t="shared" si="2"/>
        <v>0.060649172788404634</v>
      </c>
      <c r="G48" s="494">
        <f t="shared" si="3"/>
        <v>0</v>
      </c>
      <c r="H48" s="9"/>
    </row>
    <row r="49" spans="1:8" ht="15">
      <c r="A49" s="132" t="s">
        <v>232</v>
      </c>
      <c r="B49" s="9"/>
      <c r="C49" s="488">
        <f>+'7. 2003 Data &amp; add RSVA'!C49</f>
        <v>37331183</v>
      </c>
      <c r="D49" s="488">
        <f>+'7. 2003 Data &amp; add RSVA'!D49</f>
        <v>4348</v>
      </c>
      <c r="E49" s="486">
        <f>+'7. 2003 Data &amp; add RSVA'!E49</f>
        <v>1215082</v>
      </c>
      <c r="F49" s="490">
        <f t="shared" si="2"/>
        <v>0.17897293846662798</v>
      </c>
      <c r="G49" s="494">
        <f t="shared" si="3"/>
        <v>0</v>
      </c>
      <c r="H49" s="9"/>
    </row>
    <row r="50" spans="1:8" ht="15">
      <c r="A50" s="132" t="s">
        <v>233</v>
      </c>
      <c r="B50" s="9"/>
      <c r="C50" s="488">
        <f>+'7. 2003 Data &amp; add RSVA'!C50</f>
        <v>6095691</v>
      </c>
      <c r="D50" s="488">
        <f>+'7. 2003 Data &amp; add RSVA'!D50</f>
        <v>619</v>
      </c>
      <c r="E50" s="486">
        <f>+'7. 2003 Data &amp; add RSVA'!E50</f>
        <v>124078</v>
      </c>
      <c r="F50" s="490">
        <f t="shared" si="2"/>
        <v>0.01827580711348063</v>
      </c>
      <c r="G50" s="494">
        <f t="shared" si="3"/>
        <v>0</v>
      </c>
      <c r="H50" s="9"/>
    </row>
    <row r="51" spans="1:8" ht="15.75" thickBot="1">
      <c r="A51" s="132"/>
      <c r="C51" s="489">
        <f>SUM(C40:C50)</f>
        <v>248324523</v>
      </c>
      <c r="D51" s="489">
        <f>SUM(D40:D50)</f>
        <v>28204</v>
      </c>
      <c r="E51" s="487">
        <f>SUM(E40:E50)</f>
        <v>6789194</v>
      </c>
      <c r="F51" s="491">
        <f>SUM(F40:F50)</f>
        <v>1</v>
      </c>
      <c r="G51" s="495">
        <f>SUM(G40:G50)</f>
        <v>0</v>
      </c>
      <c r="H51" s="9"/>
    </row>
    <row r="52" ht="15.75" thickTop="1">
      <c r="A52" s="132"/>
    </row>
    <row r="53" ht="10.5" customHeight="1" thickBot="1">
      <c r="A53" s="54"/>
    </row>
    <row r="54" spans="1:8" ht="37.5" thickBot="1">
      <c r="A54" s="54" t="s">
        <v>239</v>
      </c>
      <c r="B54" s="492" t="s">
        <v>11</v>
      </c>
      <c r="C54" s="492" t="s">
        <v>12</v>
      </c>
      <c r="D54" s="151" t="s">
        <v>20</v>
      </c>
      <c r="E54" s="151" t="s">
        <v>13</v>
      </c>
      <c r="F54" s="151" t="s">
        <v>234</v>
      </c>
      <c r="G54" s="151" t="s">
        <v>238</v>
      </c>
      <c r="H54" s="9"/>
    </row>
    <row r="55" ht="10.5" customHeight="1">
      <c r="A55" s="54"/>
    </row>
    <row r="56" spans="1:8" ht="15">
      <c r="A56" s="132" t="s">
        <v>223</v>
      </c>
      <c r="B56" s="488">
        <f>+'7. 2003 Data &amp; add RSVA'!B56</f>
        <v>45432</v>
      </c>
      <c r="C56" s="488">
        <f>+'7. 2003 Data &amp; add RSVA'!C56</f>
        <v>17323383</v>
      </c>
      <c r="D56" s="488">
        <f>+'7. 2003 Data &amp; add RSVA'!D56</f>
        <v>1</v>
      </c>
      <c r="E56" s="486">
        <f>+'7. 2003 Data &amp; add RSVA'!E56</f>
        <v>70464</v>
      </c>
      <c r="F56" s="490">
        <f>+E56/$E$58</f>
        <v>0.2</v>
      </c>
      <c r="G56" s="494">
        <f>+F56*$G$25</f>
        <v>0</v>
      </c>
      <c r="H56" s="9"/>
    </row>
    <row r="57" spans="1:8" ht="15">
      <c r="A57" s="132" t="s">
        <v>225</v>
      </c>
      <c r="B57" s="488">
        <f>+'7. 2003 Data &amp; add RSVA'!B57</f>
        <v>96543</v>
      </c>
      <c r="C57" s="488">
        <f>+'7. 2003 Data &amp; add RSVA'!C57</f>
        <v>46837295</v>
      </c>
      <c r="D57" s="488">
        <f>+'7. 2003 Data &amp; add RSVA'!D57</f>
        <v>3</v>
      </c>
      <c r="E57" s="486">
        <f>+'7. 2003 Data &amp; add RSVA'!E57</f>
        <v>281856</v>
      </c>
      <c r="F57" s="490">
        <f>+E57/$E$58</f>
        <v>0.8</v>
      </c>
      <c r="G57" s="494">
        <f>+F57*$G$25</f>
        <v>0</v>
      </c>
      <c r="H57" s="9"/>
    </row>
    <row r="58" spans="1:8" ht="16.5" thickBot="1">
      <c r="A58" s="54"/>
      <c r="B58" s="489">
        <f>SUM(B56:B57)</f>
        <v>141975</v>
      </c>
      <c r="C58" s="489">
        <f>SUM(C56:C57)</f>
        <v>64160678</v>
      </c>
      <c r="D58" s="489">
        <f>SUM(D56:D57)</f>
        <v>4</v>
      </c>
      <c r="E58" s="487">
        <f>SUM(E56:E57)</f>
        <v>352320</v>
      </c>
      <c r="F58" s="493">
        <f>+E58/$E$58</f>
        <v>1</v>
      </c>
      <c r="G58" s="495">
        <f>SUM(G56:G57)</f>
        <v>0</v>
      </c>
      <c r="H58" s="9"/>
    </row>
    <row r="59" ht="16.5" thickTop="1">
      <c r="A59" s="54"/>
    </row>
    <row r="60" ht="10.5" customHeight="1" thickBot="1">
      <c r="A60" s="54"/>
    </row>
    <row r="61" spans="1:8" ht="37.5" thickBot="1">
      <c r="A61" s="54" t="s">
        <v>236</v>
      </c>
      <c r="B61" s="492" t="s">
        <v>11</v>
      </c>
      <c r="C61" s="492" t="s">
        <v>12</v>
      </c>
      <c r="D61" s="151" t="s">
        <v>20</v>
      </c>
      <c r="E61" s="151" t="s">
        <v>13</v>
      </c>
      <c r="F61" s="151" t="s">
        <v>234</v>
      </c>
      <c r="G61" s="151" t="s">
        <v>238</v>
      </c>
      <c r="H61" s="9"/>
    </row>
    <row r="62" ht="10.5" customHeight="1">
      <c r="A62" s="54"/>
    </row>
    <row r="63" spans="1:8" ht="15">
      <c r="A63" s="132" t="s">
        <v>225</v>
      </c>
      <c r="B63" s="488">
        <f>+'7. 2003 Data &amp; add RSVA'!B63</f>
        <v>55024</v>
      </c>
      <c r="C63" s="488">
        <f>+'7. 2003 Data &amp; add RSVA'!C63</f>
        <v>24323494</v>
      </c>
      <c r="D63" s="488">
        <f>+'7. 2003 Data &amp; add RSVA'!D63</f>
        <v>1</v>
      </c>
      <c r="E63" s="486">
        <f>+'7. 2003 Data &amp; add RSVA'!E63</f>
        <v>207856</v>
      </c>
      <c r="F63" s="490">
        <f>+E63/$E$65</f>
        <v>0.5256707577684991</v>
      </c>
      <c r="G63" s="494">
        <f>+F63*$G$27</f>
        <v>0</v>
      </c>
      <c r="H63" s="9"/>
    </row>
    <row r="64" spans="1:8" ht="15">
      <c r="A64" s="132" t="s">
        <v>232</v>
      </c>
      <c r="B64" s="488">
        <f>+'7. 2003 Data &amp; add RSVA'!B64</f>
        <v>61751</v>
      </c>
      <c r="C64" s="488">
        <f>+'7. 2003 Data &amp; add RSVA'!C64</f>
        <v>15687604</v>
      </c>
      <c r="D64" s="488">
        <f>+'7. 2003 Data &amp; add RSVA'!D64</f>
        <v>1</v>
      </c>
      <c r="E64" s="486">
        <f>+'7. 2003 Data &amp; add RSVA'!E64</f>
        <v>187555</v>
      </c>
      <c r="F64" s="490">
        <f>+E64/$E$65</f>
        <v>0.4743292422315009</v>
      </c>
      <c r="G64" s="494">
        <f>+F64*$G$27</f>
        <v>0</v>
      </c>
      <c r="H64" s="9"/>
    </row>
    <row r="65" spans="1:8" ht="16.5" thickBot="1">
      <c r="A65" s="54"/>
      <c r="B65" s="489">
        <f>SUM(B63:B64)</f>
        <v>116775</v>
      </c>
      <c r="C65" s="489">
        <f>SUM(C63:C64)</f>
        <v>40011098</v>
      </c>
      <c r="D65" s="489">
        <f>SUM(D63:D64)</f>
        <v>2</v>
      </c>
      <c r="E65" s="487">
        <f>SUM(E63:E64)</f>
        <v>395411</v>
      </c>
      <c r="F65" s="493">
        <f>+E65/$E$65</f>
        <v>1</v>
      </c>
      <c r="G65" s="495">
        <f>SUM(G63:G64)</f>
        <v>0</v>
      </c>
      <c r="H65" s="9"/>
    </row>
    <row r="66" ht="10.5" customHeight="1" thickTop="1">
      <c r="A66" s="54"/>
    </row>
    <row r="67" ht="10.5" customHeight="1" thickBot="1">
      <c r="A67" s="54"/>
    </row>
    <row r="68" spans="1:8" ht="37.5" thickBot="1">
      <c r="A68" s="54" t="s">
        <v>237</v>
      </c>
      <c r="B68" s="492" t="s">
        <v>11</v>
      </c>
      <c r="C68" s="492" t="s">
        <v>12</v>
      </c>
      <c r="D68" s="151" t="s">
        <v>20</v>
      </c>
      <c r="E68" s="151" t="s">
        <v>13</v>
      </c>
      <c r="F68" s="151" t="s">
        <v>234</v>
      </c>
      <c r="G68" s="151" t="s">
        <v>238</v>
      </c>
      <c r="H68" s="9"/>
    </row>
    <row r="69" ht="15">
      <c r="A69" s="132"/>
    </row>
    <row r="70" spans="1:8" ht="15">
      <c r="A70" s="132" t="s">
        <v>223</v>
      </c>
      <c r="B70" s="9">
        <f>+'7. 2003 Data &amp; add RSVA'!B70</f>
        <v>127</v>
      </c>
      <c r="C70" s="9">
        <f>+'7. 2003 Data &amp; add RSVA'!C70</f>
        <v>38893</v>
      </c>
      <c r="D70" s="9">
        <f>+'7. 2003 Data &amp; add RSVA'!D70</f>
        <v>35</v>
      </c>
      <c r="E70" s="486">
        <f>+'7. 2003 Data &amp; add RSVA'!E70</f>
        <v>651</v>
      </c>
      <c r="F70" s="490">
        <f>+E70/$E$81</f>
        <v>0.036829599456890696</v>
      </c>
      <c r="G70" s="494">
        <f>+F70*$G$28</f>
        <v>0</v>
      </c>
      <c r="H70" s="9"/>
    </row>
    <row r="71" spans="1:8" ht="15">
      <c r="A71" s="132" t="s">
        <v>224</v>
      </c>
      <c r="B71" s="9">
        <f>+'7. 2003 Data &amp; add RSVA'!B71</f>
        <v>36</v>
      </c>
      <c r="C71" s="9">
        <f>+'7. 2003 Data &amp; add RSVA'!C71</f>
        <v>10979</v>
      </c>
      <c r="D71" s="9">
        <f>+'7. 2003 Data &amp; add RSVA'!D71</f>
        <v>11</v>
      </c>
      <c r="E71" s="486">
        <f>+'7. 2003 Data &amp; add RSVA'!E71</f>
        <v>570</v>
      </c>
      <c r="F71" s="490">
        <f aca="true" t="shared" si="4" ref="F71:F80">+E71/$E$81</f>
        <v>0.032247114731839784</v>
      </c>
      <c r="G71" s="494">
        <f aca="true" t="shared" si="5" ref="G71:G80">+F71*$G$28</f>
        <v>0</v>
      </c>
      <c r="H71" s="9"/>
    </row>
    <row r="72" spans="1:8" ht="15">
      <c r="A72" s="132" t="s">
        <v>225</v>
      </c>
      <c r="B72" s="9">
        <f>+'7. 2003 Data &amp; add RSVA'!B72</f>
        <v>478</v>
      </c>
      <c r="C72" s="9">
        <f>+'7. 2003 Data &amp; add RSVA'!C72</f>
        <v>146773</v>
      </c>
      <c r="D72" s="9">
        <f>+'7. 2003 Data &amp; add RSVA'!D72</f>
        <v>108</v>
      </c>
      <c r="E72" s="486">
        <f>+'7. 2003 Data &amp; add RSVA'!E72</f>
        <v>6570</v>
      </c>
      <c r="F72" s="490">
        <f t="shared" si="4"/>
        <v>0.37169042769857435</v>
      </c>
      <c r="G72" s="494">
        <f t="shared" si="5"/>
        <v>0</v>
      </c>
      <c r="H72" s="9"/>
    </row>
    <row r="73" spans="1:8" ht="15">
      <c r="A73" s="132" t="s">
        <v>226</v>
      </c>
      <c r="B73" s="9">
        <f>+'7. 2003 Data &amp; add RSVA'!B73</f>
        <v>109</v>
      </c>
      <c r="C73" s="9">
        <f>+'7. 2003 Data &amp; add RSVA'!C73</f>
        <v>33488</v>
      </c>
      <c r="D73" s="9">
        <f>+'7. 2003 Data &amp; add RSVA'!D73</f>
        <v>26</v>
      </c>
      <c r="E73" s="486">
        <f>+'7. 2003 Data &amp; add RSVA'!E73</f>
        <v>1500</v>
      </c>
      <c r="F73" s="490">
        <f t="shared" si="4"/>
        <v>0.08486082824168364</v>
      </c>
      <c r="G73" s="494">
        <f t="shared" si="5"/>
        <v>0</v>
      </c>
      <c r="H73" s="9"/>
    </row>
    <row r="74" spans="1:8" ht="15">
      <c r="A74" s="132" t="s">
        <v>227</v>
      </c>
      <c r="B74" s="9">
        <f>+'7. 2003 Data &amp; add RSVA'!B74</f>
        <v>0</v>
      </c>
      <c r="C74" s="9">
        <f>+'7. 2003 Data &amp; add RSVA'!C74</f>
        <v>0</v>
      </c>
      <c r="D74" s="9">
        <f>+'7. 2003 Data &amp; add RSVA'!D74</f>
        <v>0</v>
      </c>
      <c r="E74" s="486">
        <f>+'7. 2003 Data &amp; add RSVA'!E74</f>
        <v>0</v>
      </c>
      <c r="F74" s="490">
        <f t="shared" si="4"/>
        <v>0</v>
      </c>
      <c r="G74" s="494">
        <f t="shared" si="5"/>
        <v>0</v>
      </c>
      <c r="H74" s="9"/>
    </row>
    <row r="75" spans="1:8" ht="15">
      <c r="A75" s="132" t="s">
        <v>228</v>
      </c>
      <c r="B75" s="9">
        <f>+'7. 2003 Data &amp; add RSVA'!B75</f>
        <v>9</v>
      </c>
      <c r="C75" s="9">
        <f>+'7. 2003 Data &amp; add RSVA'!C75</f>
        <v>2650</v>
      </c>
      <c r="D75" s="9">
        <f>+'7. 2003 Data &amp; add RSVA'!D75</f>
        <v>4</v>
      </c>
      <c r="E75" s="486">
        <f>+'7. 2003 Data &amp; add RSVA'!E75</f>
        <v>25</v>
      </c>
      <c r="F75" s="490">
        <f t="shared" si="4"/>
        <v>0.001414347137361394</v>
      </c>
      <c r="G75" s="494">
        <f t="shared" si="5"/>
        <v>0</v>
      </c>
      <c r="H75" s="9"/>
    </row>
    <row r="76" spans="1:8" ht="15">
      <c r="A76" s="132" t="s">
        <v>229</v>
      </c>
      <c r="B76" s="9">
        <f>+'7. 2003 Data &amp; add RSVA'!B76</f>
        <v>62</v>
      </c>
      <c r="C76" s="9">
        <f>+'7. 2003 Data &amp; add RSVA'!C76</f>
        <v>19093</v>
      </c>
      <c r="D76" s="9">
        <f>+'7. 2003 Data &amp; add RSVA'!D76</f>
        <v>20</v>
      </c>
      <c r="E76" s="486">
        <f>+'7. 2003 Data &amp; add RSVA'!E76</f>
        <v>649</v>
      </c>
      <c r="F76" s="490">
        <f t="shared" si="4"/>
        <v>0.03671645168590179</v>
      </c>
      <c r="G76" s="494">
        <f t="shared" si="5"/>
        <v>0</v>
      </c>
      <c r="H76" s="9"/>
    </row>
    <row r="77" spans="1:8" ht="15">
      <c r="A77" s="132" t="s">
        <v>230</v>
      </c>
      <c r="B77" s="9">
        <f>+'7. 2003 Data &amp; add RSVA'!B77</f>
        <v>59</v>
      </c>
      <c r="C77" s="9">
        <f>+'7. 2003 Data &amp; add RSVA'!C77</f>
        <v>18239</v>
      </c>
      <c r="D77" s="9">
        <f>+'7. 2003 Data &amp; add RSVA'!D77</f>
        <v>16</v>
      </c>
      <c r="E77" s="486">
        <f>+'7. 2003 Data &amp; add RSVA'!E77</f>
        <v>938</v>
      </c>
      <c r="F77" s="490">
        <f t="shared" si="4"/>
        <v>0.053066304593799504</v>
      </c>
      <c r="G77" s="494">
        <f t="shared" si="5"/>
        <v>0</v>
      </c>
      <c r="H77" s="9"/>
    </row>
    <row r="78" spans="1:8" ht="15">
      <c r="A78" s="132" t="s">
        <v>231</v>
      </c>
      <c r="B78" s="9">
        <f>+'7. 2003 Data &amp; add RSVA'!B78</f>
        <v>141</v>
      </c>
      <c r="C78" s="9">
        <f>+'7. 2003 Data &amp; add RSVA'!C78</f>
        <v>43213</v>
      </c>
      <c r="D78" s="9">
        <f>+'7. 2003 Data &amp; add RSVA'!D78</f>
        <v>32</v>
      </c>
      <c r="E78" s="486">
        <f>+'7. 2003 Data &amp; add RSVA'!E78</f>
        <v>1721</v>
      </c>
      <c r="F78" s="490">
        <f t="shared" si="4"/>
        <v>0.09736365693595836</v>
      </c>
      <c r="G78" s="494">
        <f t="shared" si="5"/>
        <v>0</v>
      </c>
      <c r="H78" s="9"/>
    </row>
    <row r="79" spans="1:8" ht="15">
      <c r="A79" s="132" t="s">
        <v>232</v>
      </c>
      <c r="B79" s="9">
        <f>+'7. 2003 Data &amp; add RSVA'!B79</f>
        <v>302</v>
      </c>
      <c r="C79" s="9">
        <f>+'7. 2003 Data &amp; add RSVA'!C79</f>
        <v>92816</v>
      </c>
      <c r="D79" s="9">
        <f>+'7. 2003 Data &amp; add RSVA'!D79</f>
        <v>102</v>
      </c>
      <c r="E79" s="486">
        <f>+'7. 2003 Data &amp; add RSVA'!E79</f>
        <v>4898</v>
      </c>
      <c r="F79" s="490">
        <f t="shared" si="4"/>
        <v>0.27709889115184433</v>
      </c>
      <c r="G79" s="494">
        <f t="shared" si="5"/>
        <v>0</v>
      </c>
      <c r="H79" s="9"/>
    </row>
    <row r="80" spans="1:8" ht="15">
      <c r="A80" s="132" t="s">
        <v>233</v>
      </c>
      <c r="B80" s="9">
        <f>+'7. 2003 Data &amp; add RSVA'!B80</f>
        <v>39</v>
      </c>
      <c r="C80" s="9">
        <f>+'7. 2003 Data &amp; add RSVA'!C80</f>
        <v>12039</v>
      </c>
      <c r="D80" s="9">
        <f>+'7. 2003 Data &amp; add RSVA'!D80</f>
        <v>9</v>
      </c>
      <c r="E80" s="486">
        <f>+'7. 2003 Data &amp; add RSVA'!E80</f>
        <v>154</v>
      </c>
      <c r="F80" s="490">
        <f t="shared" si="4"/>
        <v>0.008712378366146186</v>
      </c>
      <c r="G80" s="494">
        <f t="shared" si="5"/>
        <v>0</v>
      </c>
      <c r="H80" s="9"/>
    </row>
    <row r="81" spans="1:8" ht="15.75" thickBot="1">
      <c r="A81" s="132"/>
      <c r="B81" s="489">
        <f aca="true" t="shared" si="6" ref="B81:G81">SUM(B70:B80)</f>
        <v>1362</v>
      </c>
      <c r="C81" s="489">
        <f t="shared" si="6"/>
        <v>418183</v>
      </c>
      <c r="D81" s="489">
        <f t="shared" si="6"/>
        <v>363</v>
      </c>
      <c r="E81" s="487">
        <f t="shared" si="6"/>
        <v>17676</v>
      </c>
      <c r="F81" s="491">
        <f t="shared" si="6"/>
        <v>0.9999999999999999</v>
      </c>
      <c r="G81" s="495">
        <f t="shared" si="6"/>
        <v>0</v>
      </c>
      <c r="H81" s="9"/>
    </row>
    <row r="82" ht="10.5" customHeight="1" thickTop="1">
      <c r="A82" s="54"/>
    </row>
    <row r="83" spans="1:17" ht="15.75">
      <c r="A83" s="54" t="s">
        <v>16</v>
      </c>
      <c r="I83"/>
      <c r="J83"/>
      <c r="K83"/>
      <c r="L83"/>
      <c r="M83"/>
      <c r="N83"/>
      <c r="O83"/>
      <c r="P83"/>
      <c r="Q83"/>
    </row>
    <row r="84" spans="1:17" ht="10.5" customHeight="1">
      <c r="A84" s="131"/>
      <c r="I84"/>
      <c r="J84"/>
      <c r="K84"/>
      <c r="L84"/>
      <c r="M84"/>
      <c r="N84"/>
      <c r="O84"/>
      <c r="P84"/>
      <c r="Q84"/>
    </row>
    <row r="85" spans="1:17" ht="9" customHeight="1">
      <c r="A85" s="132"/>
      <c r="I85"/>
      <c r="J85"/>
      <c r="K85"/>
      <c r="L85"/>
      <c r="M85"/>
      <c r="N85"/>
      <c r="O85"/>
      <c r="P85"/>
      <c r="Q85"/>
    </row>
    <row r="86" spans="1:17" ht="51.75" thickBot="1">
      <c r="A86" s="132"/>
      <c r="B86" s="283" t="s">
        <v>104</v>
      </c>
      <c r="C86" s="283" t="s">
        <v>188</v>
      </c>
      <c r="D86" s="283" t="s">
        <v>103</v>
      </c>
      <c r="E86" s="280"/>
      <c r="F86" s="280"/>
      <c r="G86" s="280"/>
      <c r="I86"/>
      <c r="J86"/>
      <c r="K86"/>
      <c r="L86"/>
      <c r="M86"/>
      <c r="N86"/>
      <c r="O86"/>
      <c r="P86"/>
      <c r="Q86"/>
    </row>
    <row r="87" spans="1:17" ht="15">
      <c r="A87" s="481" t="s">
        <v>211</v>
      </c>
      <c r="B87" s="30"/>
      <c r="C87" s="30"/>
      <c r="I87"/>
      <c r="J87"/>
      <c r="K87"/>
      <c r="L87"/>
      <c r="M87"/>
      <c r="N87"/>
      <c r="O87"/>
      <c r="P87"/>
      <c r="Q87"/>
    </row>
    <row r="88" spans="1:17" ht="12.75">
      <c r="A88" s="109" t="s">
        <v>99</v>
      </c>
      <c r="B88" s="290"/>
      <c r="C88" s="290"/>
      <c r="D88" s="407">
        <f>+G40</f>
        <v>0</v>
      </c>
      <c r="E88" s="112"/>
      <c r="I88"/>
      <c r="J88"/>
      <c r="K88"/>
      <c r="L88"/>
      <c r="M88"/>
      <c r="N88"/>
      <c r="O88"/>
      <c r="P88"/>
      <c r="Q88"/>
    </row>
    <row r="89" spans="1:17" ht="7.5" customHeight="1">
      <c r="A89" s="112"/>
      <c r="B89" s="284"/>
      <c r="C89" s="284"/>
      <c r="D89" s="285"/>
      <c r="E89" s="112"/>
      <c r="I89"/>
      <c r="J89"/>
      <c r="K89"/>
      <c r="L89"/>
      <c r="M89"/>
      <c r="N89"/>
      <c r="O89"/>
      <c r="P89"/>
      <c r="Q89"/>
    </row>
    <row r="90" spans="1:17" ht="12.75">
      <c r="A90" s="109" t="s">
        <v>102</v>
      </c>
      <c r="B90" s="479">
        <v>1</v>
      </c>
      <c r="C90" s="479">
        <f>1-B90</f>
        <v>0</v>
      </c>
      <c r="D90" s="291">
        <f>B90+C90</f>
        <v>1</v>
      </c>
      <c r="E90" s="112"/>
      <c r="I90"/>
      <c r="J90"/>
      <c r="K90"/>
      <c r="L90"/>
      <c r="M90"/>
      <c r="N90"/>
      <c r="O90"/>
      <c r="P90"/>
      <c r="Q90"/>
    </row>
    <row r="91" spans="1:17" ht="7.5" customHeight="1">
      <c r="A91" s="112"/>
      <c r="B91" s="286"/>
      <c r="C91" s="286"/>
      <c r="D91" s="286"/>
      <c r="E91" s="112"/>
      <c r="I91"/>
      <c r="J91"/>
      <c r="K91"/>
      <c r="L91"/>
      <c r="M91"/>
      <c r="N91"/>
      <c r="O91"/>
      <c r="P91"/>
      <c r="Q91"/>
    </row>
    <row r="92" spans="1:17" ht="13.5" customHeight="1">
      <c r="A92" s="109" t="s">
        <v>105</v>
      </c>
      <c r="B92" s="402">
        <f>$B90*$D88</f>
        <v>0</v>
      </c>
      <c r="C92" s="402">
        <f>C90*D88</f>
        <v>0</v>
      </c>
      <c r="D92" s="402">
        <f>SUM(B92:C92)</f>
        <v>0</v>
      </c>
      <c r="E92" s="112"/>
      <c r="I92"/>
      <c r="J92"/>
      <c r="K92"/>
      <c r="L92"/>
      <c r="M92"/>
      <c r="N92"/>
      <c r="O92"/>
      <c r="P92"/>
      <c r="Q92"/>
    </row>
    <row r="93" spans="1:17" ht="7.5" customHeight="1">
      <c r="A93" s="112"/>
      <c r="B93" s="287"/>
      <c r="C93" s="287"/>
      <c r="D93" s="287"/>
      <c r="E93" s="112"/>
      <c r="I93"/>
      <c r="J93"/>
      <c r="K93"/>
      <c r="L93"/>
      <c r="M93"/>
      <c r="N93"/>
      <c r="O93"/>
      <c r="P93"/>
      <c r="Q93"/>
    </row>
    <row r="94" spans="1:17" ht="13.5" customHeight="1">
      <c r="A94" s="109" t="s">
        <v>100</v>
      </c>
      <c r="B94" s="293">
        <f>+C40</f>
        <v>15819391</v>
      </c>
      <c r="C94" s="292"/>
      <c r="D94" s="292"/>
      <c r="E94" s="112"/>
      <c r="I94"/>
      <c r="J94"/>
      <c r="K94"/>
      <c r="L94"/>
      <c r="M94"/>
      <c r="N94"/>
      <c r="O94"/>
      <c r="P94"/>
      <c r="Q94"/>
    </row>
    <row r="95" spans="1:17" ht="7.5" customHeight="1">
      <c r="A95" s="112"/>
      <c r="B95" s="288"/>
      <c r="C95" s="287"/>
      <c r="D95" s="287"/>
      <c r="E95" s="112"/>
      <c r="I95"/>
      <c r="J95"/>
      <c r="K95"/>
      <c r="L95"/>
      <c r="M95"/>
      <c r="N95"/>
      <c r="O95"/>
      <c r="P95"/>
      <c r="Q95"/>
    </row>
    <row r="96" spans="1:17" ht="13.5" customHeight="1">
      <c r="A96" s="109" t="s">
        <v>101</v>
      </c>
      <c r="B96" s="292"/>
      <c r="C96" s="293">
        <f>+D40</f>
        <v>1687</v>
      </c>
      <c r="D96" s="292"/>
      <c r="E96" s="112"/>
      <c r="I96"/>
      <c r="J96"/>
      <c r="K96"/>
      <c r="L96"/>
      <c r="M96"/>
      <c r="N96"/>
      <c r="O96"/>
      <c r="P96"/>
      <c r="Q96"/>
    </row>
    <row r="97" spans="1:17" ht="7.5" customHeight="1">
      <c r="A97" s="112"/>
      <c r="B97" s="287"/>
      <c r="C97" s="288"/>
      <c r="D97" s="287"/>
      <c r="E97" s="112"/>
      <c r="I97"/>
      <c r="J97"/>
      <c r="K97"/>
      <c r="L97"/>
      <c r="M97"/>
      <c r="N97"/>
      <c r="O97"/>
      <c r="P97"/>
      <c r="Q97"/>
    </row>
    <row r="98" spans="1:17" ht="13.5" customHeight="1">
      <c r="A98" s="109" t="s">
        <v>159</v>
      </c>
      <c r="B98" s="403">
        <f>IF(ISERROR($B92/$B94),0,$B92/$B94)</f>
        <v>0</v>
      </c>
      <c r="C98" s="403"/>
      <c r="D98" s="294"/>
      <c r="E98" s="112"/>
      <c r="I98"/>
      <c r="J98"/>
      <c r="K98"/>
      <c r="L98"/>
      <c r="M98"/>
      <c r="N98"/>
      <c r="O98"/>
      <c r="P98"/>
      <c r="Q98"/>
    </row>
    <row r="99" spans="1:17" ht="7.5" customHeight="1">
      <c r="A99" s="112"/>
      <c r="B99" s="404"/>
      <c r="C99" s="404"/>
      <c r="D99" s="289"/>
      <c r="E99" s="112"/>
      <c r="I99"/>
      <c r="J99"/>
      <c r="K99"/>
      <c r="L99"/>
      <c r="M99"/>
      <c r="N99"/>
      <c r="O99"/>
      <c r="P99"/>
      <c r="Q99"/>
    </row>
    <row r="100" spans="1:17" ht="12.75">
      <c r="A100" s="109" t="s">
        <v>160</v>
      </c>
      <c r="B100" s="405"/>
      <c r="C100" s="406">
        <f>IF(ISERROR($C92/$C96/12),0,$C92/$C96/12)</f>
        <v>0</v>
      </c>
      <c r="D100" s="295"/>
      <c r="E100" s="112"/>
      <c r="I100"/>
      <c r="J100"/>
      <c r="K100"/>
      <c r="L100"/>
      <c r="M100"/>
      <c r="N100"/>
      <c r="O100"/>
      <c r="P100"/>
      <c r="Q100"/>
    </row>
    <row r="101" spans="1:17" ht="15">
      <c r="A101" s="132"/>
      <c r="B101" s="56"/>
      <c r="C101" s="56"/>
      <c r="D101" s="56"/>
      <c r="I101"/>
      <c r="J101"/>
      <c r="K101"/>
      <c r="L101"/>
      <c r="M101"/>
      <c r="N101"/>
      <c r="O101"/>
      <c r="P101"/>
      <c r="Q101"/>
    </row>
    <row r="102" spans="2:17" ht="12.75">
      <c r="B102" s="56"/>
      <c r="C102" s="56"/>
      <c r="D102" s="56"/>
      <c r="I102"/>
      <c r="J102"/>
      <c r="K102"/>
      <c r="L102"/>
      <c r="M102"/>
      <c r="N102"/>
      <c r="O102"/>
      <c r="P102"/>
      <c r="Q102"/>
    </row>
    <row r="103" spans="1:17" ht="51.75" thickBot="1">
      <c r="A103" s="132"/>
      <c r="B103" s="283" t="s">
        <v>104</v>
      </c>
      <c r="C103" s="283" t="s">
        <v>188</v>
      </c>
      <c r="D103" s="283" t="s">
        <v>103</v>
      </c>
      <c r="I103"/>
      <c r="J103"/>
      <c r="K103"/>
      <c r="L103"/>
      <c r="M103"/>
      <c r="N103"/>
      <c r="O103"/>
      <c r="P103"/>
      <c r="Q103"/>
    </row>
    <row r="104" spans="1:17" ht="15">
      <c r="A104" s="481" t="s">
        <v>212</v>
      </c>
      <c r="B104" s="30"/>
      <c r="C104" s="30"/>
      <c r="I104"/>
      <c r="J104"/>
      <c r="K104"/>
      <c r="L104"/>
      <c r="M104"/>
      <c r="N104"/>
      <c r="O104"/>
      <c r="P104"/>
      <c r="Q104"/>
    </row>
    <row r="105" spans="1:17" ht="12.75">
      <c r="A105" s="109" t="s">
        <v>99</v>
      </c>
      <c r="B105" s="290"/>
      <c r="C105" s="290"/>
      <c r="D105" s="407">
        <f>+G41</f>
        <v>0</v>
      </c>
      <c r="I105"/>
      <c r="J105"/>
      <c r="K105"/>
      <c r="L105"/>
      <c r="M105"/>
      <c r="N105"/>
      <c r="O105"/>
      <c r="P105"/>
      <c r="Q105"/>
    </row>
    <row r="106" spans="1:17" ht="12.75">
      <c r="A106" s="112"/>
      <c r="B106" s="284"/>
      <c r="C106" s="284"/>
      <c r="D106" s="285"/>
      <c r="I106"/>
      <c r="J106"/>
      <c r="K106"/>
      <c r="L106"/>
      <c r="M106"/>
      <c r="N106"/>
      <c r="O106"/>
      <c r="P106"/>
      <c r="Q106"/>
    </row>
    <row r="107" spans="1:17" ht="12.75">
      <c r="A107" s="109" t="s">
        <v>102</v>
      </c>
      <c r="B107" s="479">
        <f>+B90</f>
        <v>1</v>
      </c>
      <c r="C107" s="479">
        <f>+C90</f>
        <v>0</v>
      </c>
      <c r="D107" s="291">
        <f>B107+C107</f>
        <v>1</v>
      </c>
      <c r="I107"/>
      <c r="J107"/>
      <c r="K107"/>
      <c r="L107"/>
      <c r="M107"/>
      <c r="N107"/>
      <c r="O107"/>
      <c r="P107"/>
      <c r="Q107"/>
    </row>
    <row r="108" spans="1:17" ht="12.75">
      <c r="A108" s="112"/>
      <c r="B108" s="286"/>
      <c r="C108" s="286"/>
      <c r="D108" s="286"/>
      <c r="I108"/>
      <c r="J108"/>
      <c r="K108"/>
      <c r="L108"/>
      <c r="M108"/>
      <c r="N108"/>
      <c r="O108"/>
      <c r="P108"/>
      <c r="Q108"/>
    </row>
    <row r="109" spans="1:17" ht="12.75">
      <c r="A109" s="109" t="s">
        <v>105</v>
      </c>
      <c r="B109" s="402">
        <f>$B107*$D105</f>
        <v>0</v>
      </c>
      <c r="C109" s="402">
        <f>C107*D105</f>
        <v>0</v>
      </c>
      <c r="D109" s="402">
        <f>SUM(B109:C109)</f>
        <v>0</v>
      </c>
      <c r="I109"/>
      <c r="J109"/>
      <c r="K109"/>
      <c r="L109"/>
      <c r="M109"/>
      <c r="N109"/>
      <c r="O109"/>
      <c r="P109"/>
      <c r="Q109"/>
    </row>
    <row r="110" spans="1:17" ht="12.75">
      <c r="A110" s="112"/>
      <c r="B110" s="287"/>
      <c r="C110" s="287"/>
      <c r="D110" s="287"/>
      <c r="I110"/>
      <c r="J110"/>
      <c r="K110"/>
      <c r="L110"/>
      <c r="M110"/>
      <c r="N110"/>
      <c r="O110"/>
      <c r="P110"/>
      <c r="Q110"/>
    </row>
    <row r="111" spans="1:17" ht="12.75">
      <c r="A111" s="109" t="s">
        <v>100</v>
      </c>
      <c r="B111" s="293">
        <f>+C41</f>
        <v>3680038</v>
      </c>
      <c r="C111" s="292"/>
      <c r="D111" s="292"/>
      <c r="I111"/>
      <c r="J111"/>
      <c r="K111"/>
      <c r="L111"/>
      <c r="M111"/>
      <c r="N111"/>
      <c r="O111"/>
      <c r="P111"/>
      <c r="Q111"/>
    </row>
    <row r="112" spans="1:17" ht="12.75">
      <c r="A112" s="112"/>
      <c r="B112" s="288"/>
      <c r="C112" s="287"/>
      <c r="D112" s="287"/>
      <c r="I112"/>
      <c r="J112"/>
      <c r="K112"/>
      <c r="L112"/>
      <c r="M112"/>
      <c r="N112"/>
      <c r="O112"/>
      <c r="P112"/>
      <c r="Q112"/>
    </row>
    <row r="113" spans="1:17" ht="12.75">
      <c r="A113" s="109" t="s">
        <v>101</v>
      </c>
      <c r="B113" s="292"/>
      <c r="C113" s="293">
        <f>+D41</f>
        <v>388</v>
      </c>
      <c r="D113" s="292"/>
      <c r="I113"/>
      <c r="J113"/>
      <c r="K113"/>
      <c r="L113"/>
      <c r="M113"/>
      <c r="N113"/>
      <c r="O113"/>
      <c r="P113"/>
      <c r="Q113"/>
    </row>
    <row r="114" spans="1:17" ht="12.75">
      <c r="A114" s="112"/>
      <c r="B114" s="287"/>
      <c r="C114" s="288"/>
      <c r="D114" s="287"/>
      <c r="I114"/>
      <c r="J114"/>
      <c r="K114"/>
      <c r="L114"/>
      <c r="M114"/>
      <c r="N114"/>
      <c r="O114"/>
      <c r="P114"/>
      <c r="Q114"/>
    </row>
    <row r="115" spans="1:17" ht="12.75">
      <c r="A115" s="109" t="s">
        <v>159</v>
      </c>
      <c r="B115" s="403">
        <f>IF(ISERROR($B109/$B111),0,$B109/$B111)</f>
        <v>0</v>
      </c>
      <c r="C115" s="403"/>
      <c r="D115" s="294"/>
      <c r="I115"/>
      <c r="J115"/>
      <c r="K115"/>
      <c r="L115"/>
      <c r="M115"/>
      <c r="N115"/>
      <c r="O115"/>
      <c r="P115"/>
      <c r="Q115"/>
    </row>
    <row r="116" spans="1:17" ht="12.75">
      <c r="A116" s="112"/>
      <c r="B116" s="404"/>
      <c r="C116" s="404"/>
      <c r="D116" s="289"/>
      <c r="I116"/>
      <c r="J116"/>
      <c r="K116"/>
      <c r="L116"/>
      <c r="M116"/>
      <c r="N116"/>
      <c r="O116"/>
      <c r="P116"/>
      <c r="Q116"/>
    </row>
    <row r="117" spans="1:17" ht="12.75">
      <c r="A117" s="109" t="s">
        <v>160</v>
      </c>
      <c r="B117" s="405"/>
      <c r="C117" s="406">
        <f>IF(ISERROR($C109/$C113/12),0,$C109/$C113/12)</f>
        <v>0</v>
      </c>
      <c r="D117" s="295"/>
      <c r="I117"/>
      <c r="J117"/>
      <c r="K117"/>
      <c r="L117"/>
      <c r="M117"/>
      <c r="N117"/>
      <c r="O117"/>
      <c r="P117"/>
      <c r="Q117"/>
    </row>
    <row r="118" spans="2:17" ht="12.75">
      <c r="B118" s="56"/>
      <c r="C118" s="56"/>
      <c r="D118" s="56"/>
      <c r="I118"/>
      <c r="J118"/>
      <c r="K118"/>
      <c r="L118"/>
      <c r="M118"/>
      <c r="N118"/>
      <c r="O118"/>
      <c r="P118"/>
      <c r="Q118"/>
    </row>
    <row r="119" spans="2:17" ht="12.75">
      <c r="B119" s="56"/>
      <c r="C119" s="56"/>
      <c r="D119" s="56"/>
      <c r="I119"/>
      <c r="J119"/>
      <c r="K119"/>
      <c r="L119"/>
      <c r="M119"/>
      <c r="N119"/>
      <c r="O119"/>
      <c r="P119"/>
      <c r="Q119"/>
    </row>
    <row r="120" spans="1:17" ht="51.75" thickBot="1">
      <c r="A120" s="132"/>
      <c r="B120" s="283" t="s">
        <v>104</v>
      </c>
      <c r="C120" s="283" t="s">
        <v>188</v>
      </c>
      <c r="D120" s="283" t="s">
        <v>103</v>
      </c>
      <c r="I120"/>
      <c r="J120"/>
      <c r="K120"/>
      <c r="L120"/>
      <c r="M120"/>
      <c r="N120"/>
      <c r="O120"/>
      <c r="P120"/>
      <c r="Q120"/>
    </row>
    <row r="121" spans="1:17" ht="15">
      <c r="A121" s="481" t="s">
        <v>213</v>
      </c>
      <c r="B121" s="30"/>
      <c r="C121" s="30"/>
      <c r="I121"/>
      <c r="J121"/>
      <c r="K121"/>
      <c r="L121"/>
      <c r="M121"/>
      <c r="N121"/>
      <c r="O121"/>
      <c r="P121"/>
      <c r="Q121"/>
    </row>
    <row r="122" spans="1:17" ht="12.75">
      <c r="A122" s="109" t="s">
        <v>99</v>
      </c>
      <c r="B122" s="290"/>
      <c r="C122" s="290"/>
      <c r="D122" s="407">
        <f>+G42</f>
        <v>0</v>
      </c>
      <c r="I122"/>
      <c r="J122"/>
      <c r="K122"/>
      <c r="L122"/>
      <c r="M122"/>
      <c r="N122"/>
      <c r="O122"/>
      <c r="P122"/>
      <c r="Q122"/>
    </row>
    <row r="123" spans="1:17" ht="12.75">
      <c r="A123" s="112"/>
      <c r="B123" s="284"/>
      <c r="C123" s="284"/>
      <c r="D123" s="285"/>
      <c r="I123"/>
      <c r="J123"/>
      <c r="K123"/>
      <c r="L123"/>
      <c r="M123"/>
      <c r="N123"/>
      <c r="O123"/>
      <c r="P123"/>
      <c r="Q123"/>
    </row>
    <row r="124" spans="1:17" ht="12.75">
      <c r="A124" s="109" t="s">
        <v>102</v>
      </c>
      <c r="B124" s="479">
        <f>+B107</f>
        <v>1</v>
      </c>
      <c r="C124" s="479">
        <f>+C107</f>
        <v>0</v>
      </c>
      <c r="D124" s="291">
        <f>B124+C124</f>
        <v>1</v>
      </c>
      <c r="I124"/>
      <c r="J124"/>
      <c r="K124"/>
      <c r="L124"/>
      <c r="M124"/>
      <c r="N124"/>
      <c r="O124"/>
      <c r="P124"/>
      <c r="Q124"/>
    </row>
    <row r="125" spans="1:17" ht="12.75">
      <c r="A125" s="112"/>
      <c r="B125" s="286"/>
      <c r="C125" s="286"/>
      <c r="D125" s="286"/>
      <c r="I125"/>
      <c r="J125"/>
      <c r="K125"/>
      <c r="L125"/>
      <c r="M125"/>
      <c r="N125"/>
      <c r="O125"/>
      <c r="P125"/>
      <c r="Q125"/>
    </row>
    <row r="126" spans="1:17" ht="12.75">
      <c r="A126" s="109" t="s">
        <v>105</v>
      </c>
      <c r="B126" s="402">
        <f>$B124*$D122</f>
        <v>0</v>
      </c>
      <c r="C126" s="402">
        <f>C124*D122</f>
        <v>0</v>
      </c>
      <c r="D126" s="402">
        <f>SUM(B126:C126)</f>
        <v>0</v>
      </c>
      <c r="I126"/>
      <c r="J126"/>
      <c r="K126"/>
      <c r="L126"/>
      <c r="M126"/>
      <c r="N126"/>
      <c r="O126"/>
      <c r="P126"/>
      <c r="Q126"/>
    </row>
    <row r="127" spans="1:17" ht="12.75">
      <c r="A127" s="112"/>
      <c r="B127" s="287"/>
      <c r="C127" s="287"/>
      <c r="D127" s="287"/>
      <c r="I127"/>
      <c r="J127"/>
      <c r="K127"/>
      <c r="L127"/>
      <c r="M127"/>
      <c r="N127"/>
      <c r="O127"/>
      <c r="P127"/>
      <c r="Q127"/>
    </row>
    <row r="128" spans="1:17" ht="12.75">
      <c r="A128" s="109" t="s">
        <v>100</v>
      </c>
      <c r="B128" s="293">
        <f>+C42</f>
        <v>139169853</v>
      </c>
      <c r="C128" s="292"/>
      <c r="D128" s="292"/>
      <c r="I128"/>
      <c r="J128"/>
      <c r="K128"/>
      <c r="L128"/>
      <c r="M128"/>
      <c r="N128"/>
      <c r="O128"/>
      <c r="P128"/>
      <c r="Q128"/>
    </row>
    <row r="129" spans="1:17" ht="12.75">
      <c r="A129" s="112"/>
      <c r="B129" s="288"/>
      <c r="C129" s="287"/>
      <c r="D129" s="287"/>
      <c r="I129"/>
      <c r="J129"/>
      <c r="K129"/>
      <c r="L129"/>
      <c r="M129"/>
      <c r="N129"/>
      <c r="O129"/>
      <c r="P129"/>
      <c r="Q129"/>
    </row>
    <row r="130" spans="1:17" ht="12.75">
      <c r="A130" s="109" t="s">
        <v>101</v>
      </c>
      <c r="B130" s="292"/>
      <c r="C130" s="293">
        <f>+D42</f>
        <v>15994</v>
      </c>
      <c r="D130" s="292"/>
      <c r="I130"/>
      <c r="J130"/>
      <c r="K130"/>
      <c r="L130"/>
      <c r="M130"/>
      <c r="N130"/>
      <c r="O130"/>
      <c r="P130"/>
      <c r="Q130"/>
    </row>
    <row r="131" spans="1:17" ht="12.75">
      <c r="A131" s="112"/>
      <c r="B131" s="287"/>
      <c r="C131" s="288"/>
      <c r="D131" s="287"/>
      <c r="I131"/>
      <c r="J131"/>
      <c r="K131"/>
      <c r="L131"/>
      <c r="M131"/>
      <c r="N131"/>
      <c r="O131"/>
      <c r="P131"/>
      <c r="Q131"/>
    </row>
    <row r="132" spans="1:17" ht="12.75">
      <c r="A132" s="109" t="s">
        <v>159</v>
      </c>
      <c r="B132" s="403">
        <f>IF(ISERROR($B126/$B128),0,$B126/$B128)</f>
        <v>0</v>
      </c>
      <c r="C132" s="403"/>
      <c r="D132" s="294"/>
      <c r="I132"/>
      <c r="J132"/>
      <c r="K132"/>
      <c r="L132"/>
      <c r="M132"/>
      <c r="N132"/>
      <c r="O132"/>
      <c r="P132"/>
      <c r="Q132"/>
    </row>
    <row r="133" spans="1:17" ht="12.75">
      <c r="A133" s="112"/>
      <c r="B133" s="404"/>
      <c r="C133" s="404"/>
      <c r="D133" s="289"/>
      <c r="I133"/>
      <c r="J133"/>
      <c r="K133"/>
      <c r="L133"/>
      <c r="M133"/>
      <c r="N133"/>
      <c r="O133"/>
      <c r="P133"/>
      <c r="Q133"/>
    </row>
    <row r="134" spans="1:17" ht="12.75">
      <c r="A134" s="109" t="s">
        <v>160</v>
      </c>
      <c r="B134" s="405"/>
      <c r="C134" s="406">
        <f>IF(ISERROR($C126/$C130/12),0,$C126/$C130/12)</f>
        <v>0</v>
      </c>
      <c r="D134" s="295"/>
      <c r="I134"/>
      <c r="J134"/>
      <c r="K134"/>
      <c r="L134"/>
      <c r="M134"/>
      <c r="N134"/>
      <c r="O134"/>
      <c r="P134"/>
      <c r="Q134"/>
    </row>
    <row r="135" spans="2:17" ht="12.75">
      <c r="B135" s="56"/>
      <c r="C135" s="56"/>
      <c r="D135" s="56"/>
      <c r="I135"/>
      <c r="J135"/>
      <c r="K135"/>
      <c r="L135"/>
      <c r="M135"/>
      <c r="N135"/>
      <c r="O135"/>
      <c r="P135"/>
      <c r="Q135"/>
    </row>
    <row r="136" spans="2:17" ht="12.75">
      <c r="B136" s="56"/>
      <c r="C136" s="56"/>
      <c r="D136" s="56"/>
      <c r="I136"/>
      <c r="J136"/>
      <c r="K136"/>
      <c r="L136"/>
      <c r="M136"/>
      <c r="N136"/>
      <c r="O136"/>
      <c r="P136"/>
      <c r="Q136"/>
    </row>
    <row r="137" spans="1:17" ht="51.75" thickBot="1">
      <c r="A137" s="132"/>
      <c r="B137" s="283" t="s">
        <v>104</v>
      </c>
      <c r="C137" s="283" t="s">
        <v>188</v>
      </c>
      <c r="D137" s="283" t="s">
        <v>103</v>
      </c>
      <c r="I137"/>
      <c r="J137"/>
      <c r="K137"/>
      <c r="L137"/>
      <c r="M137"/>
      <c r="N137"/>
      <c r="O137"/>
      <c r="P137"/>
      <c r="Q137"/>
    </row>
    <row r="138" spans="1:17" ht="15">
      <c r="A138" s="481" t="s">
        <v>214</v>
      </c>
      <c r="B138" s="30"/>
      <c r="C138" s="30"/>
      <c r="I138"/>
      <c r="J138"/>
      <c r="K138"/>
      <c r="L138"/>
      <c r="M138"/>
      <c r="N138"/>
      <c r="O138"/>
      <c r="P138"/>
      <c r="Q138"/>
    </row>
    <row r="139" spans="1:17" ht="12.75">
      <c r="A139" s="109" t="s">
        <v>99</v>
      </c>
      <c r="B139" s="290"/>
      <c r="C139" s="290"/>
      <c r="D139" s="407">
        <f>+G43</f>
        <v>0</v>
      </c>
      <c r="I139"/>
      <c r="J139"/>
      <c r="K139"/>
      <c r="L139"/>
      <c r="M139"/>
      <c r="N139"/>
      <c r="O139"/>
      <c r="P139"/>
      <c r="Q139"/>
    </row>
    <row r="140" spans="1:17" ht="12.75">
      <c r="A140" s="112"/>
      <c r="B140" s="284"/>
      <c r="C140" s="284"/>
      <c r="D140" s="285"/>
      <c r="I140"/>
      <c r="J140"/>
      <c r="K140"/>
      <c r="L140"/>
      <c r="M140"/>
      <c r="N140"/>
      <c r="O140"/>
      <c r="P140"/>
      <c r="Q140"/>
    </row>
    <row r="141" spans="1:17" ht="12.75">
      <c r="A141" s="109" t="s">
        <v>102</v>
      </c>
      <c r="B141" s="479">
        <f>+B124</f>
        <v>1</v>
      </c>
      <c r="C141" s="479">
        <f>+C124</f>
        <v>0</v>
      </c>
      <c r="D141" s="291">
        <f>B141+C141</f>
        <v>1</v>
      </c>
      <c r="I141"/>
      <c r="J141"/>
      <c r="K141"/>
      <c r="L141"/>
      <c r="M141"/>
      <c r="N141"/>
      <c r="O141"/>
      <c r="P141"/>
      <c r="Q141"/>
    </row>
    <row r="142" spans="1:17" ht="12.75">
      <c r="A142" s="112"/>
      <c r="B142" s="286"/>
      <c r="C142" s="286"/>
      <c r="D142" s="286"/>
      <c r="I142"/>
      <c r="J142"/>
      <c r="K142"/>
      <c r="L142"/>
      <c r="M142"/>
      <c r="N142"/>
      <c r="O142"/>
      <c r="P142"/>
      <c r="Q142"/>
    </row>
    <row r="143" spans="1:17" ht="12.75">
      <c r="A143" s="109" t="s">
        <v>105</v>
      </c>
      <c r="B143" s="402">
        <f>$B141*$D139</f>
        <v>0</v>
      </c>
      <c r="C143" s="402">
        <f>C141*D139</f>
        <v>0</v>
      </c>
      <c r="D143" s="402">
        <f>SUM(B143:C143)</f>
        <v>0</v>
      </c>
      <c r="I143"/>
      <c r="J143"/>
      <c r="K143"/>
      <c r="L143"/>
      <c r="M143"/>
      <c r="N143"/>
      <c r="O143"/>
      <c r="P143"/>
      <c r="Q143"/>
    </row>
    <row r="144" spans="1:17" ht="12.75">
      <c r="A144" s="112"/>
      <c r="B144" s="287"/>
      <c r="C144" s="287"/>
      <c r="D144" s="287"/>
      <c r="I144"/>
      <c r="J144"/>
      <c r="K144"/>
      <c r="L144"/>
      <c r="M144"/>
      <c r="N144"/>
      <c r="O144"/>
      <c r="P144"/>
      <c r="Q144"/>
    </row>
    <row r="145" spans="1:17" ht="12.75">
      <c r="A145" s="109" t="s">
        <v>100</v>
      </c>
      <c r="B145" s="293">
        <f>+C43</f>
        <v>9624043</v>
      </c>
      <c r="C145" s="292"/>
      <c r="D145" s="292"/>
      <c r="I145"/>
      <c r="J145"/>
      <c r="K145"/>
      <c r="L145"/>
      <c r="M145"/>
      <c r="N145"/>
      <c r="O145"/>
      <c r="P145"/>
      <c r="Q145"/>
    </row>
    <row r="146" spans="1:17" ht="12.75">
      <c r="A146" s="112"/>
      <c r="B146" s="288"/>
      <c r="C146" s="287"/>
      <c r="D146" s="287"/>
      <c r="I146"/>
      <c r="J146"/>
      <c r="K146"/>
      <c r="L146"/>
      <c r="M146"/>
      <c r="N146"/>
      <c r="O146"/>
      <c r="P146"/>
      <c r="Q146"/>
    </row>
    <row r="147" spans="1:17" ht="12.75">
      <c r="A147" s="109" t="s">
        <v>101</v>
      </c>
      <c r="B147" s="292"/>
      <c r="C147" s="293">
        <f>+D43</f>
        <v>1006</v>
      </c>
      <c r="D147" s="292"/>
      <c r="I147"/>
      <c r="J147"/>
      <c r="K147"/>
      <c r="L147"/>
      <c r="M147"/>
      <c r="N147"/>
      <c r="O147"/>
      <c r="P147"/>
      <c r="Q147"/>
    </row>
    <row r="148" spans="1:17" ht="12.75">
      <c r="A148" s="112"/>
      <c r="B148" s="287"/>
      <c r="C148" s="288"/>
      <c r="D148" s="287"/>
      <c r="I148"/>
      <c r="J148"/>
      <c r="K148"/>
      <c r="L148"/>
      <c r="M148"/>
      <c r="N148"/>
      <c r="O148"/>
      <c r="P148"/>
      <c r="Q148"/>
    </row>
    <row r="149" spans="1:17" ht="12.75">
      <c r="A149" s="109" t="s">
        <v>159</v>
      </c>
      <c r="B149" s="403">
        <f>IF(ISERROR($B143/$B145),0,$B143/$B145)</f>
        <v>0</v>
      </c>
      <c r="C149" s="403"/>
      <c r="D149" s="294"/>
      <c r="I149"/>
      <c r="J149"/>
      <c r="K149"/>
      <c r="L149"/>
      <c r="M149"/>
      <c r="N149"/>
      <c r="O149"/>
      <c r="P149"/>
      <c r="Q149"/>
    </row>
    <row r="150" spans="1:17" ht="12.75">
      <c r="A150" s="112"/>
      <c r="B150" s="404"/>
      <c r="C150" s="404"/>
      <c r="D150" s="289"/>
      <c r="I150"/>
      <c r="J150"/>
      <c r="K150"/>
      <c r="L150"/>
      <c r="M150"/>
      <c r="N150"/>
      <c r="O150"/>
      <c r="P150"/>
      <c r="Q150"/>
    </row>
    <row r="151" spans="1:17" ht="12.75">
      <c r="A151" s="109" t="s">
        <v>160</v>
      </c>
      <c r="B151" s="405"/>
      <c r="C151" s="406">
        <f>IF(ISERROR($C143/$C147/12),0,$C143/$C147/12)</f>
        <v>0</v>
      </c>
      <c r="D151" s="295"/>
      <c r="I151"/>
      <c r="J151"/>
      <c r="K151"/>
      <c r="L151"/>
      <c r="M151"/>
      <c r="N151"/>
      <c r="O151"/>
      <c r="P151"/>
      <c r="Q151"/>
    </row>
    <row r="152" spans="2:17" ht="12.75">
      <c r="B152" s="56"/>
      <c r="C152" s="56"/>
      <c r="D152" s="56"/>
      <c r="I152"/>
      <c r="J152"/>
      <c r="K152"/>
      <c r="L152"/>
      <c r="M152"/>
      <c r="N152"/>
      <c r="O152"/>
      <c r="P152"/>
      <c r="Q152"/>
    </row>
    <row r="153" spans="2:17" ht="12.75">
      <c r="B153" s="56"/>
      <c r="C153" s="56"/>
      <c r="D153" s="56"/>
      <c r="I153"/>
      <c r="J153"/>
      <c r="K153"/>
      <c r="L153"/>
      <c r="M153"/>
      <c r="N153"/>
      <c r="O153"/>
      <c r="P153"/>
      <c r="Q153"/>
    </row>
    <row r="154" spans="1:17" ht="51.75" thickBot="1">
      <c r="A154" s="132"/>
      <c r="B154" s="283" t="s">
        <v>104</v>
      </c>
      <c r="C154" s="283" t="s">
        <v>188</v>
      </c>
      <c r="D154" s="283" t="s">
        <v>103</v>
      </c>
      <c r="I154"/>
      <c r="J154"/>
      <c r="K154"/>
      <c r="L154"/>
      <c r="M154"/>
      <c r="N154"/>
      <c r="O154"/>
      <c r="P154"/>
      <c r="Q154"/>
    </row>
    <row r="155" spans="1:17" ht="15">
      <c r="A155" s="481" t="s">
        <v>215</v>
      </c>
      <c r="B155" s="30"/>
      <c r="C155" s="30"/>
      <c r="I155"/>
      <c r="J155"/>
      <c r="K155"/>
      <c r="L155"/>
      <c r="M155"/>
      <c r="N155"/>
      <c r="O155"/>
      <c r="P155"/>
      <c r="Q155"/>
    </row>
    <row r="156" spans="1:17" ht="12.75">
      <c r="A156" s="109" t="s">
        <v>99</v>
      </c>
      <c r="B156" s="290"/>
      <c r="C156" s="290"/>
      <c r="D156" s="407">
        <f>+G44</f>
        <v>0</v>
      </c>
      <c r="I156"/>
      <c r="J156"/>
      <c r="K156"/>
      <c r="L156"/>
      <c r="M156"/>
      <c r="N156"/>
      <c r="O156"/>
      <c r="P156"/>
      <c r="Q156"/>
    </row>
    <row r="157" spans="1:17" ht="12.75">
      <c r="A157" s="112"/>
      <c r="B157" s="284"/>
      <c r="C157" s="284"/>
      <c r="D157" s="285"/>
      <c r="I157"/>
      <c r="J157"/>
      <c r="K157"/>
      <c r="L157"/>
      <c r="M157"/>
      <c r="N157"/>
      <c r="O157"/>
      <c r="P157"/>
      <c r="Q157"/>
    </row>
    <row r="158" spans="1:17" ht="12.75">
      <c r="A158" s="109" t="s">
        <v>102</v>
      </c>
      <c r="B158" s="479">
        <f>+B141</f>
        <v>1</v>
      </c>
      <c r="C158" s="479">
        <f>+C141</f>
        <v>0</v>
      </c>
      <c r="D158" s="291">
        <f>B158+C158</f>
        <v>1</v>
      </c>
      <c r="I158"/>
      <c r="J158"/>
      <c r="K158"/>
      <c r="L158"/>
      <c r="M158"/>
      <c r="N158"/>
      <c r="O158"/>
      <c r="P158"/>
      <c r="Q158"/>
    </row>
    <row r="159" spans="1:17" ht="12.75">
      <c r="A159" s="112"/>
      <c r="B159" s="286"/>
      <c r="C159" s="286"/>
      <c r="D159" s="286"/>
      <c r="I159"/>
      <c r="J159"/>
      <c r="K159"/>
      <c r="L159"/>
      <c r="M159"/>
      <c r="N159"/>
      <c r="O159"/>
      <c r="P159"/>
      <c r="Q159"/>
    </row>
    <row r="160" spans="1:17" ht="12.75">
      <c r="A160" s="109" t="s">
        <v>105</v>
      </c>
      <c r="B160" s="402">
        <f>$B158*$D156</f>
        <v>0</v>
      </c>
      <c r="C160" s="402">
        <f>C158*D156</f>
        <v>0</v>
      </c>
      <c r="D160" s="402">
        <f>SUM(B160:C160)</f>
        <v>0</v>
      </c>
      <c r="I160"/>
      <c r="J160"/>
      <c r="K160"/>
      <c r="L160"/>
      <c r="M160"/>
      <c r="N160"/>
      <c r="O160"/>
      <c r="P160"/>
      <c r="Q160"/>
    </row>
    <row r="161" spans="1:17" ht="12.75">
      <c r="A161" s="112"/>
      <c r="B161" s="287"/>
      <c r="C161" s="287"/>
      <c r="D161" s="287"/>
      <c r="I161"/>
      <c r="J161"/>
      <c r="K161"/>
      <c r="L161"/>
      <c r="M161"/>
      <c r="N161"/>
      <c r="O161"/>
      <c r="P161"/>
      <c r="Q161"/>
    </row>
    <row r="162" spans="1:17" ht="12.75">
      <c r="A162" s="109" t="s">
        <v>100</v>
      </c>
      <c r="B162" s="293">
        <f>+C44</f>
        <v>2597275</v>
      </c>
      <c r="C162" s="292"/>
      <c r="D162" s="292"/>
      <c r="I162"/>
      <c r="J162"/>
      <c r="K162"/>
      <c r="L162"/>
      <c r="M162"/>
      <c r="N162"/>
      <c r="O162"/>
      <c r="P162"/>
      <c r="Q162"/>
    </row>
    <row r="163" spans="1:17" ht="12.75">
      <c r="A163" s="112"/>
      <c r="B163" s="288"/>
      <c r="C163" s="287"/>
      <c r="D163" s="287"/>
      <c r="I163"/>
      <c r="J163"/>
      <c r="K163"/>
      <c r="L163"/>
      <c r="M163"/>
      <c r="N163"/>
      <c r="O163"/>
      <c r="P163"/>
      <c r="Q163"/>
    </row>
    <row r="164" spans="1:17" ht="12.75">
      <c r="A164" s="109" t="s">
        <v>101</v>
      </c>
      <c r="B164" s="292"/>
      <c r="C164" s="293">
        <f>+D44</f>
        <v>335</v>
      </c>
      <c r="D164" s="292"/>
      <c r="I164"/>
      <c r="J164"/>
      <c r="K164"/>
      <c r="L164"/>
      <c r="M164"/>
      <c r="N164"/>
      <c r="O164"/>
      <c r="P164"/>
      <c r="Q164"/>
    </row>
    <row r="165" spans="1:17" ht="12.75">
      <c r="A165" s="112"/>
      <c r="B165" s="287"/>
      <c r="C165" s="288"/>
      <c r="D165" s="287"/>
      <c r="I165"/>
      <c r="J165"/>
      <c r="K165"/>
      <c r="L165"/>
      <c r="M165"/>
      <c r="N165"/>
      <c r="O165"/>
      <c r="P165"/>
      <c r="Q165"/>
    </row>
    <row r="166" spans="1:17" ht="12.75">
      <c r="A166" s="109" t="s">
        <v>159</v>
      </c>
      <c r="B166" s="403">
        <f>IF(ISERROR($B160/$B162),0,$B160/$B162)</f>
        <v>0</v>
      </c>
      <c r="C166" s="403"/>
      <c r="D166" s="294"/>
      <c r="I166"/>
      <c r="J166"/>
      <c r="K166"/>
      <c r="L166"/>
      <c r="M166"/>
      <c r="N166"/>
      <c r="O166"/>
      <c r="P166"/>
      <c r="Q166"/>
    </row>
    <row r="167" spans="1:17" ht="12.75">
      <c r="A167" s="112"/>
      <c r="B167" s="404"/>
      <c r="C167" s="404"/>
      <c r="D167" s="289"/>
      <c r="I167"/>
      <c r="J167"/>
      <c r="K167"/>
      <c r="L167"/>
      <c r="M167"/>
      <c r="N167"/>
      <c r="O167"/>
      <c r="P167"/>
      <c r="Q167"/>
    </row>
    <row r="168" spans="1:17" ht="12.75">
      <c r="A168" s="109" t="s">
        <v>160</v>
      </c>
      <c r="B168" s="405"/>
      <c r="C168" s="406">
        <f>IF(ISERROR($C160/$C164/12),0,$C160/$C164/12)</f>
        <v>0</v>
      </c>
      <c r="D168" s="295"/>
      <c r="I168"/>
      <c r="J168"/>
      <c r="K168"/>
      <c r="L168"/>
      <c r="M168"/>
      <c r="N168"/>
      <c r="O168"/>
      <c r="P168"/>
      <c r="Q168"/>
    </row>
    <row r="169" spans="2:17" ht="12.75">
      <c r="B169" s="56"/>
      <c r="C169" s="56"/>
      <c r="D169" s="56"/>
      <c r="I169"/>
      <c r="J169"/>
      <c r="K169"/>
      <c r="L169"/>
      <c r="M169"/>
      <c r="N169"/>
      <c r="O169"/>
      <c r="P169"/>
      <c r="Q169"/>
    </row>
    <row r="170" spans="2:17" ht="12.75">
      <c r="B170" s="56"/>
      <c r="C170" s="56"/>
      <c r="D170" s="56"/>
      <c r="I170"/>
      <c r="J170"/>
      <c r="K170"/>
      <c r="L170"/>
      <c r="M170"/>
      <c r="N170"/>
      <c r="O170"/>
      <c r="P170"/>
      <c r="Q170"/>
    </row>
    <row r="171" spans="1:17" ht="51.75" thickBot="1">
      <c r="A171" s="132"/>
      <c r="B171" s="283" t="s">
        <v>104</v>
      </c>
      <c r="C171" s="283" t="s">
        <v>188</v>
      </c>
      <c r="D171" s="283" t="s">
        <v>103</v>
      </c>
      <c r="I171"/>
      <c r="J171"/>
      <c r="K171"/>
      <c r="L171"/>
      <c r="M171"/>
      <c r="N171"/>
      <c r="O171"/>
      <c r="P171"/>
      <c r="Q171"/>
    </row>
    <row r="172" spans="1:17" ht="15">
      <c r="A172" s="481" t="s">
        <v>216</v>
      </c>
      <c r="B172" s="30"/>
      <c r="C172" s="30"/>
      <c r="I172"/>
      <c r="J172"/>
      <c r="K172"/>
      <c r="L172"/>
      <c r="M172"/>
      <c r="N172"/>
      <c r="O172"/>
      <c r="P172"/>
      <c r="Q172"/>
    </row>
    <row r="173" spans="1:17" ht="12.75">
      <c r="A173" s="109" t="s">
        <v>99</v>
      </c>
      <c r="B173" s="290"/>
      <c r="C173" s="290"/>
      <c r="D173" s="407">
        <f>+G45</f>
        <v>0</v>
      </c>
      <c r="I173"/>
      <c r="J173"/>
      <c r="K173"/>
      <c r="L173"/>
      <c r="M173"/>
      <c r="N173"/>
      <c r="O173"/>
      <c r="P173"/>
      <c r="Q173"/>
    </row>
    <row r="174" spans="1:17" ht="12.75">
      <c r="A174" s="112"/>
      <c r="B174" s="284"/>
      <c r="C174" s="284"/>
      <c r="D174" s="285"/>
      <c r="I174"/>
      <c r="J174"/>
      <c r="K174"/>
      <c r="L174"/>
      <c r="M174"/>
      <c r="N174"/>
      <c r="O174"/>
      <c r="P174"/>
      <c r="Q174"/>
    </row>
    <row r="175" spans="1:17" ht="12.75">
      <c r="A175" s="109" t="s">
        <v>102</v>
      </c>
      <c r="B175" s="479">
        <f>+B158</f>
        <v>1</v>
      </c>
      <c r="C175" s="479">
        <f>+C158</f>
        <v>0</v>
      </c>
      <c r="D175" s="291">
        <f>B175+C175</f>
        <v>1</v>
      </c>
      <c r="I175"/>
      <c r="J175"/>
      <c r="K175"/>
      <c r="L175"/>
      <c r="M175"/>
      <c r="N175"/>
      <c r="O175"/>
      <c r="P175"/>
      <c r="Q175"/>
    </row>
    <row r="176" spans="1:17" ht="12.75">
      <c r="A176" s="112"/>
      <c r="B176" s="286"/>
      <c r="C176" s="286"/>
      <c r="D176" s="286"/>
      <c r="I176"/>
      <c r="J176"/>
      <c r="K176"/>
      <c r="L176"/>
      <c r="M176"/>
      <c r="N176"/>
      <c r="O176"/>
      <c r="P176"/>
      <c r="Q176"/>
    </row>
    <row r="177" spans="1:17" ht="12.75">
      <c r="A177" s="109" t="s">
        <v>105</v>
      </c>
      <c r="B177" s="402">
        <f>$B175*$D173</f>
        <v>0</v>
      </c>
      <c r="C177" s="402">
        <f>C175*D173</f>
        <v>0</v>
      </c>
      <c r="D177" s="402">
        <f>SUM(B177:C177)</f>
        <v>0</v>
      </c>
      <c r="I177"/>
      <c r="J177"/>
      <c r="K177"/>
      <c r="L177"/>
      <c r="M177"/>
      <c r="N177"/>
      <c r="O177"/>
      <c r="P177"/>
      <c r="Q177"/>
    </row>
    <row r="178" spans="1:17" ht="12.75">
      <c r="A178" s="112"/>
      <c r="B178" s="287"/>
      <c r="C178" s="287"/>
      <c r="D178" s="287"/>
      <c r="I178"/>
      <c r="J178"/>
      <c r="K178"/>
      <c r="L178"/>
      <c r="M178"/>
      <c r="N178"/>
      <c r="O178"/>
      <c r="P178"/>
      <c r="Q178"/>
    </row>
    <row r="179" spans="1:17" ht="12.75">
      <c r="A179" s="109" t="s">
        <v>100</v>
      </c>
      <c r="B179" s="293">
        <f>+C45</f>
        <v>2237409</v>
      </c>
      <c r="C179" s="292"/>
      <c r="D179" s="292"/>
      <c r="I179"/>
      <c r="J179"/>
      <c r="K179"/>
      <c r="L179"/>
      <c r="M179"/>
      <c r="N179"/>
      <c r="O179"/>
      <c r="P179"/>
      <c r="Q179"/>
    </row>
    <row r="180" spans="1:17" ht="12.75">
      <c r="A180" s="112"/>
      <c r="B180" s="288"/>
      <c r="C180" s="287"/>
      <c r="D180" s="287"/>
      <c r="I180"/>
      <c r="J180"/>
      <c r="K180"/>
      <c r="L180"/>
      <c r="M180"/>
      <c r="N180"/>
      <c r="O180"/>
      <c r="P180"/>
      <c r="Q180"/>
    </row>
    <row r="181" spans="1:17" ht="12.75">
      <c r="A181" s="109" t="s">
        <v>101</v>
      </c>
      <c r="B181" s="292"/>
      <c r="C181" s="293">
        <f>+D45</f>
        <v>282</v>
      </c>
      <c r="D181" s="292"/>
      <c r="I181"/>
      <c r="J181"/>
      <c r="K181"/>
      <c r="L181"/>
      <c r="M181"/>
      <c r="N181"/>
      <c r="O181"/>
      <c r="P181"/>
      <c r="Q181"/>
    </row>
    <row r="182" spans="1:17" ht="12.75">
      <c r="A182" s="112"/>
      <c r="B182" s="287"/>
      <c r="C182" s="288"/>
      <c r="D182" s="287"/>
      <c r="I182"/>
      <c r="J182"/>
      <c r="K182"/>
      <c r="L182"/>
      <c r="M182"/>
      <c r="N182"/>
      <c r="O182"/>
      <c r="P182"/>
      <c r="Q182"/>
    </row>
    <row r="183" spans="1:17" ht="12.75">
      <c r="A183" s="109" t="s">
        <v>159</v>
      </c>
      <c r="B183" s="403">
        <f>IF(ISERROR($B177/$B179),0,$B177/$B179)</f>
        <v>0</v>
      </c>
      <c r="C183" s="403"/>
      <c r="D183" s="294"/>
      <c r="I183"/>
      <c r="J183"/>
      <c r="K183"/>
      <c r="L183"/>
      <c r="M183"/>
      <c r="N183"/>
      <c r="O183"/>
      <c r="P183"/>
      <c r="Q183"/>
    </row>
    <row r="184" spans="1:17" ht="12.75">
      <c r="A184" s="112"/>
      <c r="B184" s="404"/>
      <c r="C184" s="404"/>
      <c r="D184" s="289"/>
      <c r="I184"/>
      <c r="J184"/>
      <c r="K184"/>
      <c r="L184"/>
      <c r="M184"/>
      <c r="N184"/>
      <c r="O184"/>
      <c r="P184"/>
      <c r="Q184"/>
    </row>
    <row r="185" spans="1:17" ht="12.75">
      <c r="A185" s="109" t="s">
        <v>160</v>
      </c>
      <c r="B185" s="405"/>
      <c r="C185" s="406">
        <f>IF(ISERROR($C177/$C181/12),0,$C177/$C181/12)</f>
        <v>0</v>
      </c>
      <c r="D185" s="295"/>
      <c r="I185"/>
      <c r="J185"/>
      <c r="K185"/>
      <c r="L185"/>
      <c r="M185"/>
      <c r="N185"/>
      <c r="O185"/>
      <c r="P185"/>
      <c r="Q185"/>
    </row>
    <row r="186" spans="2:17" ht="12.75">
      <c r="B186" s="56"/>
      <c r="C186" s="56"/>
      <c r="D186" s="56"/>
      <c r="I186"/>
      <c r="J186"/>
      <c r="K186"/>
      <c r="L186"/>
      <c r="M186"/>
      <c r="N186"/>
      <c r="O186"/>
      <c r="P186"/>
      <c r="Q186"/>
    </row>
    <row r="187" spans="2:17" ht="12.75">
      <c r="B187" s="56"/>
      <c r="C187" s="56"/>
      <c r="D187" s="56"/>
      <c r="I187"/>
      <c r="J187"/>
      <c r="K187"/>
      <c r="L187"/>
      <c r="M187"/>
      <c r="N187"/>
      <c r="O187"/>
      <c r="P187"/>
      <c r="Q187"/>
    </row>
    <row r="188" spans="1:17" ht="51.75" thickBot="1">
      <c r="A188" s="132"/>
      <c r="B188" s="283" t="s">
        <v>104</v>
      </c>
      <c r="C188" s="283" t="s">
        <v>188</v>
      </c>
      <c r="D188" s="283" t="s">
        <v>103</v>
      </c>
      <c r="I188"/>
      <c r="J188"/>
      <c r="K188"/>
      <c r="L188"/>
      <c r="M188"/>
      <c r="N188"/>
      <c r="O188"/>
      <c r="P188"/>
      <c r="Q188"/>
    </row>
    <row r="189" spans="1:17" ht="15">
      <c r="A189" s="481" t="s">
        <v>217</v>
      </c>
      <c r="B189" s="30"/>
      <c r="C189" s="30"/>
      <c r="I189"/>
      <c r="J189"/>
      <c r="K189"/>
      <c r="L189"/>
      <c r="M189"/>
      <c r="N189"/>
      <c r="O189"/>
      <c r="P189"/>
      <c r="Q189"/>
    </row>
    <row r="190" spans="1:17" ht="12.75">
      <c r="A190" s="109" t="s">
        <v>99</v>
      </c>
      <c r="B190" s="290"/>
      <c r="C190" s="290"/>
      <c r="D190" s="407">
        <f>+G46</f>
        <v>0</v>
      </c>
      <c r="I190"/>
      <c r="J190"/>
      <c r="K190"/>
      <c r="L190"/>
      <c r="M190"/>
      <c r="N190"/>
      <c r="O190"/>
      <c r="P190"/>
      <c r="Q190"/>
    </row>
    <row r="191" spans="1:17" ht="12.75">
      <c r="A191" s="112"/>
      <c r="B191" s="284"/>
      <c r="C191" s="284"/>
      <c r="D191" s="285"/>
      <c r="I191"/>
      <c r="J191"/>
      <c r="K191"/>
      <c r="L191"/>
      <c r="M191"/>
      <c r="N191"/>
      <c r="O191"/>
      <c r="P191"/>
      <c r="Q191"/>
    </row>
    <row r="192" spans="1:17" ht="12.75">
      <c r="A192" s="109" t="s">
        <v>102</v>
      </c>
      <c r="B192" s="479">
        <f>+B175</f>
        <v>1</v>
      </c>
      <c r="C192" s="479">
        <f>+C175</f>
        <v>0</v>
      </c>
      <c r="D192" s="291">
        <f>B192+C192</f>
        <v>1</v>
      </c>
      <c r="I192"/>
      <c r="J192"/>
      <c r="K192"/>
      <c r="L192"/>
      <c r="M192"/>
      <c r="N192"/>
      <c r="O192"/>
      <c r="P192"/>
      <c r="Q192"/>
    </row>
    <row r="193" spans="1:17" ht="12.75">
      <c r="A193" s="112"/>
      <c r="B193" s="286"/>
      <c r="C193" s="286"/>
      <c r="D193" s="286"/>
      <c r="I193"/>
      <c r="J193"/>
      <c r="K193"/>
      <c r="L193"/>
      <c r="M193"/>
      <c r="N193"/>
      <c r="O193"/>
      <c r="P193"/>
      <c r="Q193"/>
    </row>
    <row r="194" spans="1:17" ht="12.75">
      <c r="A194" s="109" t="s">
        <v>105</v>
      </c>
      <c r="B194" s="402">
        <f>$B192*$D190</f>
        <v>0</v>
      </c>
      <c r="C194" s="402">
        <f>C192*D190</f>
        <v>0</v>
      </c>
      <c r="D194" s="402">
        <f>SUM(B194:C194)</f>
        <v>0</v>
      </c>
      <c r="I194"/>
      <c r="J194"/>
      <c r="K194"/>
      <c r="L194"/>
      <c r="M194"/>
      <c r="N194"/>
      <c r="O194"/>
      <c r="P194"/>
      <c r="Q194"/>
    </row>
    <row r="195" spans="1:17" ht="12.75">
      <c r="A195" s="112"/>
      <c r="B195" s="287"/>
      <c r="C195" s="287"/>
      <c r="D195" s="287"/>
      <c r="I195"/>
      <c r="J195"/>
      <c r="K195"/>
      <c r="L195"/>
      <c r="M195"/>
      <c r="N195"/>
      <c r="O195"/>
      <c r="P195"/>
      <c r="Q195"/>
    </row>
    <row r="196" spans="1:17" ht="12.75">
      <c r="A196" s="109" t="s">
        <v>100</v>
      </c>
      <c r="B196" s="293">
        <f>+C46</f>
        <v>10742282</v>
      </c>
      <c r="C196" s="292"/>
      <c r="D196" s="292"/>
      <c r="I196"/>
      <c r="J196"/>
      <c r="K196"/>
      <c r="L196"/>
      <c r="M196"/>
      <c r="N196"/>
      <c r="O196"/>
      <c r="P196"/>
      <c r="Q196"/>
    </row>
    <row r="197" spans="1:17" ht="12.75">
      <c r="A197" s="112"/>
      <c r="B197" s="288"/>
      <c r="C197" s="287"/>
      <c r="D197" s="287"/>
      <c r="I197"/>
      <c r="J197"/>
      <c r="K197"/>
      <c r="L197"/>
      <c r="M197"/>
      <c r="N197"/>
      <c r="O197"/>
      <c r="P197"/>
      <c r="Q197"/>
    </row>
    <row r="198" spans="1:17" ht="12.75">
      <c r="A198" s="109" t="s">
        <v>101</v>
      </c>
      <c r="B198" s="292"/>
      <c r="C198" s="293">
        <f>+D46</f>
        <v>1345</v>
      </c>
      <c r="D198" s="292"/>
      <c r="I198"/>
      <c r="J198"/>
      <c r="K198"/>
      <c r="L198"/>
      <c r="M198"/>
      <c r="N198"/>
      <c r="O198"/>
      <c r="P198"/>
      <c r="Q198"/>
    </row>
    <row r="199" spans="1:17" ht="12.75">
      <c r="A199" s="112"/>
      <c r="B199" s="287"/>
      <c r="C199" s="288"/>
      <c r="D199" s="287"/>
      <c r="I199"/>
      <c r="J199"/>
      <c r="K199"/>
      <c r="L199"/>
      <c r="M199"/>
      <c r="N199"/>
      <c r="O199"/>
      <c r="P199"/>
      <c r="Q199"/>
    </row>
    <row r="200" spans="1:17" ht="12.75">
      <c r="A200" s="109" t="s">
        <v>159</v>
      </c>
      <c r="B200" s="403">
        <f>IF(ISERROR($B194/$B196),0,$B194/$B196)</f>
        <v>0</v>
      </c>
      <c r="C200" s="403"/>
      <c r="D200" s="294"/>
      <c r="I200"/>
      <c r="J200"/>
      <c r="K200"/>
      <c r="L200"/>
      <c r="M200"/>
      <c r="N200"/>
      <c r="O200"/>
      <c r="P200"/>
      <c r="Q200"/>
    </row>
    <row r="201" spans="1:17" ht="12.75">
      <c r="A201" s="112"/>
      <c r="B201" s="404"/>
      <c r="C201" s="404"/>
      <c r="D201" s="289"/>
      <c r="I201"/>
      <c r="J201"/>
      <c r="K201"/>
      <c r="L201"/>
      <c r="M201"/>
      <c r="N201"/>
      <c r="O201"/>
      <c r="P201"/>
      <c r="Q201"/>
    </row>
    <row r="202" spans="1:17" ht="12.75">
      <c r="A202" s="109" t="s">
        <v>160</v>
      </c>
      <c r="B202" s="405"/>
      <c r="C202" s="406">
        <f>IF(ISERROR($C194/$C198/12),0,$C194/$C198/12)</f>
        <v>0</v>
      </c>
      <c r="D202" s="295"/>
      <c r="I202"/>
      <c r="J202"/>
      <c r="K202"/>
      <c r="L202"/>
      <c r="M202"/>
      <c r="N202"/>
      <c r="O202"/>
      <c r="P202"/>
      <c r="Q202"/>
    </row>
    <row r="203" spans="2:17" ht="12.75">
      <c r="B203" s="56"/>
      <c r="C203" s="56"/>
      <c r="D203" s="56"/>
      <c r="I203"/>
      <c r="J203"/>
      <c r="K203"/>
      <c r="L203"/>
      <c r="M203"/>
      <c r="N203"/>
      <c r="O203"/>
      <c r="P203"/>
      <c r="Q203"/>
    </row>
    <row r="204" spans="2:17" ht="12.75">
      <c r="B204" s="56"/>
      <c r="C204" s="56"/>
      <c r="D204" s="56"/>
      <c r="I204"/>
      <c r="J204"/>
      <c r="K204"/>
      <c r="L204"/>
      <c r="M204"/>
      <c r="N204"/>
      <c r="O204"/>
      <c r="P204"/>
      <c r="Q204"/>
    </row>
    <row r="205" spans="1:17" ht="51.75" thickBot="1">
      <c r="A205" s="132"/>
      <c r="B205" s="283" t="s">
        <v>104</v>
      </c>
      <c r="C205" s="283" t="s">
        <v>188</v>
      </c>
      <c r="D205" s="283" t="s">
        <v>103</v>
      </c>
      <c r="I205"/>
      <c r="J205"/>
      <c r="K205"/>
      <c r="L205"/>
      <c r="M205"/>
      <c r="N205"/>
      <c r="O205"/>
      <c r="P205"/>
      <c r="Q205"/>
    </row>
    <row r="206" spans="1:17" ht="15">
      <c r="A206" s="481" t="s">
        <v>218</v>
      </c>
      <c r="B206" s="30"/>
      <c r="C206" s="30"/>
      <c r="D206" s="494"/>
      <c r="I206"/>
      <c r="J206"/>
      <c r="K206"/>
      <c r="L206"/>
      <c r="M206"/>
      <c r="N206"/>
      <c r="O206"/>
      <c r="P206"/>
      <c r="Q206"/>
    </row>
    <row r="207" spans="1:17" ht="12.75">
      <c r="A207" s="109" t="s">
        <v>99</v>
      </c>
      <c r="B207" s="290"/>
      <c r="C207" s="290"/>
      <c r="D207" s="407">
        <f>+G47</f>
        <v>0</v>
      </c>
      <c r="I207"/>
      <c r="J207"/>
      <c r="K207"/>
      <c r="L207"/>
      <c r="M207"/>
      <c r="N207"/>
      <c r="O207"/>
      <c r="P207"/>
      <c r="Q207"/>
    </row>
    <row r="208" spans="1:17" ht="12.75">
      <c r="A208" s="112"/>
      <c r="B208" s="284"/>
      <c r="C208" s="284"/>
      <c r="D208" s="285"/>
      <c r="I208"/>
      <c r="J208"/>
      <c r="K208"/>
      <c r="L208"/>
      <c r="M208"/>
      <c r="N208"/>
      <c r="O208"/>
      <c r="P208"/>
      <c r="Q208"/>
    </row>
    <row r="209" spans="1:17" ht="12.75">
      <c r="A209" s="109" t="s">
        <v>102</v>
      </c>
      <c r="B209" s="479">
        <f>+B192</f>
        <v>1</v>
      </c>
      <c r="C209" s="479">
        <f>+C192</f>
        <v>0</v>
      </c>
      <c r="D209" s="291">
        <f>B209+C209</f>
        <v>1</v>
      </c>
      <c r="I209"/>
      <c r="J209"/>
      <c r="K209"/>
      <c r="L209"/>
      <c r="M209"/>
      <c r="N209"/>
      <c r="O209"/>
      <c r="P209"/>
      <c r="Q209"/>
    </row>
    <row r="210" spans="1:17" ht="12.75">
      <c r="A210" s="112"/>
      <c r="B210" s="286"/>
      <c r="C210" s="286"/>
      <c r="D210" s="286"/>
      <c r="I210"/>
      <c r="J210"/>
      <c r="K210"/>
      <c r="L210"/>
      <c r="M210"/>
      <c r="N210"/>
      <c r="O210"/>
      <c r="P210"/>
      <c r="Q210"/>
    </row>
    <row r="211" spans="1:17" ht="12.75">
      <c r="A211" s="109" t="s">
        <v>105</v>
      </c>
      <c r="B211" s="402">
        <f>$B209*$D207</f>
        <v>0</v>
      </c>
      <c r="C211" s="402">
        <f>C209*D207</f>
        <v>0</v>
      </c>
      <c r="D211" s="402">
        <f>SUM(B211:C211)</f>
        <v>0</v>
      </c>
      <c r="I211"/>
      <c r="J211"/>
      <c r="K211"/>
      <c r="L211"/>
      <c r="M211"/>
      <c r="N211"/>
      <c r="O211"/>
      <c r="P211"/>
      <c r="Q211"/>
    </row>
    <row r="212" spans="1:17" ht="12.75">
      <c r="A212" s="112"/>
      <c r="B212" s="496"/>
      <c r="C212" s="287"/>
      <c r="D212" s="287"/>
      <c r="I212"/>
      <c r="J212"/>
      <c r="K212"/>
      <c r="L212"/>
      <c r="M212"/>
      <c r="N212"/>
      <c r="O212"/>
      <c r="P212"/>
      <c r="Q212"/>
    </row>
    <row r="213" spans="1:17" ht="12.75">
      <c r="A213" s="109" t="s">
        <v>100</v>
      </c>
      <c r="B213" s="293">
        <f>+C47</f>
        <v>3373917</v>
      </c>
      <c r="C213" s="292"/>
      <c r="D213" s="292"/>
      <c r="I213"/>
      <c r="J213"/>
      <c r="K213"/>
      <c r="L213"/>
      <c r="M213"/>
      <c r="N213"/>
      <c r="O213"/>
      <c r="P213"/>
      <c r="Q213"/>
    </row>
    <row r="214" spans="1:17" ht="12.75">
      <c r="A214" s="112"/>
      <c r="B214" s="288"/>
      <c r="C214" s="287"/>
      <c r="D214" s="287"/>
      <c r="I214"/>
      <c r="J214"/>
      <c r="K214"/>
      <c r="L214"/>
      <c r="M214"/>
      <c r="N214"/>
      <c r="O214"/>
      <c r="P214"/>
      <c r="Q214"/>
    </row>
    <row r="215" spans="1:17" ht="12.75">
      <c r="A215" s="109" t="s">
        <v>101</v>
      </c>
      <c r="B215" s="292"/>
      <c r="C215" s="293">
        <f>+D47</f>
        <v>361</v>
      </c>
      <c r="D215" s="292"/>
      <c r="I215"/>
      <c r="J215"/>
      <c r="K215"/>
      <c r="L215"/>
      <c r="M215"/>
      <c r="N215"/>
      <c r="O215"/>
      <c r="P215"/>
      <c r="Q215"/>
    </row>
    <row r="216" spans="1:17" ht="12.75">
      <c r="A216" s="112"/>
      <c r="B216" s="287"/>
      <c r="C216" s="288"/>
      <c r="D216" s="287"/>
      <c r="I216"/>
      <c r="J216"/>
      <c r="K216"/>
      <c r="L216"/>
      <c r="M216"/>
      <c r="N216"/>
      <c r="O216"/>
      <c r="P216"/>
      <c r="Q216"/>
    </row>
    <row r="217" spans="1:17" ht="12.75">
      <c r="A217" s="109" t="s">
        <v>159</v>
      </c>
      <c r="B217" s="403">
        <f>IF(ISERROR($B211/$B213),0,$B211/$B213)</f>
        <v>0</v>
      </c>
      <c r="C217" s="403"/>
      <c r="D217" s="294"/>
      <c r="I217"/>
      <c r="J217"/>
      <c r="K217"/>
      <c r="L217"/>
      <c r="M217"/>
      <c r="N217"/>
      <c r="O217"/>
      <c r="P217"/>
      <c r="Q217"/>
    </row>
    <row r="218" spans="1:17" ht="12.75">
      <c r="A218" s="112"/>
      <c r="B218" s="404"/>
      <c r="C218" s="404"/>
      <c r="D218" s="289"/>
      <c r="I218"/>
      <c r="J218"/>
      <c r="K218"/>
      <c r="L218"/>
      <c r="M218"/>
      <c r="N218"/>
      <c r="O218"/>
      <c r="P218"/>
      <c r="Q218"/>
    </row>
    <row r="219" spans="1:17" ht="12.75">
      <c r="A219" s="109" t="s">
        <v>160</v>
      </c>
      <c r="B219" s="405"/>
      <c r="C219" s="406">
        <f>IF(ISERROR($C211/$C215/12),0,$C211/$C215/12)</f>
        <v>0</v>
      </c>
      <c r="D219" s="295"/>
      <c r="I219"/>
      <c r="J219"/>
      <c r="K219"/>
      <c r="L219"/>
      <c r="M219"/>
      <c r="N219"/>
      <c r="O219"/>
      <c r="P219"/>
      <c r="Q219"/>
    </row>
    <row r="220" spans="2:17" ht="12.75">
      <c r="B220" s="56"/>
      <c r="C220" s="56"/>
      <c r="D220" s="56"/>
      <c r="I220"/>
      <c r="J220"/>
      <c r="K220"/>
      <c r="L220"/>
      <c r="M220"/>
      <c r="N220"/>
      <c r="O220"/>
      <c r="P220"/>
      <c r="Q220"/>
    </row>
    <row r="221" spans="2:17" ht="12.75">
      <c r="B221" s="56"/>
      <c r="C221" s="56"/>
      <c r="D221" s="56"/>
      <c r="I221"/>
      <c r="J221"/>
      <c r="K221"/>
      <c r="L221"/>
      <c r="M221"/>
      <c r="N221"/>
      <c r="O221"/>
      <c r="P221"/>
      <c r="Q221"/>
    </row>
    <row r="222" spans="1:17" ht="51.75" thickBot="1">
      <c r="A222" s="132"/>
      <c r="B222" s="283" t="s">
        <v>104</v>
      </c>
      <c r="C222" s="283" t="s">
        <v>188</v>
      </c>
      <c r="D222" s="283" t="s">
        <v>103</v>
      </c>
      <c r="I222"/>
      <c r="J222"/>
      <c r="K222"/>
      <c r="L222"/>
      <c r="M222"/>
      <c r="N222"/>
      <c r="O222"/>
      <c r="P222"/>
      <c r="Q222"/>
    </row>
    <row r="223" spans="1:17" ht="15">
      <c r="A223" s="481" t="s">
        <v>219</v>
      </c>
      <c r="B223" s="30"/>
      <c r="C223" s="30"/>
      <c r="I223"/>
      <c r="J223"/>
      <c r="K223"/>
      <c r="L223"/>
      <c r="M223"/>
      <c r="N223"/>
      <c r="O223"/>
      <c r="P223"/>
      <c r="Q223"/>
    </row>
    <row r="224" spans="1:17" ht="12.75">
      <c r="A224" s="109" t="s">
        <v>99</v>
      </c>
      <c r="B224" s="290"/>
      <c r="C224" s="290"/>
      <c r="D224" s="407">
        <f>+G48</f>
        <v>0</v>
      </c>
      <c r="I224"/>
      <c r="J224"/>
      <c r="K224"/>
      <c r="L224"/>
      <c r="M224"/>
      <c r="N224"/>
      <c r="O224"/>
      <c r="P224"/>
      <c r="Q224"/>
    </row>
    <row r="225" spans="1:17" ht="12.75">
      <c r="A225" s="112"/>
      <c r="B225" s="284"/>
      <c r="C225" s="284"/>
      <c r="D225" s="285"/>
      <c r="I225"/>
      <c r="J225"/>
      <c r="K225"/>
      <c r="L225"/>
      <c r="M225"/>
      <c r="N225"/>
      <c r="O225"/>
      <c r="P225"/>
      <c r="Q225"/>
    </row>
    <row r="226" spans="1:17" ht="12.75">
      <c r="A226" s="109" t="s">
        <v>102</v>
      </c>
      <c r="B226" s="479">
        <f>+B209</f>
        <v>1</v>
      </c>
      <c r="C226" s="479">
        <f>+C209</f>
        <v>0</v>
      </c>
      <c r="D226" s="291">
        <f>B226+C226</f>
        <v>1</v>
      </c>
      <c r="I226"/>
      <c r="J226"/>
      <c r="K226"/>
      <c r="L226"/>
      <c r="M226"/>
      <c r="N226"/>
      <c r="O226"/>
      <c r="P226"/>
      <c r="Q226"/>
    </row>
    <row r="227" spans="1:17" ht="12.75">
      <c r="A227" s="112"/>
      <c r="B227" s="286"/>
      <c r="C227" s="286"/>
      <c r="D227" s="286"/>
      <c r="I227"/>
      <c r="J227"/>
      <c r="K227"/>
      <c r="L227"/>
      <c r="M227"/>
      <c r="N227"/>
      <c r="O227"/>
      <c r="P227"/>
      <c r="Q227"/>
    </row>
    <row r="228" spans="1:17" ht="12.75">
      <c r="A228" s="109" t="s">
        <v>105</v>
      </c>
      <c r="B228" s="402">
        <f>$B226*$D224</f>
        <v>0</v>
      </c>
      <c r="C228" s="402">
        <f>C226*D224</f>
        <v>0</v>
      </c>
      <c r="D228" s="402">
        <f>SUM(B228:C228)</f>
        <v>0</v>
      </c>
      <c r="I228"/>
      <c r="J228"/>
      <c r="K228"/>
      <c r="L228"/>
      <c r="M228"/>
      <c r="N228"/>
      <c r="O228"/>
      <c r="P228"/>
      <c r="Q228"/>
    </row>
    <row r="229" spans="1:17" ht="12.75">
      <c r="A229" s="112"/>
      <c r="B229" s="287"/>
      <c r="C229" s="287"/>
      <c r="D229" s="287"/>
      <c r="I229"/>
      <c r="J229"/>
      <c r="K229"/>
      <c r="L229"/>
      <c r="M229"/>
      <c r="N229"/>
      <c r="O229"/>
      <c r="P229"/>
      <c r="Q229"/>
    </row>
    <row r="230" spans="1:17" ht="12.75">
      <c r="A230" s="109" t="s">
        <v>100</v>
      </c>
      <c r="B230" s="293">
        <f>+C48</f>
        <v>17653441</v>
      </c>
      <c r="C230" s="292"/>
      <c r="D230" s="292"/>
      <c r="I230"/>
      <c r="J230"/>
      <c r="K230"/>
      <c r="L230"/>
      <c r="M230"/>
      <c r="N230"/>
      <c r="O230"/>
      <c r="P230"/>
      <c r="Q230"/>
    </row>
    <row r="231" spans="1:17" ht="12.75">
      <c r="A231" s="112"/>
      <c r="B231" s="288"/>
      <c r="C231" s="287"/>
      <c r="D231" s="287"/>
      <c r="I231"/>
      <c r="J231"/>
      <c r="K231"/>
      <c r="L231"/>
      <c r="M231"/>
      <c r="N231"/>
      <c r="O231"/>
      <c r="P231"/>
      <c r="Q231"/>
    </row>
    <row r="232" spans="1:17" ht="12.75">
      <c r="A232" s="109" t="s">
        <v>101</v>
      </c>
      <c r="B232" s="292"/>
      <c r="C232" s="293">
        <f>+D48</f>
        <v>1839</v>
      </c>
      <c r="D232" s="292"/>
      <c r="I232"/>
      <c r="J232"/>
      <c r="K232"/>
      <c r="L232"/>
      <c r="M232"/>
      <c r="N232"/>
      <c r="O232"/>
      <c r="P232"/>
      <c r="Q232"/>
    </row>
    <row r="233" spans="1:17" ht="12.75">
      <c r="A233" s="112"/>
      <c r="B233" s="287"/>
      <c r="C233" s="288"/>
      <c r="D233" s="287"/>
      <c r="I233"/>
      <c r="J233"/>
      <c r="K233"/>
      <c r="L233"/>
      <c r="M233"/>
      <c r="N233"/>
      <c r="O233"/>
      <c r="P233"/>
      <c r="Q233"/>
    </row>
    <row r="234" spans="1:17" ht="12.75">
      <c r="A234" s="109" t="s">
        <v>159</v>
      </c>
      <c r="B234" s="403">
        <f>IF(ISERROR($B228/$B230),0,$B228/$B230)</f>
        <v>0</v>
      </c>
      <c r="C234" s="403"/>
      <c r="D234" s="294"/>
      <c r="I234"/>
      <c r="J234"/>
      <c r="K234"/>
      <c r="L234"/>
      <c r="M234"/>
      <c r="N234"/>
      <c r="O234"/>
      <c r="P234"/>
      <c r="Q234"/>
    </row>
    <row r="235" spans="1:17" ht="12.75">
      <c r="A235" s="112"/>
      <c r="B235" s="404"/>
      <c r="C235" s="404"/>
      <c r="D235" s="289"/>
      <c r="I235"/>
      <c r="J235"/>
      <c r="K235"/>
      <c r="L235"/>
      <c r="M235"/>
      <c r="N235"/>
      <c r="O235"/>
      <c r="P235"/>
      <c r="Q235"/>
    </row>
    <row r="236" spans="1:17" ht="12.75">
      <c r="A236" s="109" t="s">
        <v>160</v>
      </c>
      <c r="B236" s="405"/>
      <c r="C236" s="406">
        <f>IF(ISERROR($C228/$C232/12),0,$C228/$C232/12)</f>
        <v>0</v>
      </c>
      <c r="D236" s="295"/>
      <c r="I236"/>
      <c r="J236"/>
      <c r="K236"/>
      <c r="L236"/>
      <c r="M236"/>
      <c r="N236"/>
      <c r="O236"/>
      <c r="P236"/>
      <c r="Q236"/>
    </row>
    <row r="237" spans="2:17" ht="12.75">
      <c r="B237" s="56"/>
      <c r="C237" s="56"/>
      <c r="D237" s="56"/>
      <c r="I237"/>
      <c r="J237"/>
      <c r="K237"/>
      <c r="L237"/>
      <c r="M237"/>
      <c r="N237"/>
      <c r="O237"/>
      <c r="P237"/>
      <c r="Q237"/>
    </row>
    <row r="238" spans="2:17" ht="12.75">
      <c r="B238" s="56"/>
      <c r="C238" s="56"/>
      <c r="D238" s="56"/>
      <c r="I238"/>
      <c r="J238"/>
      <c r="K238"/>
      <c r="L238"/>
      <c r="M238"/>
      <c r="N238"/>
      <c r="O238"/>
      <c r="P238"/>
      <c r="Q238"/>
    </row>
    <row r="239" spans="1:17" ht="51.75" thickBot="1">
      <c r="A239" s="132"/>
      <c r="B239" s="283" t="s">
        <v>104</v>
      </c>
      <c r="C239" s="283" t="s">
        <v>188</v>
      </c>
      <c r="D239" s="283" t="s">
        <v>103</v>
      </c>
      <c r="I239"/>
      <c r="J239"/>
      <c r="K239"/>
      <c r="L239"/>
      <c r="M239"/>
      <c r="N239"/>
      <c r="O239"/>
      <c r="P239"/>
      <c r="Q239"/>
    </row>
    <row r="240" spans="1:17" ht="15">
      <c r="A240" s="481" t="s">
        <v>220</v>
      </c>
      <c r="B240" s="30"/>
      <c r="C240" s="30"/>
      <c r="I240"/>
      <c r="J240"/>
      <c r="K240"/>
      <c r="L240"/>
      <c r="M240"/>
      <c r="N240"/>
      <c r="O240"/>
      <c r="P240"/>
      <c r="Q240"/>
    </row>
    <row r="241" spans="1:17" ht="12.75">
      <c r="A241" s="109" t="s">
        <v>99</v>
      </c>
      <c r="B241" s="290"/>
      <c r="C241" s="290"/>
      <c r="D241" s="407">
        <f>+G49</f>
        <v>0</v>
      </c>
      <c r="I241"/>
      <c r="J241"/>
      <c r="K241"/>
      <c r="L241"/>
      <c r="M241"/>
      <c r="N241"/>
      <c r="O241"/>
      <c r="P241"/>
      <c r="Q241"/>
    </row>
    <row r="242" spans="1:17" ht="12.75">
      <c r="A242" s="112"/>
      <c r="B242" s="284"/>
      <c r="C242" s="284"/>
      <c r="D242" s="285"/>
      <c r="I242"/>
      <c r="J242"/>
      <c r="K242"/>
      <c r="L242"/>
      <c r="M242"/>
      <c r="N242"/>
      <c r="O242"/>
      <c r="P242"/>
      <c r="Q242"/>
    </row>
    <row r="243" spans="1:17" ht="12.75">
      <c r="A243" s="109" t="s">
        <v>102</v>
      </c>
      <c r="B243" s="479">
        <f>+B226</f>
        <v>1</v>
      </c>
      <c r="C243" s="479">
        <f>+C226</f>
        <v>0</v>
      </c>
      <c r="D243" s="291">
        <f>B243+C243</f>
        <v>1</v>
      </c>
      <c r="I243"/>
      <c r="J243"/>
      <c r="K243"/>
      <c r="L243"/>
      <c r="M243"/>
      <c r="N243"/>
      <c r="O243"/>
      <c r="P243"/>
      <c r="Q243"/>
    </row>
    <row r="244" spans="1:17" ht="12.75">
      <c r="A244" s="112"/>
      <c r="B244" s="286"/>
      <c r="C244" s="286"/>
      <c r="D244" s="286"/>
      <c r="I244"/>
      <c r="J244"/>
      <c r="K244"/>
      <c r="L244"/>
      <c r="M244"/>
      <c r="N244"/>
      <c r="O244"/>
      <c r="P244"/>
      <c r="Q244"/>
    </row>
    <row r="245" spans="1:17" ht="12.75">
      <c r="A245" s="109" t="s">
        <v>105</v>
      </c>
      <c r="B245" s="402">
        <f>$B243*$D241</f>
        <v>0</v>
      </c>
      <c r="C245" s="402">
        <f>C243*D241</f>
        <v>0</v>
      </c>
      <c r="D245" s="402">
        <f>SUM(B245:C245)</f>
        <v>0</v>
      </c>
      <c r="I245"/>
      <c r="J245"/>
      <c r="K245"/>
      <c r="L245"/>
      <c r="M245"/>
      <c r="N245"/>
      <c r="O245"/>
      <c r="P245"/>
      <c r="Q245"/>
    </row>
    <row r="246" spans="1:17" ht="12.75">
      <c r="A246" s="112"/>
      <c r="B246" s="287"/>
      <c r="C246" s="287"/>
      <c r="D246" s="287"/>
      <c r="I246"/>
      <c r="J246"/>
      <c r="K246"/>
      <c r="L246"/>
      <c r="M246"/>
      <c r="N246"/>
      <c r="O246"/>
      <c r="P246"/>
      <c r="Q246"/>
    </row>
    <row r="247" spans="1:17" ht="12.75">
      <c r="A247" s="109" t="s">
        <v>100</v>
      </c>
      <c r="B247" s="293">
        <f>+C49</f>
        <v>37331183</v>
      </c>
      <c r="C247" s="292"/>
      <c r="D247" s="292"/>
      <c r="I247"/>
      <c r="J247"/>
      <c r="K247"/>
      <c r="L247"/>
      <c r="M247"/>
      <c r="N247"/>
      <c r="O247"/>
      <c r="P247"/>
      <c r="Q247"/>
    </row>
    <row r="248" spans="1:17" ht="12.75">
      <c r="A248" s="112"/>
      <c r="B248" s="288"/>
      <c r="C248" s="287"/>
      <c r="D248" s="287"/>
      <c r="I248"/>
      <c r="J248"/>
      <c r="K248"/>
      <c r="L248"/>
      <c r="M248"/>
      <c r="N248"/>
      <c r="O248"/>
      <c r="P248"/>
      <c r="Q248"/>
    </row>
    <row r="249" spans="1:17" ht="12.75">
      <c r="A249" s="109" t="s">
        <v>101</v>
      </c>
      <c r="B249" s="292"/>
      <c r="C249" s="293">
        <f>+D49</f>
        <v>4348</v>
      </c>
      <c r="D249" s="292"/>
      <c r="I249"/>
      <c r="J249"/>
      <c r="K249"/>
      <c r="L249"/>
      <c r="M249"/>
      <c r="N249"/>
      <c r="O249"/>
      <c r="P249"/>
      <c r="Q249"/>
    </row>
    <row r="250" spans="1:17" ht="12.75">
      <c r="A250" s="112"/>
      <c r="B250" s="287"/>
      <c r="C250" s="288"/>
      <c r="D250" s="287"/>
      <c r="I250"/>
      <c r="J250"/>
      <c r="K250"/>
      <c r="L250"/>
      <c r="M250"/>
      <c r="N250"/>
      <c r="O250"/>
      <c r="P250"/>
      <c r="Q250"/>
    </row>
    <row r="251" spans="1:17" ht="12.75">
      <c r="A251" s="109" t="s">
        <v>159</v>
      </c>
      <c r="B251" s="403">
        <f>IF(ISERROR($B245/$B247),0,$B245/$B247)</f>
        <v>0</v>
      </c>
      <c r="C251" s="403"/>
      <c r="D251" s="294"/>
      <c r="I251"/>
      <c r="J251"/>
      <c r="K251"/>
      <c r="L251"/>
      <c r="M251"/>
      <c r="N251"/>
      <c r="O251"/>
      <c r="P251"/>
      <c r="Q251"/>
    </row>
    <row r="252" spans="1:17" ht="12.75">
      <c r="A252" s="112"/>
      <c r="B252" s="404"/>
      <c r="C252" s="404"/>
      <c r="D252" s="289"/>
      <c r="I252"/>
      <c r="J252"/>
      <c r="K252"/>
      <c r="L252"/>
      <c r="M252"/>
      <c r="N252"/>
      <c r="O252"/>
      <c r="P252"/>
      <c r="Q252"/>
    </row>
    <row r="253" spans="1:17" ht="12.75">
      <c r="A253" s="109" t="s">
        <v>160</v>
      </c>
      <c r="B253" s="405"/>
      <c r="C253" s="406">
        <f>IF(ISERROR($C245/$C249/12),0,$C245/$C249/12)</f>
        <v>0</v>
      </c>
      <c r="D253" s="295"/>
      <c r="I253"/>
      <c r="J253"/>
      <c r="K253"/>
      <c r="L253"/>
      <c r="M253"/>
      <c r="N253"/>
      <c r="O253"/>
      <c r="P253"/>
      <c r="Q253"/>
    </row>
    <row r="254" spans="2:17" ht="12.75">
      <c r="B254" s="56"/>
      <c r="C254" s="56"/>
      <c r="D254" s="56"/>
      <c r="I254"/>
      <c r="J254"/>
      <c r="K254"/>
      <c r="L254"/>
      <c r="M254"/>
      <c r="N254"/>
      <c r="O254"/>
      <c r="P254"/>
      <c r="Q254"/>
    </row>
    <row r="255" spans="2:17" ht="12.75">
      <c r="B255" s="56"/>
      <c r="C255" s="56"/>
      <c r="D255" s="56"/>
      <c r="I255"/>
      <c r="J255"/>
      <c r="K255"/>
      <c r="L255"/>
      <c r="M255"/>
      <c r="N255"/>
      <c r="O255"/>
      <c r="P255"/>
      <c r="Q255"/>
    </row>
    <row r="256" spans="1:17" ht="51.75" thickBot="1">
      <c r="A256" s="132"/>
      <c r="B256" s="283" t="s">
        <v>104</v>
      </c>
      <c r="C256" s="283" t="s">
        <v>188</v>
      </c>
      <c r="D256" s="283" t="s">
        <v>103</v>
      </c>
      <c r="I256"/>
      <c r="J256"/>
      <c r="K256"/>
      <c r="L256"/>
      <c r="M256"/>
      <c r="N256"/>
      <c r="O256"/>
      <c r="P256"/>
      <c r="Q256"/>
    </row>
    <row r="257" spans="1:17" ht="15">
      <c r="A257" s="481" t="s">
        <v>221</v>
      </c>
      <c r="B257" s="30"/>
      <c r="C257" s="30"/>
      <c r="I257"/>
      <c r="J257"/>
      <c r="K257"/>
      <c r="L257"/>
      <c r="M257"/>
      <c r="N257"/>
      <c r="O257"/>
      <c r="P257"/>
      <c r="Q257"/>
    </row>
    <row r="258" spans="1:17" ht="12.75">
      <c r="A258" s="109" t="s">
        <v>99</v>
      </c>
      <c r="B258" s="290"/>
      <c r="C258" s="290"/>
      <c r="D258" s="407">
        <f>+G50</f>
        <v>0</v>
      </c>
      <c r="I258"/>
      <c r="J258"/>
      <c r="K258"/>
      <c r="L258"/>
      <c r="M258"/>
      <c r="N258"/>
      <c r="O258"/>
      <c r="P258"/>
      <c r="Q258"/>
    </row>
    <row r="259" spans="1:17" ht="12.75">
      <c r="A259" s="112"/>
      <c r="B259" s="284"/>
      <c r="C259" s="284"/>
      <c r="D259" s="285"/>
      <c r="I259"/>
      <c r="J259"/>
      <c r="K259"/>
      <c r="L259"/>
      <c r="M259"/>
      <c r="N259"/>
      <c r="O259"/>
      <c r="P259"/>
      <c r="Q259"/>
    </row>
    <row r="260" spans="1:17" ht="12.75">
      <c r="A260" s="109" t="s">
        <v>102</v>
      </c>
      <c r="B260" s="479">
        <f>+B243</f>
        <v>1</v>
      </c>
      <c r="C260" s="479">
        <f>+C243</f>
        <v>0</v>
      </c>
      <c r="D260" s="291">
        <f>B260+C260</f>
        <v>1</v>
      </c>
      <c r="I260"/>
      <c r="J260"/>
      <c r="K260"/>
      <c r="L260"/>
      <c r="M260"/>
      <c r="N260"/>
      <c r="O260"/>
      <c r="P260"/>
      <c r="Q260"/>
    </row>
    <row r="261" spans="1:17" ht="12.75">
      <c r="A261" s="112"/>
      <c r="B261" s="286"/>
      <c r="C261" s="286"/>
      <c r="D261" s="286"/>
      <c r="I261"/>
      <c r="J261"/>
      <c r="K261"/>
      <c r="L261"/>
      <c r="M261"/>
      <c r="N261"/>
      <c r="O261"/>
      <c r="P261"/>
      <c r="Q261"/>
    </row>
    <row r="262" spans="1:17" ht="12.75">
      <c r="A262" s="109" t="s">
        <v>105</v>
      </c>
      <c r="B262" s="402">
        <f>$B260*$D258</f>
        <v>0</v>
      </c>
      <c r="C262" s="402">
        <f>C260*D258</f>
        <v>0</v>
      </c>
      <c r="D262" s="402">
        <f>SUM(B262:C262)</f>
        <v>0</v>
      </c>
      <c r="I262"/>
      <c r="J262"/>
      <c r="K262"/>
      <c r="L262"/>
      <c r="M262"/>
      <c r="N262"/>
      <c r="O262"/>
      <c r="P262"/>
      <c r="Q262"/>
    </row>
    <row r="263" spans="1:17" ht="12.75">
      <c r="A263" s="112"/>
      <c r="B263" s="287"/>
      <c r="C263" s="287"/>
      <c r="D263" s="287"/>
      <c r="I263"/>
      <c r="J263"/>
      <c r="K263"/>
      <c r="L263"/>
      <c r="M263"/>
      <c r="N263"/>
      <c r="O263"/>
      <c r="P263"/>
      <c r="Q263"/>
    </row>
    <row r="264" spans="1:17" ht="12.75">
      <c r="A264" s="109" t="s">
        <v>100</v>
      </c>
      <c r="B264" s="293">
        <f>+C50</f>
        <v>6095691</v>
      </c>
      <c r="C264" s="292"/>
      <c r="D264" s="292"/>
      <c r="I264"/>
      <c r="J264"/>
      <c r="K264"/>
      <c r="L264"/>
      <c r="M264"/>
      <c r="N264"/>
      <c r="O264"/>
      <c r="P264"/>
      <c r="Q264"/>
    </row>
    <row r="265" spans="1:17" ht="12.75">
      <c r="A265" s="112"/>
      <c r="B265" s="288"/>
      <c r="C265" s="287"/>
      <c r="D265" s="287"/>
      <c r="I265"/>
      <c r="J265"/>
      <c r="K265"/>
      <c r="L265"/>
      <c r="M265"/>
      <c r="N265"/>
      <c r="O265"/>
      <c r="P265"/>
      <c r="Q265"/>
    </row>
    <row r="266" spans="1:17" ht="12.75">
      <c r="A266" s="109" t="s">
        <v>101</v>
      </c>
      <c r="B266" s="292"/>
      <c r="C266" s="293">
        <f>+D50</f>
        <v>619</v>
      </c>
      <c r="D266" s="292"/>
      <c r="I266"/>
      <c r="J266"/>
      <c r="K266"/>
      <c r="L266"/>
      <c r="M266"/>
      <c r="N266"/>
      <c r="O266"/>
      <c r="P266"/>
      <c r="Q266"/>
    </row>
    <row r="267" spans="1:17" ht="12.75">
      <c r="A267" s="112"/>
      <c r="B267" s="287"/>
      <c r="C267" s="288"/>
      <c r="D267" s="287"/>
      <c r="I267"/>
      <c r="J267"/>
      <c r="K267"/>
      <c r="L267"/>
      <c r="M267"/>
      <c r="N267"/>
      <c r="O267"/>
      <c r="P267"/>
      <c r="Q267"/>
    </row>
    <row r="268" spans="1:17" ht="12.75">
      <c r="A268" s="109" t="s">
        <v>159</v>
      </c>
      <c r="B268" s="403">
        <f>IF(ISERROR($B262/$B264),0,$B262/$B264)</f>
        <v>0</v>
      </c>
      <c r="C268" s="403"/>
      <c r="D268" s="294"/>
      <c r="I268"/>
      <c r="J268"/>
      <c r="K268"/>
      <c r="L268"/>
      <c r="M268"/>
      <c r="N268"/>
      <c r="O268"/>
      <c r="P268"/>
      <c r="Q268"/>
    </row>
    <row r="269" spans="1:17" ht="12.75">
      <c r="A269" s="112"/>
      <c r="B269" s="404"/>
      <c r="C269" s="404"/>
      <c r="D269" s="289"/>
      <c r="I269"/>
      <c r="J269"/>
      <c r="K269"/>
      <c r="L269"/>
      <c r="M269"/>
      <c r="N269"/>
      <c r="O269"/>
      <c r="P269"/>
      <c r="Q269"/>
    </row>
    <row r="270" spans="1:17" ht="12.75">
      <c r="A270" s="109" t="s">
        <v>160</v>
      </c>
      <c r="B270" s="405"/>
      <c r="C270" s="406">
        <f>IF(ISERROR($C262/$C266/12),0,$C262/$C266/12)</f>
        <v>0</v>
      </c>
      <c r="D270" s="295"/>
      <c r="I270"/>
      <c r="J270"/>
      <c r="K270"/>
      <c r="L270"/>
      <c r="M270"/>
      <c r="N270"/>
      <c r="O270"/>
      <c r="P270"/>
      <c r="Q270"/>
    </row>
    <row r="271" spans="2:17" ht="12.75">
      <c r="B271" s="56"/>
      <c r="C271" s="56"/>
      <c r="D271" s="56"/>
      <c r="I271"/>
      <c r="J271"/>
      <c r="K271"/>
      <c r="L271"/>
      <c r="M271"/>
      <c r="N271"/>
      <c r="O271"/>
      <c r="P271"/>
      <c r="Q271"/>
    </row>
    <row r="272" spans="2:17" ht="12.75">
      <c r="B272" s="56"/>
      <c r="C272" s="56"/>
      <c r="D272" s="56"/>
      <c r="I272"/>
      <c r="J272"/>
      <c r="K272"/>
      <c r="L272"/>
      <c r="M272"/>
      <c r="N272"/>
      <c r="O272"/>
      <c r="P272"/>
      <c r="Q272"/>
    </row>
    <row r="273" spans="1:17" ht="15.75">
      <c r="A273" s="54" t="s">
        <v>106</v>
      </c>
      <c r="I273"/>
      <c r="J273"/>
      <c r="K273"/>
      <c r="L273"/>
      <c r="M273"/>
      <c r="N273"/>
      <c r="O273"/>
      <c r="P273"/>
      <c r="Q273"/>
    </row>
    <row r="274" spans="1:17" ht="10.5" customHeight="1">
      <c r="A274" s="131"/>
      <c r="I274"/>
      <c r="J274"/>
      <c r="K274"/>
      <c r="L274"/>
      <c r="M274"/>
      <c r="N274"/>
      <c r="O274"/>
      <c r="P274"/>
      <c r="Q274"/>
    </row>
    <row r="275" spans="1:17" ht="9" customHeight="1">
      <c r="A275" s="132"/>
      <c r="I275"/>
      <c r="J275"/>
      <c r="K275"/>
      <c r="L275"/>
      <c r="M275"/>
      <c r="N275"/>
      <c r="O275"/>
      <c r="P275"/>
      <c r="Q275"/>
    </row>
    <row r="276" spans="1:17" ht="51.75" thickBot="1">
      <c r="A276" s="132"/>
      <c r="B276" s="283" t="s">
        <v>104</v>
      </c>
      <c r="C276" s="283" t="s">
        <v>188</v>
      </c>
      <c r="D276" s="283" t="s">
        <v>103</v>
      </c>
      <c r="E276" s="280"/>
      <c r="F276" s="280"/>
      <c r="G276" s="280"/>
      <c r="I276"/>
      <c r="J276"/>
      <c r="K276"/>
      <c r="L276"/>
      <c r="M276"/>
      <c r="N276"/>
      <c r="O276"/>
      <c r="P276"/>
      <c r="Q276"/>
    </row>
    <row r="277" spans="1:17" ht="15">
      <c r="A277" s="132"/>
      <c r="B277" s="30"/>
      <c r="C277" s="30"/>
      <c r="I277"/>
      <c r="J277"/>
      <c r="K277"/>
      <c r="L277"/>
      <c r="M277"/>
      <c r="N277"/>
      <c r="O277"/>
      <c r="P277"/>
      <c r="Q277"/>
    </row>
    <row r="278" spans="1:17" ht="12.75">
      <c r="A278" s="109" t="s">
        <v>99</v>
      </c>
      <c r="B278" s="290"/>
      <c r="C278" s="290"/>
      <c r="D278" s="407">
        <f>+G23</f>
        <v>0</v>
      </c>
      <c r="E278" s="112"/>
      <c r="I278"/>
      <c r="J278"/>
      <c r="K278"/>
      <c r="L278"/>
      <c r="M278"/>
      <c r="N278"/>
      <c r="O278"/>
      <c r="P278"/>
      <c r="Q278"/>
    </row>
    <row r="279" spans="1:17" ht="7.5" customHeight="1">
      <c r="A279" s="112"/>
      <c r="B279" s="284"/>
      <c r="C279" s="284"/>
      <c r="D279" s="285"/>
      <c r="E279" s="112"/>
      <c r="I279"/>
      <c r="J279"/>
      <c r="K279"/>
      <c r="L279"/>
      <c r="M279"/>
      <c r="N279"/>
      <c r="O279"/>
      <c r="P279"/>
      <c r="Q279"/>
    </row>
    <row r="280" spans="1:17" ht="12.75">
      <c r="A280" s="109" t="s">
        <v>102</v>
      </c>
      <c r="B280" s="479">
        <v>1</v>
      </c>
      <c r="C280" s="479">
        <f>1-B280</f>
        <v>0</v>
      </c>
      <c r="D280" s="291">
        <f>B280+C280</f>
        <v>1</v>
      </c>
      <c r="E280" s="112"/>
      <c r="I280"/>
      <c r="J280"/>
      <c r="K280"/>
      <c r="L280"/>
      <c r="M280"/>
      <c r="N280"/>
      <c r="O280"/>
      <c r="P280"/>
      <c r="Q280"/>
    </row>
    <row r="281" spans="1:17" ht="7.5" customHeight="1">
      <c r="A281" s="112"/>
      <c r="B281" s="286"/>
      <c r="C281" s="286"/>
      <c r="D281" s="286"/>
      <c r="E281" s="112"/>
      <c r="I281"/>
      <c r="J281"/>
      <c r="K281"/>
      <c r="L281"/>
      <c r="M281"/>
      <c r="N281"/>
      <c r="O281"/>
      <c r="P281"/>
      <c r="Q281"/>
    </row>
    <row r="282" spans="1:17" ht="13.5" customHeight="1">
      <c r="A282" s="109" t="s">
        <v>105</v>
      </c>
      <c r="B282" s="402">
        <f>$B280*$D278</f>
        <v>0</v>
      </c>
      <c r="C282" s="402">
        <f>C280*D278</f>
        <v>0</v>
      </c>
      <c r="D282" s="402">
        <f>SUM(B282:C282)</f>
        <v>0</v>
      </c>
      <c r="E282" s="112"/>
      <c r="I282"/>
      <c r="J282"/>
      <c r="K282"/>
      <c r="L282"/>
      <c r="M282"/>
      <c r="N282"/>
      <c r="O282"/>
      <c r="P282"/>
      <c r="Q282"/>
    </row>
    <row r="283" spans="1:17" ht="7.5" customHeight="1">
      <c r="A283" s="112"/>
      <c r="B283" s="287"/>
      <c r="C283" s="287"/>
      <c r="D283" s="287"/>
      <c r="E283" s="112"/>
      <c r="I283"/>
      <c r="J283"/>
      <c r="K283"/>
      <c r="L283"/>
      <c r="M283"/>
      <c r="N283"/>
      <c r="O283"/>
      <c r="P283"/>
      <c r="Q283"/>
    </row>
    <row r="284" spans="1:17" ht="13.5" customHeight="1">
      <c r="A284" s="109" t="s">
        <v>100</v>
      </c>
      <c r="B284" s="293">
        <f>+C23</f>
        <v>107128527</v>
      </c>
      <c r="C284" s="292"/>
      <c r="D284" s="292"/>
      <c r="E284" s="112"/>
      <c r="I284"/>
      <c r="J284"/>
      <c r="K284"/>
      <c r="L284"/>
      <c r="M284"/>
      <c r="N284"/>
      <c r="O284"/>
      <c r="P284"/>
      <c r="Q284"/>
    </row>
    <row r="285" spans="1:17" ht="7.5" customHeight="1">
      <c r="A285" s="112"/>
      <c r="B285" s="288"/>
      <c r="C285" s="287"/>
      <c r="D285" s="287"/>
      <c r="E285" s="112"/>
      <c r="I285"/>
      <c r="J285"/>
      <c r="K285"/>
      <c r="L285"/>
      <c r="M285"/>
      <c r="N285"/>
      <c r="O285"/>
      <c r="P285"/>
      <c r="Q285"/>
    </row>
    <row r="286" spans="1:17" ht="13.5" customHeight="1">
      <c r="A286" s="109" t="s">
        <v>101</v>
      </c>
      <c r="B286" s="292"/>
      <c r="C286" s="293">
        <f>+D23</f>
        <v>3273</v>
      </c>
      <c r="D286" s="292"/>
      <c r="E286" s="112"/>
      <c r="I286"/>
      <c r="J286"/>
      <c r="K286"/>
      <c r="L286"/>
      <c r="M286"/>
      <c r="N286"/>
      <c r="O286"/>
      <c r="P286"/>
      <c r="Q286"/>
    </row>
    <row r="287" spans="1:17" ht="7.5" customHeight="1">
      <c r="A287" s="112"/>
      <c r="B287" s="287"/>
      <c r="C287" s="288"/>
      <c r="D287" s="287"/>
      <c r="E287" s="112"/>
      <c r="I287"/>
      <c r="J287"/>
      <c r="K287"/>
      <c r="L287"/>
      <c r="M287"/>
      <c r="N287"/>
      <c r="O287"/>
      <c r="P287"/>
      <c r="Q287"/>
    </row>
    <row r="288" spans="1:17" ht="13.5" customHeight="1">
      <c r="A288" s="109" t="s">
        <v>159</v>
      </c>
      <c r="B288" s="403">
        <f>IF(ISERROR($B282/$B284),0,$B282/$B284)</f>
        <v>0</v>
      </c>
      <c r="C288" s="403"/>
      <c r="D288" s="294"/>
      <c r="E288" s="112"/>
      <c r="I288"/>
      <c r="J288"/>
      <c r="K288"/>
      <c r="L288"/>
      <c r="M288"/>
      <c r="N288"/>
      <c r="O288"/>
      <c r="P288"/>
      <c r="Q288"/>
    </row>
    <row r="289" spans="1:17" ht="7.5" customHeight="1">
      <c r="A289" s="112"/>
      <c r="B289" s="404"/>
      <c r="C289" s="404"/>
      <c r="D289" s="289"/>
      <c r="E289" s="112"/>
      <c r="I289"/>
      <c r="J289"/>
      <c r="K289"/>
      <c r="L289"/>
      <c r="M289"/>
      <c r="N289"/>
      <c r="O289"/>
      <c r="P289"/>
      <c r="Q289"/>
    </row>
    <row r="290" spans="1:17" ht="12.75">
      <c r="A290" s="109" t="s">
        <v>160</v>
      </c>
      <c r="B290" s="405"/>
      <c r="C290" s="406">
        <f>IF(ISERROR($C282/$C286/12),0,$C282/$C286/12)</f>
        <v>0</v>
      </c>
      <c r="D290" s="295"/>
      <c r="E290" s="112"/>
      <c r="I290"/>
      <c r="J290"/>
      <c r="K290"/>
      <c r="L290"/>
      <c r="M290"/>
      <c r="N290"/>
      <c r="O290"/>
      <c r="P290"/>
      <c r="Q290"/>
    </row>
    <row r="291" spans="1:17" ht="12.75">
      <c r="A291" s="296"/>
      <c r="B291" s="297"/>
      <c r="C291" s="298"/>
      <c r="D291" s="297"/>
      <c r="E291" s="112"/>
      <c r="I291"/>
      <c r="J291"/>
      <c r="K291"/>
      <c r="L291"/>
      <c r="M291"/>
      <c r="N291"/>
      <c r="O291"/>
      <c r="P291"/>
      <c r="Q291"/>
    </row>
    <row r="292" spans="1:17" ht="12.75">
      <c r="A292" s="296"/>
      <c r="B292" s="297"/>
      <c r="C292" s="298"/>
      <c r="D292" s="297"/>
      <c r="E292" s="112"/>
      <c r="I292"/>
      <c r="J292"/>
      <c r="K292"/>
      <c r="L292"/>
      <c r="M292"/>
      <c r="N292"/>
      <c r="O292"/>
      <c r="P292"/>
      <c r="Q292"/>
    </row>
    <row r="293" spans="1:17" ht="15.75">
      <c r="A293" s="54" t="s">
        <v>190</v>
      </c>
      <c r="I293"/>
      <c r="J293"/>
      <c r="K293"/>
      <c r="L293"/>
      <c r="M293"/>
      <c r="N293"/>
      <c r="O293"/>
      <c r="P293"/>
      <c r="Q293"/>
    </row>
    <row r="294" spans="1:17" ht="9" customHeight="1">
      <c r="A294" s="54"/>
      <c r="I294"/>
      <c r="J294"/>
      <c r="K294"/>
      <c r="L294"/>
      <c r="M294"/>
      <c r="N294"/>
      <c r="O294"/>
      <c r="P294"/>
      <c r="Q294"/>
    </row>
    <row r="295" spans="1:17" ht="15">
      <c r="A295" s="132"/>
      <c r="I295"/>
      <c r="J295"/>
      <c r="K295"/>
      <c r="L295"/>
      <c r="M295"/>
      <c r="N295"/>
      <c r="O295"/>
      <c r="P295"/>
      <c r="Q295"/>
    </row>
    <row r="296" spans="1:17" ht="51.75" thickBot="1">
      <c r="A296" s="132"/>
      <c r="B296" s="283" t="s">
        <v>104</v>
      </c>
      <c r="C296" s="283" t="s">
        <v>188</v>
      </c>
      <c r="D296" s="283" t="s">
        <v>103</v>
      </c>
      <c r="E296" s="280"/>
      <c r="F296" s="280"/>
      <c r="G296" s="280"/>
      <c r="I296"/>
      <c r="J296"/>
      <c r="K296"/>
      <c r="L296"/>
      <c r="M296"/>
      <c r="N296"/>
      <c r="O296"/>
      <c r="P296"/>
      <c r="Q296"/>
    </row>
    <row r="297" spans="1:17" ht="15">
      <c r="A297" s="132"/>
      <c r="B297" s="30"/>
      <c r="C297" s="30"/>
      <c r="I297"/>
      <c r="J297"/>
      <c r="K297"/>
      <c r="L297"/>
      <c r="M297"/>
      <c r="N297"/>
      <c r="O297"/>
      <c r="P297"/>
      <c r="Q297"/>
    </row>
    <row r="298" spans="1:17" ht="12.75">
      <c r="A298" s="109" t="s">
        <v>99</v>
      </c>
      <c r="B298" s="290"/>
      <c r="C298" s="290"/>
      <c r="D298" s="407">
        <f>+G24</f>
        <v>0</v>
      </c>
      <c r="E298" s="112"/>
      <c r="I298"/>
      <c r="J298"/>
      <c r="K298"/>
      <c r="L298"/>
      <c r="M298"/>
      <c r="N298"/>
      <c r="O298"/>
      <c r="P298"/>
      <c r="Q298"/>
    </row>
    <row r="299" spans="1:17" ht="7.5" customHeight="1">
      <c r="A299" s="112"/>
      <c r="B299" s="284"/>
      <c r="C299" s="284"/>
      <c r="D299" s="285"/>
      <c r="E299" s="112"/>
      <c r="I299"/>
      <c r="J299"/>
      <c r="K299"/>
      <c r="L299"/>
      <c r="M299"/>
      <c r="N299"/>
      <c r="O299"/>
      <c r="P299"/>
      <c r="Q299"/>
    </row>
    <row r="300" spans="1:17" ht="12.75">
      <c r="A300" s="109" t="s">
        <v>102</v>
      </c>
      <c r="B300" s="479">
        <v>1</v>
      </c>
      <c r="C300" s="479">
        <f>1-B300</f>
        <v>0</v>
      </c>
      <c r="D300" s="291">
        <f>B300+C300</f>
        <v>1</v>
      </c>
      <c r="E300" s="112"/>
      <c r="I300"/>
      <c r="J300"/>
      <c r="K300"/>
      <c r="L300"/>
      <c r="M300"/>
      <c r="N300"/>
      <c r="O300"/>
      <c r="P300"/>
      <c r="Q300"/>
    </row>
    <row r="301" spans="1:17" ht="7.5" customHeight="1">
      <c r="A301" s="112"/>
      <c r="B301" s="286"/>
      <c r="C301" s="286"/>
      <c r="D301" s="286"/>
      <c r="E301" s="112"/>
      <c r="I301"/>
      <c r="J301"/>
      <c r="K301"/>
      <c r="L301"/>
      <c r="M301"/>
      <c r="N301"/>
      <c r="O301"/>
      <c r="P301"/>
      <c r="Q301"/>
    </row>
    <row r="302" spans="1:17" ht="13.5" customHeight="1">
      <c r="A302" s="109" t="s">
        <v>105</v>
      </c>
      <c r="B302" s="402">
        <f>$B300*$D298</f>
        <v>0</v>
      </c>
      <c r="C302" s="402">
        <f>C300*D298</f>
        <v>0</v>
      </c>
      <c r="D302" s="402">
        <f>SUM(B302:C302)</f>
        <v>0</v>
      </c>
      <c r="E302" s="112"/>
      <c r="I302"/>
      <c r="J302"/>
      <c r="K302"/>
      <c r="L302"/>
      <c r="M302"/>
      <c r="N302"/>
      <c r="O302"/>
      <c r="P302"/>
      <c r="Q302"/>
    </row>
    <row r="303" spans="1:17" ht="7.5" customHeight="1">
      <c r="A303" s="112"/>
      <c r="B303" s="287"/>
      <c r="C303" s="287"/>
      <c r="D303" s="287"/>
      <c r="E303" s="112"/>
      <c r="I303"/>
      <c r="J303"/>
      <c r="K303"/>
      <c r="L303"/>
      <c r="M303"/>
      <c r="N303"/>
      <c r="O303"/>
      <c r="P303"/>
      <c r="Q303"/>
    </row>
    <row r="304" spans="1:17" ht="13.5" customHeight="1">
      <c r="A304" s="109" t="s">
        <v>151</v>
      </c>
      <c r="B304" s="293">
        <f>+B24</f>
        <v>1013027</v>
      </c>
      <c r="C304" s="292"/>
      <c r="D304" s="292"/>
      <c r="E304" s="112"/>
      <c r="I304"/>
      <c r="J304"/>
      <c r="K304"/>
      <c r="L304"/>
      <c r="M304"/>
      <c r="N304"/>
      <c r="O304"/>
      <c r="P304"/>
      <c r="Q304"/>
    </row>
    <row r="305" spans="1:17" ht="7.5" customHeight="1">
      <c r="A305" s="112"/>
      <c r="B305" s="288"/>
      <c r="C305" s="287"/>
      <c r="D305" s="287"/>
      <c r="E305" s="112"/>
      <c r="I305"/>
      <c r="J305"/>
      <c r="K305"/>
      <c r="L305"/>
      <c r="M305"/>
      <c r="N305"/>
      <c r="O305"/>
      <c r="P305"/>
      <c r="Q305"/>
    </row>
    <row r="306" spans="1:17" ht="13.5" customHeight="1">
      <c r="A306" s="109" t="s">
        <v>101</v>
      </c>
      <c r="B306" s="292"/>
      <c r="C306" s="293">
        <f>+D24</f>
        <v>438</v>
      </c>
      <c r="D306" s="292"/>
      <c r="E306" s="112"/>
      <c r="I306"/>
      <c r="J306"/>
      <c r="K306"/>
      <c r="L306"/>
      <c r="M306"/>
      <c r="N306"/>
      <c r="O306"/>
      <c r="P306"/>
      <c r="Q306"/>
    </row>
    <row r="307" spans="1:17" ht="7.5" customHeight="1">
      <c r="A307" s="112"/>
      <c r="B307" s="287"/>
      <c r="C307" s="288"/>
      <c r="D307" s="287"/>
      <c r="E307" s="112"/>
      <c r="I307"/>
      <c r="J307"/>
      <c r="K307"/>
      <c r="L307"/>
      <c r="M307"/>
      <c r="N307"/>
      <c r="O307"/>
      <c r="P307"/>
      <c r="Q307"/>
    </row>
    <row r="308" spans="1:17" ht="13.5" customHeight="1">
      <c r="A308" s="109" t="s">
        <v>203</v>
      </c>
      <c r="B308" s="403">
        <f>IF(ISERROR($B302/$B304),0,$B302/$B304)</f>
        <v>0</v>
      </c>
      <c r="C308" s="403"/>
      <c r="D308" s="294"/>
      <c r="E308" s="112"/>
      <c r="F308" s="381"/>
      <c r="I308"/>
      <c r="J308"/>
      <c r="K308"/>
      <c r="L308"/>
      <c r="M308"/>
      <c r="N308"/>
      <c r="O308"/>
      <c r="P308"/>
      <c r="Q308"/>
    </row>
    <row r="309" spans="1:17" ht="7.5" customHeight="1">
      <c r="A309" s="112"/>
      <c r="B309" s="404"/>
      <c r="C309" s="404"/>
      <c r="D309" s="289"/>
      <c r="E309" s="112"/>
      <c r="I309"/>
      <c r="J309"/>
      <c r="K309"/>
      <c r="L309"/>
      <c r="M309"/>
      <c r="N309"/>
      <c r="O309"/>
      <c r="P309"/>
      <c r="Q309"/>
    </row>
    <row r="310" spans="1:17" ht="12.75">
      <c r="A310" s="109" t="s">
        <v>160</v>
      </c>
      <c r="B310" s="405"/>
      <c r="C310" s="406">
        <f>IF(ISERROR($C302/$C306/12),0,$C302/$C306/12)</f>
        <v>0</v>
      </c>
      <c r="D310" s="295"/>
      <c r="E310" s="112"/>
      <c r="I310"/>
      <c r="J310"/>
      <c r="K310"/>
      <c r="L310"/>
      <c r="M310"/>
      <c r="N310"/>
      <c r="O310"/>
      <c r="P310"/>
      <c r="Q310"/>
    </row>
    <row r="311" spans="1:17" ht="12.75">
      <c r="A311" s="296"/>
      <c r="B311" s="297"/>
      <c r="C311" s="298"/>
      <c r="D311" s="297"/>
      <c r="E311" s="112"/>
      <c r="I311"/>
      <c r="J311"/>
      <c r="K311"/>
      <c r="L311"/>
      <c r="M311"/>
      <c r="N311"/>
      <c r="O311"/>
      <c r="P311"/>
      <c r="Q311"/>
    </row>
    <row r="312" spans="1:17" ht="12.75">
      <c r="A312" s="296"/>
      <c r="B312" s="297"/>
      <c r="C312" s="298"/>
      <c r="D312" s="297"/>
      <c r="E312" s="112"/>
      <c r="I312"/>
      <c r="J312"/>
      <c r="K312"/>
      <c r="L312"/>
      <c r="M312"/>
      <c r="N312"/>
      <c r="O312"/>
      <c r="P312"/>
      <c r="Q312"/>
    </row>
    <row r="313" spans="1:17" ht="15.75">
      <c r="A313" s="54" t="s">
        <v>189</v>
      </c>
      <c r="I313"/>
      <c r="J313"/>
      <c r="K313"/>
      <c r="L313"/>
      <c r="M313"/>
      <c r="N313"/>
      <c r="O313"/>
      <c r="P313"/>
      <c r="Q313"/>
    </row>
    <row r="314" spans="1:17" ht="9" customHeight="1">
      <c r="A314" s="54"/>
      <c r="I314"/>
      <c r="J314"/>
      <c r="K314"/>
      <c r="L314"/>
      <c r="M314"/>
      <c r="N314"/>
      <c r="O314"/>
      <c r="P314"/>
      <c r="Q314"/>
    </row>
    <row r="315" spans="1:17" ht="15">
      <c r="A315" s="132"/>
      <c r="I315"/>
      <c r="J315"/>
      <c r="K315"/>
      <c r="L315"/>
      <c r="M315"/>
      <c r="N315"/>
      <c r="O315"/>
      <c r="P315"/>
      <c r="Q315"/>
    </row>
    <row r="316" spans="1:17" ht="51.75" thickBot="1">
      <c r="A316" s="132"/>
      <c r="B316" s="283" t="s">
        <v>104</v>
      </c>
      <c r="C316" s="283" t="s">
        <v>188</v>
      </c>
      <c r="D316" s="283" t="s">
        <v>103</v>
      </c>
      <c r="E316" s="280"/>
      <c r="F316" s="280"/>
      <c r="G316" s="280"/>
      <c r="I316"/>
      <c r="J316"/>
      <c r="K316"/>
      <c r="L316"/>
      <c r="M316"/>
      <c r="N316"/>
      <c r="O316"/>
      <c r="P316"/>
      <c r="Q316"/>
    </row>
    <row r="317" spans="1:17" ht="15">
      <c r="A317" s="481" t="s">
        <v>240</v>
      </c>
      <c r="B317" s="30"/>
      <c r="C317" s="30"/>
      <c r="I317"/>
      <c r="J317"/>
      <c r="K317"/>
      <c r="L317"/>
      <c r="M317"/>
      <c r="N317"/>
      <c r="O317"/>
      <c r="P317"/>
      <c r="Q317"/>
    </row>
    <row r="318" spans="1:17" ht="12.75">
      <c r="A318" s="109" t="s">
        <v>99</v>
      </c>
      <c r="B318" s="290"/>
      <c r="C318" s="290"/>
      <c r="D318" s="407">
        <f>+G56</f>
        <v>0</v>
      </c>
      <c r="E318" s="112"/>
      <c r="I318"/>
      <c r="J318"/>
      <c r="K318"/>
      <c r="L318"/>
      <c r="M318"/>
      <c r="N318"/>
      <c r="O318"/>
      <c r="P318"/>
      <c r="Q318"/>
    </row>
    <row r="319" spans="1:17" ht="7.5" customHeight="1">
      <c r="A319" s="112"/>
      <c r="B319" s="284"/>
      <c r="C319" s="284"/>
      <c r="D319" s="285"/>
      <c r="E319" s="112"/>
      <c r="I319"/>
      <c r="J319"/>
      <c r="K319"/>
      <c r="L319"/>
      <c r="M319"/>
      <c r="N319"/>
      <c r="O319"/>
      <c r="P319"/>
      <c r="Q319"/>
    </row>
    <row r="320" spans="1:17" ht="12.75">
      <c r="A320" s="109" t="s">
        <v>102</v>
      </c>
      <c r="B320" s="479">
        <v>1</v>
      </c>
      <c r="C320" s="479">
        <f>1-B320</f>
        <v>0</v>
      </c>
      <c r="D320" s="291">
        <f>B320+C320</f>
        <v>1</v>
      </c>
      <c r="E320" s="112"/>
      <c r="I320"/>
      <c r="J320"/>
      <c r="K320"/>
      <c r="L320"/>
      <c r="M320"/>
      <c r="N320"/>
      <c r="O320"/>
      <c r="P320"/>
      <c r="Q320"/>
    </row>
    <row r="321" spans="1:17" ht="7.5" customHeight="1">
      <c r="A321" s="112"/>
      <c r="B321" s="286"/>
      <c r="C321" s="286"/>
      <c r="D321" s="286"/>
      <c r="E321" s="112"/>
      <c r="I321"/>
      <c r="J321"/>
      <c r="K321"/>
      <c r="L321"/>
      <c r="M321"/>
      <c r="N321"/>
      <c r="O321"/>
      <c r="P321"/>
      <c r="Q321"/>
    </row>
    <row r="322" spans="1:17" ht="13.5" customHeight="1">
      <c r="A322" s="109" t="s">
        <v>105</v>
      </c>
      <c r="B322" s="402">
        <f>$B320*$D318</f>
        <v>0</v>
      </c>
      <c r="C322" s="402">
        <f>C320*D318</f>
        <v>0</v>
      </c>
      <c r="D322" s="402">
        <f>SUM(B322:C322)</f>
        <v>0</v>
      </c>
      <c r="E322" s="112"/>
      <c r="I322"/>
      <c r="J322"/>
      <c r="K322"/>
      <c r="L322"/>
      <c r="M322"/>
      <c r="N322"/>
      <c r="O322"/>
      <c r="P322"/>
      <c r="Q322"/>
    </row>
    <row r="323" spans="1:17" ht="7.5" customHeight="1">
      <c r="A323" s="112"/>
      <c r="B323" s="287"/>
      <c r="C323" s="287"/>
      <c r="D323" s="287"/>
      <c r="E323" s="112"/>
      <c r="I323"/>
      <c r="J323"/>
      <c r="K323"/>
      <c r="L323"/>
      <c r="M323"/>
      <c r="N323"/>
      <c r="O323"/>
      <c r="P323"/>
      <c r="Q323"/>
    </row>
    <row r="324" spans="1:17" ht="13.5" customHeight="1">
      <c r="A324" s="109" t="s">
        <v>151</v>
      </c>
      <c r="B324" s="293">
        <f>+B56</f>
        <v>45432</v>
      </c>
      <c r="C324" s="292"/>
      <c r="D324" s="292"/>
      <c r="E324" s="112"/>
      <c r="I324"/>
      <c r="J324"/>
      <c r="K324"/>
      <c r="L324"/>
      <c r="M324"/>
      <c r="N324"/>
      <c r="O324"/>
      <c r="P324"/>
      <c r="Q324"/>
    </row>
    <row r="325" spans="1:17" ht="7.5" customHeight="1">
      <c r="A325" s="112"/>
      <c r="B325" s="288"/>
      <c r="C325" s="287"/>
      <c r="D325" s="287"/>
      <c r="E325" s="112"/>
      <c r="I325"/>
      <c r="J325"/>
      <c r="K325"/>
      <c r="L325"/>
      <c r="M325"/>
      <c r="N325"/>
      <c r="O325"/>
      <c r="P325"/>
      <c r="Q325"/>
    </row>
    <row r="326" spans="1:17" ht="13.5" customHeight="1">
      <c r="A326" s="109" t="s">
        <v>101</v>
      </c>
      <c r="B326" s="292"/>
      <c r="C326" s="293">
        <f>+D56</f>
        <v>1</v>
      </c>
      <c r="D326" s="292"/>
      <c r="E326" s="112"/>
      <c r="I326"/>
      <c r="J326"/>
      <c r="K326"/>
      <c r="L326"/>
      <c r="M326"/>
      <c r="N326"/>
      <c r="O326"/>
      <c r="P326"/>
      <c r="Q326"/>
    </row>
    <row r="327" spans="1:17" ht="7.5" customHeight="1">
      <c r="A327" s="112"/>
      <c r="B327" s="287"/>
      <c r="C327" s="288"/>
      <c r="D327" s="287"/>
      <c r="E327" s="112"/>
      <c r="I327"/>
      <c r="J327"/>
      <c r="K327"/>
      <c r="L327"/>
      <c r="M327"/>
      <c r="N327"/>
      <c r="O327"/>
      <c r="P327"/>
      <c r="Q327"/>
    </row>
    <row r="328" spans="1:17" ht="13.5" customHeight="1">
      <c r="A328" s="109" t="s">
        <v>161</v>
      </c>
      <c r="B328" s="403">
        <f>IF(ISERROR($B322/$B324),0,$B322/$B324)</f>
        <v>0</v>
      </c>
      <c r="C328" s="403"/>
      <c r="D328" s="294"/>
      <c r="E328" s="112"/>
      <c r="I328"/>
      <c r="J328"/>
      <c r="K328"/>
      <c r="L328"/>
      <c r="M328"/>
      <c r="N328"/>
      <c r="O328"/>
      <c r="P328"/>
      <c r="Q328"/>
    </row>
    <row r="329" spans="1:17" ht="7.5" customHeight="1">
      <c r="A329" s="112"/>
      <c r="B329" s="404"/>
      <c r="C329" s="404"/>
      <c r="D329" s="289"/>
      <c r="E329" s="112"/>
      <c r="I329"/>
      <c r="J329"/>
      <c r="K329"/>
      <c r="L329"/>
      <c r="M329"/>
      <c r="N329"/>
      <c r="O329"/>
      <c r="P329"/>
      <c r="Q329"/>
    </row>
    <row r="330" spans="1:17" ht="12.75">
      <c r="A330" s="109" t="s">
        <v>160</v>
      </c>
      <c r="B330" s="405"/>
      <c r="C330" s="406">
        <f>IF(ISERROR($C322/$C326/12),0,$C322/$C326/12)</f>
        <v>0</v>
      </c>
      <c r="D330" s="295"/>
      <c r="E330" s="112"/>
      <c r="I330"/>
      <c r="J330"/>
      <c r="K330"/>
      <c r="L330"/>
      <c r="M330"/>
      <c r="N330"/>
      <c r="O330"/>
      <c r="P330"/>
      <c r="Q330"/>
    </row>
    <row r="331" spans="1:17" ht="12.75">
      <c r="A331" s="296"/>
      <c r="B331" s="297"/>
      <c r="C331" s="298"/>
      <c r="D331" s="297"/>
      <c r="E331" s="112"/>
      <c r="I331"/>
      <c r="J331"/>
      <c r="K331"/>
      <c r="L331"/>
      <c r="M331"/>
      <c r="N331"/>
      <c r="O331"/>
      <c r="P331"/>
      <c r="Q331"/>
    </row>
    <row r="332" spans="1:17" ht="12.75">
      <c r="A332" s="296"/>
      <c r="B332" s="297"/>
      <c r="C332" s="298"/>
      <c r="D332" s="297"/>
      <c r="E332" s="112"/>
      <c r="I332"/>
      <c r="J332"/>
      <c r="K332"/>
      <c r="L332"/>
      <c r="M332"/>
      <c r="N332"/>
      <c r="O332"/>
      <c r="P332"/>
      <c r="Q332"/>
    </row>
    <row r="333" spans="1:17" ht="51.75" thickBot="1">
      <c r="A333" s="132"/>
      <c r="B333" s="283" t="s">
        <v>104</v>
      </c>
      <c r="C333" s="283" t="s">
        <v>188</v>
      </c>
      <c r="D333" s="283" t="s">
        <v>103</v>
      </c>
      <c r="I333"/>
      <c r="J333"/>
      <c r="K333"/>
      <c r="L333"/>
      <c r="M333"/>
      <c r="N333"/>
      <c r="O333"/>
      <c r="P333"/>
      <c r="Q333"/>
    </row>
    <row r="334" spans="1:17" ht="18.75" customHeight="1">
      <c r="A334" s="481" t="s">
        <v>213</v>
      </c>
      <c r="B334" s="30"/>
      <c r="C334" s="30"/>
      <c r="I334"/>
      <c r="J334"/>
      <c r="K334"/>
      <c r="L334"/>
      <c r="M334"/>
      <c r="N334"/>
      <c r="O334"/>
      <c r="P334"/>
      <c r="Q334"/>
    </row>
    <row r="335" spans="1:17" ht="12.75">
      <c r="A335" s="109" t="s">
        <v>99</v>
      </c>
      <c r="B335" s="290"/>
      <c r="C335" s="290"/>
      <c r="D335" s="407">
        <f>+G57</f>
        <v>0</v>
      </c>
      <c r="I335"/>
      <c r="J335"/>
      <c r="K335"/>
      <c r="L335"/>
      <c r="M335"/>
      <c r="N335"/>
      <c r="O335"/>
      <c r="P335"/>
      <c r="Q335"/>
    </row>
    <row r="336" spans="1:17" ht="12.75">
      <c r="A336" s="112"/>
      <c r="B336" s="284"/>
      <c r="C336" s="284"/>
      <c r="D336" s="285"/>
      <c r="E336" s="280"/>
      <c r="F336" s="280"/>
      <c r="G336" s="280"/>
      <c r="I336"/>
      <c r="J336"/>
      <c r="K336"/>
      <c r="L336"/>
      <c r="M336"/>
      <c r="N336"/>
      <c r="O336"/>
      <c r="P336"/>
      <c r="Q336"/>
    </row>
    <row r="337" spans="1:17" ht="12.75">
      <c r="A337" s="109" t="s">
        <v>102</v>
      </c>
      <c r="B337" s="479">
        <v>1</v>
      </c>
      <c r="C337" s="479">
        <f>1-B337</f>
        <v>0</v>
      </c>
      <c r="D337" s="291">
        <f>B337+C337</f>
        <v>1</v>
      </c>
      <c r="I337"/>
      <c r="J337"/>
      <c r="K337"/>
      <c r="L337"/>
      <c r="M337"/>
      <c r="N337"/>
      <c r="O337"/>
      <c r="P337"/>
      <c r="Q337"/>
    </row>
    <row r="338" spans="1:17" ht="12.75">
      <c r="A338" s="112"/>
      <c r="B338" s="286"/>
      <c r="C338" s="286"/>
      <c r="D338" s="286"/>
      <c r="E338" s="112"/>
      <c r="I338"/>
      <c r="J338"/>
      <c r="K338"/>
      <c r="L338"/>
      <c r="M338"/>
      <c r="N338"/>
      <c r="O338"/>
      <c r="P338"/>
      <c r="Q338"/>
    </row>
    <row r="339" spans="1:17" ht="12.75">
      <c r="A339" s="109" t="s">
        <v>105</v>
      </c>
      <c r="B339" s="402">
        <f>$B337*$D335</f>
        <v>0</v>
      </c>
      <c r="C339" s="402">
        <f>C337*D335</f>
        <v>0</v>
      </c>
      <c r="D339" s="402">
        <f>SUM(B339:C339)</f>
        <v>0</v>
      </c>
      <c r="E339" s="112"/>
      <c r="I339"/>
      <c r="J339"/>
      <c r="K339"/>
      <c r="L339"/>
      <c r="M339"/>
      <c r="N339"/>
      <c r="O339"/>
      <c r="P339"/>
      <c r="Q339"/>
    </row>
    <row r="340" spans="1:17" ht="12.75">
      <c r="A340" s="112"/>
      <c r="B340" s="287"/>
      <c r="C340" s="287"/>
      <c r="D340" s="287"/>
      <c r="E340" s="112"/>
      <c r="I340"/>
      <c r="J340"/>
      <c r="K340"/>
      <c r="L340"/>
      <c r="M340"/>
      <c r="N340"/>
      <c r="O340"/>
      <c r="P340"/>
      <c r="Q340"/>
    </row>
    <row r="341" spans="1:17" ht="12.75">
      <c r="A341" s="109" t="s">
        <v>151</v>
      </c>
      <c r="B341" s="293">
        <f>+B57</f>
        <v>96543</v>
      </c>
      <c r="C341" s="292"/>
      <c r="D341" s="292"/>
      <c r="E341" s="112"/>
      <c r="I341"/>
      <c r="J341"/>
      <c r="K341"/>
      <c r="L341"/>
      <c r="M341"/>
      <c r="N341"/>
      <c r="O341"/>
      <c r="P341"/>
      <c r="Q341"/>
    </row>
    <row r="342" spans="1:17" ht="13.5" customHeight="1">
      <c r="A342" s="112"/>
      <c r="B342" s="288"/>
      <c r="C342" s="287"/>
      <c r="D342" s="287"/>
      <c r="E342" s="112"/>
      <c r="I342"/>
      <c r="J342"/>
      <c r="K342"/>
      <c r="L342"/>
      <c r="M342"/>
      <c r="N342"/>
      <c r="O342"/>
      <c r="P342"/>
      <c r="Q342"/>
    </row>
    <row r="343" spans="1:17" ht="12.75">
      <c r="A343" s="109" t="s">
        <v>101</v>
      </c>
      <c r="B343" s="292"/>
      <c r="C343" s="293">
        <f>+D57</f>
        <v>3</v>
      </c>
      <c r="D343" s="292"/>
      <c r="E343" s="112"/>
      <c r="I343"/>
      <c r="J343"/>
      <c r="K343"/>
      <c r="L343"/>
      <c r="M343"/>
      <c r="N343"/>
      <c r="O343"/>
      <c r="P343"/>
      <c r="Q343"/>
    </row>
    <row r="344" spans="1:17" ht="13.5" customHeight="1">
      <c r="A344" s="112"/>
      <c r="B344" s="287"/>
      <c r="C344" s="288"/>
      <c r="D344" s="287"/>
      <c r="E344" s="112"/>
      <c r="I344"/>
      <c r="J344"/>
      <c r="K344"/>
      <c r="L344"/>
      <c r="M344"/>
      <c r="N344"/>
      <c r="O344"/>
      <c r="P344"/>
      <c r="Q344"/>
    </row>
    <row r="345" spans="1:17" ht="12.75">
      <c r="A345" s="109" t="s">
        <v>161</v>
      </c>
      <c r="B345" s="403">
        <f>IF(ISERROR($B339/$B341),0,$B339/$B341)</f>
        <v>0</v>
      </c>
      <c r="C345" s="403"/>
      <c r="D345" s="294"/>
      <c r="E345" s="112"/>
      <c r="I345"/>
      <c r="J345"/>
      <c r="K345"/>
      <c r="L345"/>
      <c r="M345"/>
      <c r="N345"/>
      <c r="O345"/>
      <c r="P345"/>
      <c r="Q345"/>
    </row>
    <row r="346" spans="1:17" ht="13.5" customHeight="1">
      <c r="A346" s="112"/>
      <c r="B346" s="404"/>
      <c r="C346" s="404"/>
      <c r="D346" s="289"/>
      <c r="E346" s="112"/>
      <c r="I346"/>
      <c r="J346"/>
      <c r="K346"/>
      <c r="L346"/>
      <c r="M346"/>
      <c r="N346"/>
      <c r="O346"/>
      <c r="P346"/>
      <c r="Q346"/>
    </row>
    <row r="347" spans="1:17" ht="12.75">
      <c r="A347" s="109" t="s">
        <v>160</v>
      </c>
      <c r="B347" s="405"/>
      <c r="C347" s="406">
        <f>IF(ISERROR($C339/$C343/12),0,$C339/$C343/12)</f>
        <v>0</v>
      </c>
      <c r="D347" s="295"/>
      <c r="E347" s="112"/>
      <c r="I347"/>
      <c r="J347"/>
      <c r="K347"/>
      <c r="L347"/>
      <c r="M347"/>
      <c r="N347"/>
      <c r="O347"/>
      <c r="P347"/>
      <c r="Q347"/>
    </row>
    <row r="348" spans="1:17" ht="12.75">
      <c r="A348" s="296"/>
      <c r="B348" s="482"/>
      <c r="C348" s="483"/>
      <c r="D348" s="297"/>
      <c r="E348" s="112"/>
      <c r="I348"/>
      <c r="J348"/>
      <c r="K348"/>
      <c r="L348"/>
      <c r="M348"/>
      <c r="N348"/>
      <c r="O348"/>
      <c r="P348"/>
      <c r="Q348"/>
    </row>
    <row r="349" spans="1:17" ht="12.75">
      <c r="A349" s="296"/>
      <c r="B349" s="482"/>
      <c r="C349" s="483"/>
      <c r="D349" s="297"/>
      <c r="E349" s="112"/>
      <c r="I349"/>
      <c r="J349"/>
      <c r="K349"/>
      <c r="L349"/>
      <c r="M349"/>
      <c r="N349"/>
      <c r="O349"/>
      <c r="P349"/>
      <c r="Q349"/>
    </row>
    <row r="350" spans="1:17" ht="13.5" customHeight="1">
      <c r="A350" s="54" t="s">
        <v>222</v>
      </c>
      <c r="E350" s="112"/>
      <c r="I350"/>
      <c r="J350"/>
      <c r="K350"/>
      <c r="L350"/>
      <c r="M350"/>
      <c r="N350"/>
      <c r="O350"/>
      <c r="P350"/>
      <c r="Q350"/>
    </row>
    <row r="351" spans="1:17" ht="7.5" customHeight="1">
      <c r="A351" s="54"/>
      <c r="E351" s="112"/>
      <c r="I351"/>
      <c r="J351"/>
      <c r="K351"/>
      <c r="L351"/>
      <c r="M351"/>
      <c r="N351"/>
      <c r="O351"/>
      <c r="P351"/>
      <c r="Q351"/>
    </row>
    <row r="352" spans="1:17" ht="15">
      <c r="A352" s="132"/>
      <c r="E352" s="112"/>
      <c r="I352"/>
      <c r="J352"/>
      <c r="K352"/>
      <c r="L352"/>
      <c r="M352"/>
      <c r="N352"/>
      <c r="O352"/>
      <c r="P352"/>
      <c r="Q352"/>
    </row>
    <row r="353" spans="1:17" ht="51.75" thickBot="1">
      <c r="A353" s="132"/>
      <c r="B353" s="283" t="s">
        <v>104</v>
      </c>
      <c r="C353" s="283" t="s">
        <v>188</v>
      </c>
      <c r="D353" s="283" t="s">
        <v>103</v>
      </c>
      <c r="E353" s="112"/>
      <c r="I353"/>
      <c r="J353"/>
      <c r="K353"/>
      <c r="L353"/>
      <c r="M353"/>
      <c r="N353"/>
      <c r="O353"/>
      <c r="P353"/>
      <c r="Q353"/>
    </row>
    <row r="354" spans="1:17" ht="15">
      <c r="A354" s="132"/>
      <c r="B354" s="30"/>
      <c r="C354" s="30"/>
      <c r="E354" s="112"/>
      <c r="I354"/>
      <c r="J354"/>
      <c r="K354"/>
      <c r="L354"/>
      <c r="M354"/>
      <c r="N354"/>
      <c r="O354"/>
      <c r="P354"/>
      <c r="Q354"/>
    </row>
    <row r="355" spans="1:17" ht="12.75">
      <c r="A355" s="109" t="s">
        <v>99</v>
      </c>
      <c r="B355" s="290"/>
      <c r="C355" s="290"/>
      <c r="D355" s="407">
        <v>0</v>
      </c>
      <c r="E355" s="112"/>
      <c r="I355"/>
      <c r="J355"/>
      <c r="K355"/>
      <c r="L355"/>
      <c r="M355"/>
      <c r="N355"/>
      <c r="O355"/>
      <c r="P355"/>
      <c r="Q355"/>
    </row>
    <row r="356" spans="1:17" ht="12.75">
      <c r="A356" s="112"/>
      <c r="B356" s="284"/>
      <c r="C356" s="284"/>
      <c r="D356" s="285"/>
      <c r="E356" s="112"/>
      <c r="I356"/>
      <c r="J356"/>
      <c r="K356"/>
      <c r="L356"/>
      <c r="M356"/>
      <c r="N356"/>
      <c r="O356"/>
      <c r="P356"/>
      <c r="Q356"/>
    </row>
    <row r="357" spans="1:17" ht="12.75">
      <c r="A357" s="109" t="s">
        <v>102</v>
      </c>
      <c r="B357" s="479">
        <v>1</v>
      </c>
      <c r="C357" s="479">
        <f>1-B357</f>
        <v>0</v>
      </c>
      <c r="D357" s="291">
        <f>B357+C357</f>
        <v>1</v>
      </c>
      <c r="E357" s="112"/>
      <c r="I357"/>
      <c r="J357"/>
      <c r="K357"/>
      <c r="L357"/>
      <c r="M357"/>
      <c r="N357"/>
      <c r="O357"/>
      <c r="P357"/>
      <c r="Q357"/>
    </row>
    <row r="358" spans="1:17" ht="12.75">
      <c r="A358" s="112"/>
      <c r="B358" s="286"/>
      <c r="C358" s="286"/>
      <c r="D358" s="286"/>
      <c r="E358" s="112"/>
      <c r="I358"/>
      <c r="J358"/>
      <c r="K358"/>
      <c r="L358"/>
      <c r="M358"/>
      <c r="N358"/>
      <c r="O358"/>
      <c r="P358"/>
      <c r="Q358"/>
    </row>
    <row r="359" spans="1:17" ht="12.75">
      <c r="A359" s="109" t="s">
        <v>105</v>
      </c>
      <c r="B359" s="402">
        <f>$B357*$D355</f>
        <v>0</v>
      </c>
      <c r="C359" s="402">
        <f>C357*D355</f>
        <v>0</v>
      </c>
      <c r="D359" s="402">
        <f>SUM(B359:C359)</f>
        <v>0</v>
      </c>
      <c r="E359" s="112"/>
      <c r="I359"/>
      <c r="J359"/>
      <c r="K359"/>
      <c r="L359"/>
      <c r="M359"/>
      <c r="N359"/>
      <c r="O359"/>
      <c r="P359"/>
      <c r="Q359"/>
    </row>
    <row r="360" spans="1:17" ht="12.75">
      <c r="A360" s="112"/>
      <c r="B360" s="287"/>
      <c r="C360" s="287"/>
      <c r="D360" s="287"/>
      <c r="E360" s="112"/>
      <c r="I360"/>
      <c r="J360"/>
      <c r="K360"/>
      <c r="L360"/>
      <c r="M360"/>
      <c r="N360"/>
      <c r="O360"/>
      <c r="P360"/>
      <c r="Q360"/>
    </row>
    <row r="361" spans="1:17" ht="12.75">
      <c r="A361" s="109" t="s">
        <v>151</v>
      </c>
      <c r="B361" s="293">
        <v>0</v>
      </c>
      <c r="C361" s="292"/>
      <c r="D361" s="292"/>
      <c r="E361" s="112"/>
      <c r="I361"/>
      <c r="J361"/>
      <c r="K361"/>
      <c r="L361"/>
      <c r="M361"/>
      <c r="N361"/>
      <c r="O361"/>
      <c r="P361"/>
      <c r="Q361"/>
    </row>
    <row r="362" spans="1:17" ht="12.75">
      <c r="A362" s="112"/>
      <c r="B362" s="288"/>
      <c r="C362" s="287"/>
      <c r="D362" s="287"/>
      <c r="E362" s="112"/>
      <c r="I362"/>
      <c r="J362"/>
      <c r="K362"/>
      <c r="L362"/>
      <c r="M362"/>
      <c r="N362"/>
      <c r="O362"/>
      <c r="P362"/>
      <c r="Q362"/>
    </row>
    <row r="363" spans="1:17" ht="12.75">
      <c r="A363" s="109" t="s">
        <v>101</v>
      </c>
      <c r="B363" s="292"/>
      <c r="C363" s="293">
        <v>0</v>
      </c>
      <c r="D363" s="292"/>
      <c r="E363" s="112"/>
      <c r="I363"/>
      <c r="J363"/>
      <c r="K363"/>
      <c r="L363"/>
      <c r="M363"/>
      <c r="N363"/>
      <c r="O363"/>
      <c r="P363"/>
      <c r="Q363"/>
    </row>
    <row r="364" spans="1:17" ht="12.75">
      <c r="A364" s="112"/>
      <c r="B364" s="287"/>
      <c r="C364" s="288"/>
      <c r="D364" s="287"/>
      <c r="E364" s="112"/>
      <c r="I364"/>
      <c r="J364"/>
      <c r="K364"/>
      <c r="L364"/>
      <c r="M364"/>
      <c r="N364"/>
      <c r="O364"/>
      <c r="P364"/>
      <c r="Q364"/>
    </row>
    <row r="365" spans="1:17" ht="12.75">
      <c r="A365" s="109" t="s">
        <v>161</v>
      </c>
      <c r="B365" s="403">
        <f>IF(ISERROR($B359/$B361),0,$B359/$B361)</f>
        <v>0</v>
      </c>
      <c r="C365" s="403"/>
      <c r="D365" s="294"/>
      <c r="E365" s="112"/>
      <c r="I365"/>
      <c r="J365"/>
      <c r="K365"/>
      <c r="L365"/>
      <c r="M365"/>
      <c r="N365"/>
      <c r="O365"/>
      <c r="P365"/>
      <c r="Q365"/>
    </row>
    <row r="366" spans="1:17" ht="12.75">
      <c r="A366" s="112"/>
      <c r="B366" s="404"/>
      <c r="C366" s="404"/>
      <c r="D366" s="289"/>
      <c r="E366" s="112"/>
      <c r="I366"/>
      <c r="J366"/>
      <c r="K366"/>
      <c r="L366"/>
      <c r="M366"/>
      <c r="N366"/>
      <c r="O366"/>
      <c r="P366"/>
      <c r="Q366"/>
    </row>
    <row r="367" spans="1:17" ht="12.75">
      <c r="A367" s="109" t="s">
        <v>160</v>
      </c>
      <c r="B367" s="405"/>
      <c r="C367" s="406">
        <f>IF(ISERROR($C359/$C363/12),0,$C359/$C363/12)</f>
        <v>0</v>
      </c>
      <c r="D367" s="295"/>
      <c r="E367" s="112"/>
      <c r="I367"/>
      <c r="J367"/>
      <c r="K367"/>
      <c r="L367"/>
      <c r="M367"/>
      <c r="N367"/>
      <c r="O367"/>
      <c r="P367"/>
      <c r="Q367"/>
    </row>
    <row r="368" spans="1:17" ht="12.75">
      <c r="A368" s="296"/>
      <c r="B368" s="297"/>
      <c r="C368" s="298"/>
      <c r="D368" s="297"/>
      <c r="E368" s="112"/>
      <c r="I368"/>
      <c r="J368"/>
      <c r="K368"/>
      <c r="L368"/>
      <c r="M368"/>
      <c r="N368"/>
      <c r="O368"/>
      <c r="P368"/>
      <c r="Q368"/>
    </row>
    <row r="369" spans="1:17" ht="12.75">
      <c r="A369" s="296"/>
      <c r="B369" s="297"/>
      <c r="C369" s="298"/>
      <c r="D369" s="297"/>
      <c r="E369" s="112"/>
      <c r="I369"/>
      <c r="J369"/>
      <c r="K369"/>
      <c r="L369"/>
      <c r="M369"/>
      <c r="N369"/>
      <c r="O369"/>
      <c r="P369"/>
      <c r="Q369"/>
    </row>
    <row r="370" spans="1:17" ht="7.5" customHeight="1">
      <c r="A370" s="296"/>
      <c r="B370" s="297"/>
      <c r="C370" s="298"/>
      <c r="D370" s="297"/>
      <c r="E370" s="112"/>
      <c r="I370"/>
      <c r="J370"/>
      <c r="K370"/>
      <c r="L370"/>
      <c r="M370"/>
      <c r="N370"/>
      <c r="O370"/>
      <c r="P370"/>
      <c r="Q370"/>
    </row>
    <row r="371" spans="1:17" ht="13.5" customHeight="1">
      <c r="A371" s="54" t="s">
        <v>17</v>
      </c>
      <c r="E371" s="112"/>
      <c r="I371"/>
      <c r="J371"/>
      <c r="K371"/>
      <c r="L371"/>
      <c r="M371"/>
      <c r="N371"/>
      <c r="O371"/>
      <c r="P371"/>
      <c r="Q371"/>
    </row>
    <row r="372" spans="1:17" ht="7.5" customHeight="1">
      <c r="A372" s="54"/>
      <c r="E372" s="112"/>
      <c r="I372"/>
      <c r="J372"/>
      <c r="K372"/>
      <c r="L372"/>
      <c r="M372"/>
      <c r="N372"/>
      <c r="O372"/>
      <c r="P372"/>
      <c r="Q372"/>
    </row>
    <row r="373" spans="1:17" ht="15">
      <c r="A373" s="132"/>
      <c r="E373" s="112"/>
      <c r="I373"/>
      <c r="J373"/>
      <c r="K373"/>
      <c r="L373"/>
      <c r="M373"/>
      <c r="N373"/>
      <c r="O373"/>
      <c r="P373"/>
      <c r="Q373"/>
    </row>
    <row r="374" spans="1:17" ht="51.75" thickBot="1">
      <c r="A374" s="132"/>
      <c r="B374" s="283" t="s">
        <v>104</v>
      </c>
      <c r="C374" s="283" t="s">
        <v>188</v>
      </c>
      <c r="D374" s="283" t="s">
        <v>103</v>
      </c>
      <c r="E374" s="112"/>
      <c r="I374"/>
      <c r="J374"/>
      <c r="K374"/>
      <c r="L374"/>
      <c r="M374"/>
      <c r="N374"/>
      <c r="O374"/>
      <c r="P374"/>
      <c r="Q374"/>
    </row>
    <row r="375" spans="1:17" ht="15">
      <c r="A375" s="481" t="s">
        <v>213</v>
      </c>
      <c r="B375" s="30"/>
      <c r="C375" s="30"/>
      <c r="E375" s="112"/>
      <c r="I375"/>
      <c r="J375"/>
      <c r="K375"/>
      <c r="L375"/>
      <c r="M375"/>
      <c r="N375"/>
      <c r="O375"/>
      <c r="P375"/>
      <c r="Q375"/>
    </row>
    <row r="376" spans="1:17" ht="12.75">
      <c r="A376" s="109" t="s">
        <v>99</v>
      </c>
      <c r="B376" s="290"/>
      <c r="C376" s="290"/>
      <c r="D376" s="407">
        <f>+G63</f>
        <v>0</v>
      </c>
      <c r="E376" s="112"/>
      <c r="I376"/>
      <c r="J376"/>
      <c r="K376"/>
      <c r="L376"/>
      <c r="M376"/>
      <c r="N376"/>
      <c r="O376"/>
      <c r="P376"/>
      <c r="Q376"/>
    </row>
    <row r="377" spans="1:17" ht="12.75">
      <c r="A377" s="112"/>
      <c r="B377" s="284"/>
      <c r="C377" s="284"/>
      <c r="D377" s="285"/>
      <c r="E377" s="112"/>
      <c r="I377"/>
      <c r="J377"/>
      <c r="K377"/>
      <c r="L377"/>
      <c r="M377"/>
      <c r="N377"/>
      <c r="O377"/>
      <c r="P377"/>
      <c r="Q377"/>
    </row>
    <row r="378" spans="1:17" ht="12.75">
      <c r="A378" s="109" t="s">
        <v>102</v>
      </c>
      <c r="B378" s="479">
        <v>1</v>
      </c>
      <c r="C378" s="479">
        <f>1-B378</f>
        <v>0</v>
      </c>
      <c r="D378" s="291">
        <f>B378+C378</f>
        <v>1</v>
      </c>
      <c r="E378" s="112"/>
      <c r="I378"/>
      <c r="J378"/>
      <c r="K378"/>
      <c r="L378"/>
      <c r="M378"/>
      <c r="N378"/>
      <c r="O378"/>
      <c r="P378"/>
      <c r="Q378"/>
    </row>
    <row r="379" spans="1:17" ht="12.75">
      <c r="A379" s="112"/>
      <c r="B379" s="286"/>
      <c r="C379" s="286"/>
      <c r="D379" s="286"/>
      <c r="E379" s="112"/>
      <c r="I379"/>
      <c r="J379"/>
      <c r="K379"/>
      <c r="L379"/>
      <c r="M379"/>
      <c r="N379"/>
      <c r="O379"/>
      <c r="P379"/>
      <c r="Q379"/>
    </row>
    <row r="380" spans="1:17" ht="12.75">
      <c r="A380" s="109" t="s">
        <v>105</v>
      </c>
      <c r="B380" s="402">
        <f>$B378*$D376</f>
        <v>0</v>
      </c>
      <c r="C380" s="402">
        <f>C378*D376</f>
        <v>0</v>
      </c>
      <c r="D380" s="402">
        <f>SUM(B380:C380)</f>
        <v>0</v>
      </c>
      <c r="E380" s="112"/>
      <c r="I380"/>
      <c r="J380"/>
      <c r="K380"/>
      <c r="L380"/>
      <c r="M380"/>
      <c r="N380"/>
      <c r="O380"/>
      <c r="P380"/>
      <c r="Q380"/>
    </row>
    <row r="381" spans="1:17" ht="12.75">
      <c r="A381" s="112"/>
      <c r="B381" s="287"/>
      <c r="C381" s="287"/>
      <c r="D381" s="287"/>
      <c r="E381" s="112"/>
      <c r="I381"/>
      <c r="J381"/>
      <c r="K381"/>
      <c r="L381"/>
      <c r="M381"/>
      <c r="N381"/>
      <c r="O381"/>
      <c r="P381"/>
      <c r="Q381"/>
    </row>
    <row r="382" spans="1:17" ht="12.75">
      <c r="A382" s="109" t="s">
        <v>151</v>
      </c>
      <c r="B382" s="293">
        <f>+B63</f>
        <v>55024</v>
      </c>
      <c r="C382" s="292"/>
      <c r="D382" s="292"/>
      <c r="E382" s="112"/>
      <c r="I382"/>
      <c r="J382"/>
      <c r="K382"/>
      <c r="L382"/>
      <c r="M382"/>
      <c r="N382"/>
      <c r="O382"/>
      <c r="P382"/>
      <c r="Q382"/>
    </row>
    <row r="383" spans="1:17" ht="12.75">
      <c r="A383" s="112"/>
      <c r="B383" s="288"/>
      <c r="C383" s="287"/>
      <c r="D383" s="287"/>
      <c r="E383" s="112"/>
      <c r="I383"/>
      <c r="J383"/>
      <c r="K383"/>
      <c r="L383"/>
      <c r="M383"/>
      <c r="N383"/>
      <c r="O383"/>
      <c r="P383"/>
      <c r="Q383"/>
    </row>
    <row r="384" spans="1:17" ht="12.75">
      <c r="A384" s="109" t="s">
        <v>101</v>
      </c>
      <c r="B384" s="292"/>
      <c r="C384" s="293">
        <f>+D63</f>
        <v>1</v>
      </c>
      <c r="D384" s="292"/>
      <c r="E384" s="112"/>
      <c r="I384"/>
      <c r="J384"/>
      <c r="K384"/>
      <c r="L384"/>
      <c r="M384"/>
      <c r="N384"/>
      <c r="O384"/>
      <c r="P384"/>
      <c r="Q384"/>
    </row>
    <row r="385" spans="1:17" ht="12.75">
      <c r="A385" s="112"/>
      <c r="B385" s="287"/>
      <c r="C385" s="288"/>
      <c r="D385" s="287"/>
      <c r="E385" s="112"/>
      <c r="I385"/>
      <c r="J385"/>
      <c r="K385"/>
      <c r="L385"/>
      <c r="M385"/>
      <c r="N385"/>
      <c r="O385"/>
      <c r="P385"/>
      <c r="Q385"/>
    </row>
    <row r="386" spans="1:17" ht="12.75">
      <c r="A386" s="109" t="s">
        <v>161</v>
      </c>
      <c r="B386" s="403">
        <f>IF(ISERROR($B380/$B382),0,$B380/$B382)</f>
        <v>0</v>
      </c>
      <c r="C386" s="403"/>
      <c r="D386" s="294"/>
      <c r="E386" s="112"/>
      <c r="I386"/>
      <c r="J386"/>
      <c r="K386"/>
      <c r="L386"/>
      <c r="M386"/>
      <c r="N386"/>
      <c r="O386"/>
      <c r="P386"/>
      <c r="Q386"/>
    </row>
    <row r="387" spans="1:17" ht="12.75">
      <c r="A387" s="112"/>
      <c r="B387" s="404"/>
      <c r="C387" s="404"/>
      <c r="D387" s="289"/>
      <c r="E387" s="112"/>
      <c r="I387"/>
      <c r="J387"/>
      <c r="K387"/>
      <c r="L387"/>
      <c r="M387"/>
      <c r="N387"/>
      <c r="O387"/>
      <c r="P387"/>
      <c r="Q387"/>
    </row>
    <row r="388" spans="1:17" ht="12.75">
      <c r="A388" s="109" t="s">
        <v>160</v>
      </c>
      <c r="B388" s="405"/>
      <c r="C388" s="406">
        <f>IF(ISERROR($C380/$C384/12),0,$C380/$C384/12)</f>
        <v>0</v>
      </c>
      <c r="D388" s="295"/>
      <c r="E388" s="112"/>
      <c r="I388"/>
      <c r="J388"/>
      <c r="K388"/>
      <c r="L388"/>
      <c r="M388"/>
      <c r="N388"/>
      <c r="O388"/>
      <c r="P388"/>
      <c r="Q388"/>
    </row>
    <row r="389" spans="1:17" ht="12.75">
      <c r="A389" s="296"/>
      <c r="B389" s="297"/>
      <c r="C389" s="298"/>
      <c r="D389" s="297"/>
      <c r="E389" s="112"/>
      <c r="I389"/>
      <c r="J389"/>
      <c r="K389"/>
      <c r="L389"/>
      <c r="M389"/>
      <c r="N389"/>
      <c r="O389"/>
      <c r="P389"/>
      <c r="Q389"/>
    </row>
    <row r="390" spans="1:17" ht="12.75">
      <c r="A390" s="296"/>
      <c r="B390" s="297"/>
      <c r="C390" s="298"/>
      <c r="D390" s="297"/>
      <c r="E390" s="112"/>
      <c r="I390"/>
      <c r="J390"/>
      <c r="K390"/>
      <c r="L390"/>
      <c r="M390"/>
      <c r="N390"/>
      <c r="O390"/>
      <c r="P390"/>
      <c r="Q390"/>
    </row>
    <row r="391" spans="1:17" ht="51.75" thickBot="1">
      <c r="A391" s="132"/>
      <c r="B391" s="283" t="s">
        <v>104</v>
      </c>
      <c r="C391" s="283" t="s">
        <v>188</v>
      </c>
      <c r="D391" s="283" t="s">
        <v>103</v>
      </c>
      <c r="E391" s="112"/>
      <c r="I391"/>
      <c r="J391"/>
      <c r="K391"/>
      <c r="L391"/>
      <c r="M391"/>
      <c r="N391"/>
      <c r="O391"/>
      <c r="P391"/>
      <c r="Q391"/>
    </row>
    <row r="392" spans="1:17" ht="15">
      <c r="A392" s="481" t="s">
        <v>220</v>
      </c>
      <c r="B392" s="30"/>
      <c r="C392" s="30"/>
      <c r="E392" s="112"/>
      <c r="I392"/>
      <c r="J392"/>
      <c r="K392"/>
      <c r="L392"/>
      <c r="M392"/>
      <c r="N392"/>
      <c r="O392"/>
      <c r="P392"/>
      <c r="Q392"/>
    </row>
    <row r="393" spans="1:17" ht="12.75">
      <c r="A393" s="109" t="s">
        <v>99</v>
      </c>
      <c r="B393" s="290"/>
      <c r="C393" s="290"/>
      <c r="D393" s="407">
        <f>+G64</f>
        <v>0</v>
      </c>
      <c r="E393" s="112"/>
      <c r="I393"/>
      <c r="J393"/>
      <c r="K393"/>
      <c r="L393"/>
      <c r="M393"/>
      <c r="N393"/>
      <c r="O393"/>
      <c r="P393"/>
      <c r="Q393"/>
    </row>
    <row r="394" spans="1:17" ht="12.75">
      <c r="A394" s="112"/>
      <c r="B394" s="284"/>
      <c r="C394" s="284"/>
      <c r="D394" s="285"/>
      <c r="I394"/>
      <c r="J394"/>
      <c r="K394"/>
      <c r="L394"/>
      <c r="M394"/>
      <c r="N394"/>
      <c r="O394"/>
      <c r="P394"/>
      <c r="Q394"/>
    </row>
    <row r="395" spans="1:17" ht="6.75" customHeight="1">
      <c r="A395" s="109" t="s">
        <v>102</v>
      </c>
      <c r="B395" s="479">
        <v>1</v>
      </c>
      <c r="C395" s="479">
        <f>1-B395</f>
        <v>0</v>
      </c>
      <c r="D395" s="291">
        <f>B395+C395</f>
        <v>1</v>
      </c>
      <c r="I395"/>
      <c r="J395"/>
      <c r="K395"/>
      <c r="L395"/>
      <c r="M395"/>
      <c r="N395"/>
      <c r="O395"/>
      <c r="P395"/>
      <c r="Q395"/>
    </row>
    <row r="396" spans="1:17" ht="12.75">
      <c r="A396" s="112"/>
      <c r="B396" s="286"/>
      <c r="C396" s="286"/>
      <c r="D396" s="286"/>
      <c r="I396"/>
      <c r="J396"/>
      <c r="K396"/>
      <c r="L396"/>
      <c r="M396"/>
      <c r="N396"/>
      <c r="O396"/>
      <c r="P396"/>
      <c r="Q396"/>
    </row>
    <row r="397" spans="1:17" ht="12.75">
      <c r="A397" s="109" t="s">
        <v>105</v>
      </c>
      <c r="B397" s="402">
        <f>$B395*$D393</f>
        <v>0</v>
      </c>
      <c r="C397" s="402">
        <f>C395*D393</f>
        <v>0</v>
      </c>
      <c r="D397" s="402">
        <f>SUM(B397:C397)</f>
        <v>0</v>
      </c>
      <c r="E397" s="280"/>
      <c r="F397" s="280"/>
      <c r="G397" s="280"/>
      <c r="I397"/>
      <c r="J397"/>
      <c r="K397"/>
      <c r="L397"/>
      <c r="M397"/>
      <c r="N397"/>
      <c r="O397"/>
      <c r="P397"/>
      <c r="Q397"/>
    </row>
    <row r="398" spans="1:17" ht="12.75">
      <c r="A398" s="112"/>
      <c r="B398" s="287"/>
      <c r="C398" s="287"/>
      <c r="D398" s="287"/>
      <c r="I398"/>
      <c r="J398"/>
      <c r="K398"/>
      <c r="L398"/>
      <c r="M398"/>
      <c r="N398"/>
      <c r="O398"/>
      <c r="P398"/>
      <c r="Q398"/>
    </row>
    <row r="399" spans="1:17" ht="12.75">
      <c r="A399" s="109" t="s">
        <v>151</v>
      </c>
      <c r="B399" s="293">
        <f>+B64</f>
        <v>61751</v>
      </c>
      <c r="C399" s="292"/>
      <c r="D399" s="292"/>
      <c r="E399" s="112"/>
      <c r="I399"/>
      <c r="J399"/>
      <c r="K399"/>
      <c r="L399"/>
      <c r="M399"/>
      <c r="N399"/>
      <c r="O399"/>
      <c r="P399"/>
      <c r="Q399"/>
    </row>
    <row r="400" spans="1:17" ht="7.5" customHeight="1">
      <c r="A400" s="112"/>
      <c r="B400" s="288"/>
      <c r="C400" s="287"/>
      <c r="D400" s="287"/>
      <c r="E400" s="112"/>
      <c r="I400"/>
      <c r="J400"/>
      <c r="K400"/>
      <c r="L400"/>
      <c r="M400"/>
      <c r="N400"/>
      <c r="O400"/>
      <c r="P400"/>
      <c r="Q400"/>
    </row>
    <row r="401" spans="1:17" ht="12.75">
      <c r="A401" s="109" t="s">
        <v>101</v>
      </c>
      <c r="B401" s="292"/>
      <c r="C401" s="293">
        <f>+D64</f>
        <v>1</v>
      </c>
      <c r="D401" s="292"/>
      <c r="E401" s="112"/>
      <c r="I401"/>
      <c r="J401"/>
      <c r="K401"/>
      <c r="L401"/>
      <c r="M401"/>
      <c r="N401"/>
      <c r="O401"/>
      <c r="P401"/>
      <c r="Q401"/>
    </row>
    <row r="402" spans="1:17" ht="7.5" customHeight="1">
      <c r="A402" s="112"/>
      <c r="B402" s="287"/>
      <c r="C402" s="288"/>
      <c r="D402" s="287"/>
      <c r="E402" s="112"/>
      <c r="I402"/>
      <c r="J402"/>
      <c r="K402"/>
      <c r="L402"/>
      <c r="M402"/>
      <c r="N402"/>
      <c r="O402"/>
      <c r="P402"/>
      <c r="Q402"/>
    </row>
    <row r="403" spans="1:17" ht="13.5" customHeight="1">
      <c r="A403" s="109" t="s">
        <v>161</v>
      </c>
      <c r="B403" s="403">
        <f>IF(ISERROR($B397/$B399),0,$B397/$B399)</f>
        <v>0</v>
      </c>
      <c r="C403" s="403"/>
      <c r="D403" s="294"/>
      <c r="E403" s="112"/>
      <c r="I403"/>
      <c r="J403"/>
      <c r="K403"/>
      <c r="L403"/>
      <c r="M403"/>
      <c r="N403"/>
      <c r="O403"/>
      <c r="P403"/>
      <c r="Q403"/>
    </row>
    <row r="404" spans="1:17" ht="7.5" customHeight="1">
      <c r="A404" s="112"/>
      <c r="B404" s="404"/>
      <c r="C404" s="404"/>
      <c r="D404" s="289"/>
      <c r="E404" s="112"/>
      <c r="I404"/>
      <c r="J404"/>
      <c r="K404"/>
      <c r="L404"/>
      <c r="M404"/>
      <c r="N404"/>
      <c r="O404"/>
      <c r="P404"/>
      <c r="Q404"/>
    </row>
    <row r="405" spans="1:17" ht="13.5" customHeight="1">
      <c r="A405" s="109" t="s">
        <v>160</v>
      </c>
      <c r="B405" s="405"/>
      <c r="C405" s="406">
        <f>IF(ISERROR($C397/$C401/12),0,$C397/$C401/12)</f>
        <v>0</v>
      </c>
      <c r="D405" s="295"/>
      <c r="E405" s="112"/>
      <c r="I405"/>
      <c r="J405"/>
      <c r="K405"/>
      <c r="L405"/>
      <c r="M405"/>
      <c r="N405"/>
      <c r="O405"/>
      <c r="P405"/>
      <c r="Q405"/>
    </row>
    <row r="406" spans="1:17" ht="7.5" customHeight="1">
      <c r="A406" s="296"/>
      <c r="B406" s="297"/>
      <c r="C406" s="298"/>
      <c r="D406" s="297"/>
      <c r="E406" s="112"/>
      <c r="I406"/>
      <c r="J406"/>
      <c r="K406"/>
      <c r="L406"/>
      <c r="M406"/>
      <c r="N406"/>
      <c r="O406"/>
      <c r="P406"/>
      <c r="Q406"/>
    </row>
    <row r="407" spans="1:17" ht="13.5" customHeight="1">
      <c r="A407" s="296"/>
      <c r="B407" s="297"/>
      <c r="C407" s="298"/>
      <c r="D407" s="297"/>
      <c r="E407" s="112"/>
      <c r="I407"/>
      <c r="J407"/>
      <c r="K407"/>
      <c r="L407"/>
      <c r="M407"/>
      <c r="N407"/>
      <c r="O407"/>
      <c r="P407"/>
      <c r="Q407"/>
    </row>
    <row r="408" spans="1:17" ht="7.5" customHeight="1">
      <c r="A408" s="296"/>
      <c r="B408" s="297"/>
      <c r="C408" s="298"/>
      <c r="D408" s="297"/>
      <c r="E408" s="112"/>
      <c r="I408"/>
      <c r="J408"/>
      <c r="K408"/>
      <c r="L408"/>
      <c r="M408"/>
      <c r="N408"/>
      <c r="O408"/>
      <c r="P408"/>
      <c r="Q408"/>
    </row>
    <row r="409" spans="1:17" ht="13.5" customHeight="1">
      <c r="A409" s="54" t="s">
        <v>18</v>
      </c>
      <c r="E409" s="112"/>
      <c r="I409"/>
      <c r="J409"/>
      <c r="K409"/>
      <c r="L409"/>
      <c r="M409"/>
      <c r="N409"/>
      <c r="O409"/>
      <c r="P409"/>
      <c r="Q409"/>
    </row>
    <row r="410" spans="1:17" ht="7.5" customHeight="1">
      <c r="A410" s="54"/>
      <c r="E410" s="112"/>
      <c r="I410"/>
      <c r="J410"/>
      <c r="K410"/>
      <c r="L410"/>
      <c r="M410"/>
      <c r="N410"/>
      <c r="O410"/>
      <c r="P410"/>
      <c r="Q410"/>
    </row>
    <row r="411" spans="1:17" ht="15">
      <c r="A411" s="132"/>
      <c r="E411" s="112"/>
      <c r="I411"/>
      <c r="J411"/>
      <c r="K411"/>
      <c r="L411"/>
      <c r="M411"/>
      <c r="N411"/>
      <c r="O411"/>
      <c r="P411"/>
      <c r="Q411"/>
    </row>
    <row r="412" spans="1:17" ht="51.75" thickBot="1">
      <c r="A412" s="132"/>
      <c r="B412" s="283" t="s">
        <v>104</v>
      </c>
      <c r="C412" s="283" t="s">
        <v>188</v>
      </c>
      <c r="D412" s="283" t="s">
        <v>103</v>
      </c>
      <c r="E412" s="112"/>
      <c r="I412"/>
      <c r="J412"/>
      <c r="K412"/>
      <c r="L412"/>
      <c r="M412"/>
      <c r="N412"/>
      <c r="O412"/>
      <c r="P412"/>
      <c r="Q412"/>
    </row>
    <row r="413" spans="1:17" ht="15">
      <c r="A413" s="481" t="s">
        <v>211</v>
      </c>
      <c r="B413" s="30"/>
      <c r="C413" s="30"/>
      <c r="E413" s="112"/>
      <c r="I413"/>
      <c r="J413"/>
      <c r="K413"/>
      <c r="L413"/>
      <c r="M413"/>
      <c r="N413"/>
      <c r="O413"/>
      <c r="P413"/>
      <c r="Q413"/>
    </row>
    <row r="414" spans="1:17" ht="12.75">
      <c r="A414" s="109" t="s">
        <v>99</v>
      </c>
      <c r="B414" s="290"/>
      <c r="C414" s="290"/>
      <c r="D414" s="407">
        <f>+G70</f>
        <v>0</v>
      </c>
      <c r="E414" s="112"/>
      <c r="I414"/>
      <c r="J414"/>
      <c r="K414"/>
      <c r="L414"/>
      <c r="M414"/>
      <c r="N414"/>
      <c r="O414"/>
      <c r="P414"/>
      <c r="Q414"/>
    </row>
    <row r="415" spans="1:17" ht="12.75">
      <c r="A415" s="112"/>
      <c r="B415" s="284"/>
      <c r="C415" s="284"/>
      <c r="D415" s="285"/>
      <c r="E415" s="112"/>
      <c r="I415"/>
      <c r="J415"/>
      <c r="K415"/>
      <c r="L415"/>
      <c r="M415"/>
      <c r="N415"/>
      <c r="O415"/>
      <c r="P415"/>
      <c r="Q415"/>
    </row>
    <row r="416" spans="1:17" ht="12.75">
      <c r="A416" s="109" t="s">
        <v>102</v>
      </c>
      <c r="B416" s="479">
        <v>1</v>
      </c>
      <c r="C416" s="479">
        <f>1-B416</f>
        <v>0</v>
      </c>
      <c r="D416" s="291">
        <f>B416+C416</f>
        <v>1</v>
      </c>
      <c r="E416" s="112"/>
      <c r="I416"/>
      <c r="J416"/>
      <c r="K416"/>
      <c r="L416"/>
      <c r="M416"/>
      <c r="N416"/>
      <c r="O416"/>
      <c r="P416"/>
      <c r="Q416"/>
    </row>
    <row r="417" spans="1:17" ht="12.75">
      <c r="A417" s="112"/>
      <c r="B417" s="286"/>
      <c r="C417" s="286"/>
      <c r="D417" s="286"/>
      <c r="E417" s="112"/>
      <c r="I417"/>
      <c r="J417"/>
      <c r="K417"/>
      <c r="L417"/>
      <c r="M417"/>
      <c r="N417"/>
      <c r="O417"/>
      <c r="P417"/>
      <c r="Q417"/>
    </row>
    <row r="418" spans="1:17" ht="12.75">
      <c r="A418" s="109" t="s">
        <v>105</v>
      </c>
      <c r="B418" s="402">
        <f>$B416*$D414</f>
        <v>0</v>
      </c>
      <c r="C418" s="402">
        <f>C416*D414</f>
        <v>0</v>
      </c>
      <c r="D418" s="402">
        <f>SUM(B418:C418)</f>
        <v>0</v>
      </c>
      <c r="E418" s="112"/>
      <c r="I418"/>
      <c r="J418"/>
      <c r="K418"/>
      <c r="L418"/>
      <c r="M418"/>
      <c r="N418"/>
      <c r="O418"/>
      <c r="P418"/>
      <c r="Q418"/>
    </row>
    <row r="419" spans="1:17" ht="12.75">
      <c r="A419" s="112"/>
      <c r="B419" s="287"/>
      <c r="C419" s="287"/>
      <c r="D419" s="287"/>
      <c r="E419" s="112"/>
      <c r="I419"/>
      <c r="J419"/>
      <c r="K419"/>
      <c r="L419"/>
      <c r="M419"/>
      <c r="N419"/>
      <c r="O419"/>
      <c r="P419"/>
      <c r="Q419"/>
    </row>
    <row r="420" spans="1:17" ht="12.75">
      <c r="A420" s="109" t="s">
        <v>151</v>
      </c>
      <c r="B420" s="293">
        <f>+B70</f>
        <v>127</v>
      </c>
      <c r="C420" s="292"/>
      <c r="D420" s="292"/>
      <c r="E420" s="112"/>
      <c r="I420"/>
      <c r="J420"/>
      <c r="K420"/>
      <c r="L420"/>
      <c r="M420"/>
      <c r="N420"/>
      <c r="O420"/>
      <c r="P420"/>
      <c r="Q420"/>
    </row>
    <row r="421" spans="1:17" ht="12.75">
      <c r="A421" s="112"/>
      <c r="B421" s="288"/>
      <c r="C421" s="287"/>
      <c r="D421" s="287"/>
      <c r="E421" s="112"/>
      <c r="I421"/>
      <c r="J421"/>
      <c r="K421"/>
      <c r="L421"/>
      <c r="M421"/>
      <c r="N421"/>
      <c r="O421"/>
      <c r="P421"/>
      <c r="Q421"/>
    </row>
    <row r="422" spans="1:17" ht="12.75">
      <c r="A422" s="109" t="s">
        <v>101</v>
      </c>
      <c r="B422" s="292"/>
      <c r="C422" s="293">
        <f>+D70</f>
        <v>35</v>
      </c>
      <c r="D422" s="292"/>
      <c r="E422" s="112"/>
      <c r="I422"/>
      <c r="J422"/>
      <c r="K422"/>
      <c r="L422"/>
      <c r="M422"/>
      <c r="N422"/>
      <c r="O422"/>
      <c r="P422"/>
      <c r="Q422"/>
    </row>
    <row r="423" spans="1:17" ht="12.75">
      <c r="A423" s="112"/>
      <c r="B423" s="287"/>
      <c r="C423" s="288"/>
      <c r="D423" s="287"/>
      <c r="E423" s="112"/>
      <c r="I423"/>
      <c r="J423"/>
      <c r="K423"/>
      <c r="L423"/>
      <c r="M423"/>
      <c r="N423"/>
      <c r="O423"/>
      <c r="P423"/>
      <c r="Q423"/>
    </row>
    <row r="424" spans="1:17" ht="12.75">
      <c r="A424" s="109" t="s">
        <v>161</v>
      </c>
      <c r="B424" s="403">
        <f>IF(ISERROR($B418/$B420),0,$B418/$B420)</f>
        <v>0</v>
      </c>
      <c r="C424" s="403"/>
      <c r="D424" s="294"/>
      <c r="E424" s="112"/>
      <c r="I424"/>
      <c r="J424"/>
      <c r="K424"/>
      <c r="L424"/>
      <c r="M424"/>
      <c r="N424"/>
      <c r="O424"/>
      <c r="P424"/>
      <c r="Q424"/>
    </row>
    <row r="425" spans="1:17" ht="12.75">
      <c r="A425" s="112"/>
      <c r="B425" s="404"/>
      <c r="C425" s="404"/>
      <c r="D425" s="289"/>
      <c r="E425" s="112"/>
      <c r="I425"/>
      <c r="J425"/>
      <c r="K425"/>
      <c r="L425"/>
      <c r="M425"/>
      <c r="N425"/>
      <c r="O425"/>
      <c r="P425"/>
      <c r="Q425"/>
    </row>
    <row r="426" spans="1:17" ht="12.75">
      <c r="A426" s="109" t="s">
        <v>160</v>
      </c>
      <c r="B426" s="405"/>
      <c r="C426" s="406">
        <f>IF(ISERROR($C418/$C422/12),0,$C418/$C422/12)</f>
        <v>0</v>
      </c>
      <c r="D426" s="295"/>
      <c r="E426" s="112"/>
      <c r="I426"/>
      <c r="J426"/>
      <c r="K426"/>
      <c r="L426"/>
      <c r="M426"/>
      <c r="N426"/>
      <c r="O426"/>
      <c r="P426"/>
      <c r="Q426"/>
    </row>
    <row r="427" spans="1:17" ht="12.75">
      <c r="A427" s="296"/>
      <c r="B427" s="297"/>
      <c r="C427" s="298"/>
      <c r="D427" s="297"/>
      <c r="E427" s="112"/>
      <c r="I427"/>
      <c r="J427"/>
      <c r="K427"/>
      <c r="L427"/>
      <c r="M427"/>
      <c r="N427"/>
      <c r="O427"/>
      <c r="P427"/>
      <c r="Q427"/>
    </row>
    <row r="428" spans="1:17" ht="12.75">
      <c r="A428" s="296"/>
      <c r="B428" s="297"/>
      <c r="C428" s="298"/>
      <c r="D428" s="297"/>
      <c r="E428" s="112"/>
      <c r="I428"/>
      <c r="J428"/>
      <c r="K428"/>
      <c r="L428"/>
      <c r="M428"/>
      <c r="N428"/>
      <c r="O428"/>
      <c r="P428"/>
      <c r="Q428"/>
    </row>
    <row r="429" spans="1:17" ht="51.75" thickBot="1">
      <c r="A429" s="132"/>
      <c r="B429" s="283" t="s">
        <v>104</v>
      </c>
      <c r="C429" s="283" t="s">
        <v>188</v>
      </c>
      <c r="D429" s="283" t="s">
        <v>103</v>
      </c>
      <c r="E429" s="112"/>
      <c r="I429"/>
      <c r="J429"/>
      <c r="K429"/>
      <c r="L429"/>
      <c r="M429"/>
      <c r="N429"/>
      <c r="O429"/>
      <c r="P429"/>
      <c r="Q429"/>
    </row>
    <row r="430" spans="1:17" ht="15">
      <c r="A430" s="481" t="s">
        <v>212</v>
      </c>
      <c r="B430" s="30"/>
      <c r="C430" s="30"/>
      <c r="E430" s="112"/>
      <c r="I430"/>
      <c r="J430"/>
      <c r="K430"/>
      <c r="L430"/>
      <c r="M430"/>
      <c r="N430"/>
      <c r="O430"/>
      <c r="P430"/>
      <c r="Q430"/>
    </row>
    <row r="431" spans="1:17" ht="12.75">
      <c r="A431" s="109" t="s">
        <v>99</v>
      </c>
      <c r="B431" s="290"/>
      <c r="C431" s="290"/>
      <c r="D431" s="407">
        <f>+G71</f>
        <v>0</v>
      </c>
      <c r="E431" s="112"/>
      <c r="I431"/>
      <c r="J431"/>
      <c r="K431"/>
      <c r="L431"/>
      <c r="M431"/>
      <c r="N431"/>
      <c r="O431"/>
      <c r="P431"/>
      <c r="Q431"/>
    </row>
    <row r="432" spans="1:17" ht="12.75">
      <c r="A432" s="112"/>
      <c r="B432" s="284"/>
      <c r="C432" s="284"/>
      <c r="D432" s="285"/>
      <c r="E432" s="112"/>
      <c r="I432"/>
      <c r="J432"/>
      <c r="K432"/>
      <c r="L432"/>
      <c r="M432"/>
      <c r="N432"/>
      <c r="O432"/>
      <c r="P432"/>
      <c r="Q432"/>
    </row>
    <row r="433" spans="1:17" ht="12.75">
      <c r="A433" s="109" t="s">
        <v>102</v>
      </c>
      <c r="B433" s="479">
        <v>1</v>
      </c>
      <c r="C433" s="479">
        <f>1-B433</f>
        <v>0</v>
      </c>
      <c r="D433" s="291">
        <f>B433+C433</f>
        <v>1</v>
      </c>
      <c r="E433" s="112"/>
      <c r="I433"/>
      <c r="J433"/>
      <c r="K433"/>
      <c r="L433"/>
      <c r="M433"/>
      <c r="N433"/>
      <c r="O433"/>
      <c r="P433"/>
      <c r="Q433"/>
    </row>
    <row r="434" spans="1:17" ht="12.75">
      <c r="A434" s="112"/>
      <c r="B434" s="286"/>
      <c r="C434" s="286"/>
      <c r="D434" s="286"/>
      <c r="E434" s="112"/>
      <c r="I434"/>
      <c r="J434"/>
      <c r="K434"/>
      <c r="L434"/>
      <c r="M434"/>
      <c r="N434"/>
      <c r="O434"/>
      <c r="P434"/>
      <c r="Q434"/>
    </row>
    <row r="435" spans="1:17" ht="12.75">
      <c r="A435" s="109" t="s">
        <v>105</v>
      </c>
      <c r="B435" s="402">
        <f>$B433*$D431</f>
        <v>0</v>
      </c>
      <c r="C435" s="402">
        <f>C433*D431</f>
        <v>0</v>
      </c>
      <c r="D435" s="402">
        <f>SUM(B435:C435)</f>
        <v>0</v>
      </c>
      <c r="E435" s="112"/>
      <c r="I435"/>
      <c r="J435"/>
      <c r="K435"/>
      <c r="L435"/>
      <c r="M435"/>
      <c r="N435"/>
      <c r="O435"/>
      <c r="P435"/>
      <c r="Q435"/>
    </row>
    <row r="436" spans="1:17" ht="12.75">
      <c r="A436" s="112"/>
      <c r="B436" s="287"/>
      <c r="C436" s="287"/>
      <c r="D436" s="287"/>
      <c r="E436" s="112"/>
      <c r="I436"/>
      <c r="J436"/>
      <c r="K436"/>
      <c r="L436"/>
      <c r="M436"/>
      <c r="N436"/>
      <c r="O436"/>
      <c r="P436"/>
      <c r="Q436"/>
    </row>
    <row r="437" spans="1:17" ht="12.75">
      <c r="A437" s="109" t="s">
        <v>151</v>
      </c>
      <c r="B437" s="293">
        <f>+B71</f>
        <v>36</v>
      </c>
      <c r="C437" s="292"/>
      <c r="D437" s="292"/>
      <c r="E437" s="112"/>
      <c r="I437"/>
      <c r="J437"/>
      <c r="K437"/>
      <c r="L437"/>
      <c r="M437"/>
      <c r="N437"/>
      <c r="O437"/>
      <c r="P437"/>
      <c r="Q437"/>
    </row>
    <row r="438" spans="1:17" ht="12.75">
      <c r="A438" s="112"/>
      <c r="B438" s="288"/>
      <c r="C438" s="287"/>
      <c r="D438" s="287"/>
      <c r="E438" s="112"/>
      <c r="I438"/>
      <c r="J438"/>
      <c r="K438"/>
      <c r="L438"/>
      <c r="M438"/>
      <c r="N438"/>
      <c r="O438"/>
      <c r="P438"/>
      <c r="Q438"/>
    </row>
    <row r="439" spans="1:17" ht="12.75">
      <c r="A439" s="109" t="s">
        <v>101</v>
      </c>
      <c r="B439" s="292"/>
      <c r="C439" s="293">
        <f>+D71</f>
        <v>11</v>
      </c>
      <c r="D439" s="292"/>
      <c r="E439" s="112"/>
      <c r="I439"/>
      <c r="J439"/>
      <c r="K439"/>
      <c r="L439"/>
      <c r="M439"/>
      <c r="N439"/>
      <c r="O439"/>
      <c r="P439"/>
      <c r="Q439"/>
    </row>
    <row r="440" spans="1:17" ht="12.75">
      <c r="A440" s="112"/>
      <c r="B440" s="287"/>
      <c r="C440" s="288"/>
      <c r="D440" s="287"/>
      <c r="E440" s="112"/>
      <c r="I440"/>
      <c r="J440"/>
      <c r="K440"/>
      <c r="L440"/>
      <c r="M440"/>
      <c r="N440"/>
      <c r="O440"/>
      <c r="P440"/>
      <c r="Q440"/>
    </row>
    <row r="441" spans="1:17" ht="12.75">
      <c r="A441" s="109" t="s">
        <v>161</v>
      </c>
      <c r="B441" s="403">
        <f>IF(ISERROR($B435/$B437),0,$B435/$B437)</f>
        <v>0</v>
      </c>
      <c r="C441" s="403"/>
      <c r="D441" s="294"/>
      <c r="E441" s="112"/>
      <c r="I441"/>
      <c r="J441"/>
      <c r="K441"/>
      <c r="L441"/>
      <c r="M441"/>
      <c r="N441"/>
      <c r="O441"/>
      <c r="P441"/>
      <c r="Q441"/>
    </row>
    <row r="442" spans="1:17" ht="12.75">
      <c r="A442" s="112"/>
      <c r="B442" s="404"/>
      <c r="C442" s="404"/>
      <c r="D442" s="289"/>
      <c r="E442" s="112"/>
      <c r="I442"/>
      <c r="J442"/>
      <c r="K442"/>
      <c r="L442"/>
      <c r="M442"/>
      <c r="N442"/>
      <c r="O442"/>
      <c r="P442"/>
      <c r="Q442"/>
    </row>
    <row r="443" spans="1:17" ht="12.75">
      <c r="A443" s="109" t="s">
        <v>160</v>
      </c>
      <c r="B443" s="405"/>
      <c r="C443" s="406">
        <f>IF(ISERROR($C435/$C439/12),0,$C435/$C439/12)</f>
        <v>0</v>
      </c>
      <c r="D443" s="295"/>
      <c r="E443" s="112"/>
      <c r="I443"/>
      <c r="J443"/>
      <c r="K443"/>
      <c r="L443"/>
      <c r="M443"/>
      <c r="N443"/>
      <c r="O443"/>
      <c r="P443"/>
      <c r="Q443"/>
    </row>
    <row r="444" spans="1:17" ht="12.75">
      <c r="A444" s="296"/>
      <c r="B444" s="297"/>
      <c r="C444" s="298"/>
      <c r="D444" s="297"/>
      <c r="E444" s="112"/>
      <c r="I444"/>
      <c r="J444"/>
      <c r="K444"/>
      <c r="L444"/>
      <c r="M444"/>
      <c r="N444"/>
      <c r="O444"/>
      <c r="P444"/>
      <c r="Q444"/>
    </row>
    <row r="445" spans="1:17" ht="12.75">
      <c r="A445" s="296"/>
      <c r="B445" s="297"/>
      <c r="C445" s="298"/>
      <c r="D445" s="297"/>
      <c r="E445" s="112"/>
      <c r="I445"/>
      <c r="J445"/>
      <c r="K445"/>
      <c r="L445"/>
      <c r="M445"/>
      <c r="N445"/>
      <c r="O445"/>
      <c r="P445"/>
      <c r="Q445"/>
    </row>
    <row r="446" spans="1:17" ht="51.75" thickBot="1">
      <c r="A446" s="132"/>
      <c r="B446" s="283" t="s">
        <v>104</v>
      </c>
      <c r="C446" s="283" t="s">
        <v>188</v>
      </c>
      <c r="D446" s="283" t="s">
        <v>103</v>
      </c>
      <c r="E446" s="112"/>
      <c r="I446"/>
      <c r="J446"/>
      <c r="K446"/>
      <c r="L446"/>
      <c r="M446"/>
      <c r="N446"/>
      <c r="O446"/>
      <c r="P446"/>
      <c r="Q446"/>
    </row>
    <row r="447" spans="1:17" ht="15">
      <c r="A447" s="481" t="s">
        <v>213</v>
      </c>
      <c r="B447" s="30"/>
      <c r="C447" s="30"/>
      <c r="E447" s="112"/>
      <c r="I447"/>
      <c r="J447"/>
      <c r="K447"/>
      <c r="L447"/>
      <c r="M447"/>
      <c r="N447"/>
      <c r="O447"/>
      <c r="P447"/>
      <c r="Q447"/>
    </row>
    <row r="448" spans="1:17" ht="12.75">
      <c r="A448" s="109" t="s">
        <v>99</v>
      </c>
      <c r="B448" s="290"/>
      <c r="C448" s="290"/>
      <c r="D448" s="407">
        <f>+G72</f>
        <v>0</v>
      </c>
      <c r="E448" s="112"/>
      <c r="I448"/>
      <c r="J448"/>
      <c r="K448"/>
      <c r="L448"/>
      <c r="M448"/>
      <c r="N448"/>
      <c r="O448"/>
      <c r="P448"/>
      <c r="Q448"/>
    </row>
    <row r="449" spans="1:17" ht="12.75">
      <c r="A449" s="112"/>
      <c r="B449" s="284"/>
      <c r="C449" s="284"/>
      <c r="D449" s="285"/>
      <c r="E449" s="112"/>
      <c r="I449"/>
      <c r="J449"/>
      <c r="K449"/>
      <c r="L449"/>
      <c r="M449"/>
      <c r="N449"/>
      <c r="O449"/>
      <c r="P449"/>
      <c r="Q449"/>
    </row>
    <row r="450" spans="1:17" ht="12.75">
      <c r="A450" s="109" t="s">
        <v>102</v>
      </c>
      <c r="B450" s="479">
        <v>1</v>
      </c>
      <c r="C450" s="479">
        <f>1-B450</f>
        <v>0</v>
      </c>
      <c r="D450" s="291">
        <f>B450+C450</f>
        <v>1</v>
      </c>
      <c r="E450" s="112"/>
      <c r="I450"/>
      <c r="J450"/>
      <c r="K450"/>
      <c r="L450"/>
      <c r="M450"/>
      <c r="N450"/>
      <c r="O450"/>
      <c r="P450"/>
      <c r="Q450"/>
    </row>
    <row r="451" spans="1:17" ht="12.75">
      <c r="A451" s="112"/>
      <c r="B451" s="286"/>
      <c r="C451" s="286"/>
      <c r="D451" s="286"/>
      <c r="E451" s="112"/>
      <c r="I451"/>
      <c r="J451"/>
      <c r="K451"/>
      <c r="L451"/>
      <c r="M451"/>
      <c r="N451"/>
      <c r="O451"/>
      <c r="P451"/>
      <c r="Q451"/>
    </row>
    <row r="452" spans="1:17" ht="12.75">
      <c r="A452" s="109" t="s">
        <v>105</v>
      </c>
      <c r="B452" s="402">
        <f>$B450*$D448</f>
        <v>0</v>
      </c>
      <c r="C452" s="402">
        <f>C450*D448</f>
        <v>0</v>
      </c>
      <c r="D452" s="402">
        <f>SUM(B452:C452)</f>
        <v>0</v>
      </c>
      <c r="E452" s="112"/>
      <c r="I452"/>
      <c r="J452"/>
      <c r="K452"/>
      <c r="L452"/>
      <c r="M452"/>
      <c r="N452"/>
      <c r="O452"/>
      <c r="P452"/>
      <c r="Q452"/>
    </row>
    <row r="453" spans="1:17" ht="12.75">
      <c r="A453" s="112"/>
      <c r="B453" s="287"/>
      <c r="C453" s="287"/>
      <c r="D453" s="287"/>
      <c r="E453" s="112"/>
      <c r="I453"/>
      <c r="J453"/>
      <c r="K453"/>
      <c r="L453"/>
      <c r="M453"/>
      <c r="N453"/>
      <c r="O453"/>
      <c r="P453"/>
      <c r="Q453"/>
    </row>
    <row r="454" spans="1:17" ht="12.75">
      <c r="A454" s="109" t="s">
        <v>151</v>
      </c>
      <c r="B454" s="293">
        <f>+B72</f>
        <v>478</v>
      </c>
      <c r="C454" s="292"/>
      <c r="D454" s="292"/>
      <c r="E454" s="112"/>
      <c r="I454"/>
      <c r="J454"/>
      <c r="K454"/>
      <c r="L454"/>
      <c r="M454"/>
      <c r="N454"/>
      <c r="O454"/>
      <c r="P454"/>
      <c r="Q454"/>
    </row>
    <row r="455" spans="1:17" ht="12.75">
      <c r="A455" s="112"/>
      <c r="B455" s="288"/>
      <c r="C455" s="287"/>
      <c r="D455" s="287"/>
      <c r="E455" s="112"/>
      <c r="I455"/>
      <c r="J455"/>
      <c r="K455"/>
      <c r="L455"/>
      <c r="M455"/>
      <c r="N455"/>
      <c r="O455"/>
      <c r="P455"/>
      <c r="Q455"/>
    </row>
    <row r="456" spans="1:17" ht="12.75">
      <c r="A456" s="109" t="s">
        <v>101</v>
      </c>
      <c r="B456" s="292"/>
      <c r="C456" s="293">
        <f>+D72</f>
        <v>108</v>
      </c>
      <c r="D456" s="292"/>
      <c r="E456" s="112"/>
      <c r="I456"/>
      <c r="J456"/>
      <c r="K456"/>
      <c r="L456"/>
      <c r="M456"/>
      <c r="N456"/>
      <c r="O456"/>
      <c r="P456"/>
      <c r="Q456"/>
    </row>
    <row r="457" spans="1:17" ht="12.75">
      <c r="A457" s="112"/>
      <c r="B457" s="287"/>
      <c r="C457" s="288"/>
      <c r="D457" s="287"/>
      <c r="E457" s="112"/>
      <c r="I457"/>
      <c r="J457"/>
      <c r="K457"/>
      <c r="L457"/>
      <c r="M457"/>
      <c r="N457"/>
      <c r="O457"/>
      <c r="P457"/>
      <c r="Q457"/>
    </row>
    <row r="458" spans="1:17" ht="12.75">
      <c r="A458" s="109" t="s">
        <v>161</v>
      </c>
      <c r="B458" s="403">
        <f>IF(ISERROR($B452/$B454),0,$B452/$B454)</f>
        <v>0</v>
      </c>
      <c r="C458" s="403"/>
      <c r="D458" s="294"/>
      <c r="E458" s="112"/>
      <c r="I458"/>
      <c r="J458"/>
      <c r="K458"/>
      <c r="L458"/>
      <c r="M458"/>
      <c r="N458"/>
      <c r="O458"/>
      <c r="P458"/>
      <c r="Q458"/>
    </row>
    <row r="459" spans="1:17" ht="12.75">
      <c r="A459" s="112"/>
      <c r="B459" s="404"/>
      <c r="C459" s="404"/>
      <c r="D459" s="289"/>
      <c r="E459" s="112"/>
      <c r="I459"/>
      <c r="J459"/>
      <c r="K459"/>
      <c r="L459"/>
      <c r="M459"/>
      <c r="N459"/>
      <c r="O459"/>
      <c r="P459"/>
      <c r="Q459"/>
    </row>
    <row r="460" spans="1:17" ht="12.75">
      <c r="A460" s="109" t="s">
        <v>160</v>
      </c>
      <c r="B460" s="405"/>
      <c r="C460" s="406">
        <f>IF(ISERROR($C452/$C456/12),0,$C452/$C456/12)</f>
        <v>0</v>
      </c>
      <c r="D460" s="295"/>
      <c r="E460" s="112"/>
      <c r="I460"/>
      <c r="J460"/>
      <c r="K460"/>
      <c r="L460"/>
      <c r="M460"/>
      <c r="N460"/>
      <c r="O460"/>
      <c r="P460"/>
      <c r="Q460"/>
    </row>
    <row r="461" spans="1:17" ht="12.75">
      <c r="A461" s="296"/>
      <c r="B461" s="297"/>
      <c r="C461" s="298"/>
      <c r="D461" s="297"/>
      <c r="E461" s="112"/>
      <c r="I461"/>
      <c r="J461"/>
      <c r="K461"/>
      <c r="L461"/>
      <c r="M461"/>
      <c r="N461"/>
      <c r="O461"/>
      <c r="P461"/>
      <c r="Q461"/>
    </row>
    <row r="462" spans="1:17" ht="12.75">
      <c r="A462" s="296"/>
      <c r="B462" s="297"/>
      <c r="C462" s="298"/>
      <c r="D462" s="297"/>
      <c r="E462" s="112"/>
      <c r="I462"/>
      <c r="J462"/>
      <c r="K462"/>
      <c r="L462"/>
      <c r="M462"/>
      <c r="N462"/>
      <c r="O462"/>
      <c r="P462"/>
      <c r="Q462"/>
    </row>
    <row r="463" spans="1:17" ht="51.75" thickBot="1">
      <c r="A463" s="132"/>
      <c r="B463" s="283" t="s">
        <v>104</v>
      </c>
      <c r="C463" s="283" t="s">
        <v>188</v>
      </c>
      <c r="D463" s="283" t="s">
        <v>103</v>
      </c>
      <c r="E463" s="112"/>
      <c r="I463"/>
      <c r="J463"/>
      <c r="K463"/>
      <c r="L463"/>
      <c r="M463"/>
      <c r="N463"/>
      <c r="O463"/>
      <c r="P463"/>
      <c r="Q463"/>
    </row>
    <row r="464" spans="1:17" ht="15">
      <c r="A464" s="481" t="s">
        <v>214</v>
      </c>
      <c r="B464" s="30"/>
      <c r="C464" s="30"/>
      <c r="E464" s="112"/>
      <c r="I464"/>
      <c r="J464"/>
      <c r="K464"/>
      <c r="L464"/>
      <c r="M464"/>
      <c r="N464"/>
      <c r="O464"/>
      <c r="P464"/>
      <c r="Q464"/>
    </row>
    <row r="465" spans="1:17" ht="12.75">
      <c r="A465" s="109" t="s">
        <v>99</v>
      </c>
      <c r="B465" s="290"/>
      <c r="C465" s="290"/>
      <c r="D465" s="407">
        <f>+G73</f>
        <v>0</v>
      </c>
      <c r="E465" s="112"/>
      <c r="I465"/>
      <c r="J465"/>
      <c r="K465"/>
      <c r="L465"/>
      <c r="M465"/>
      <c r="N465"/>
      <c r="O465"/>
      <c r="P465"/>
      <c r="Q465"/>
    </row>
    <row r="466" spans="1:17" ht="12.75">
      <c r="A466" s="112"/>
      <c r="B466" s="284"/>
      <c r="C466" s="284"/>
      <c r="D466" s="285"/>
      <c r="E466" s="112"/>
      <c r="I466"/>
      <c r="J466"/>
      <c r="K466"/>
      <c r="L466"/>
      <c r="M466"/>
      <c r="N466"/>
      <c r="O466"/>
      <c r="P466"/>
      <c r="Q466"/>
    </row>
    <row r="467" spans="1:17" ht="12.75">
      <c r="A467" s="109" t="s">
        <v>102</v>
      </c>
      <c r="B467" s="479">
        <v>1</v>
      </c>
      <c r="C467" s="479">
        <f>1-B467</f>
        <v>0</v>
      </c>
      <c r="D467" s="291">
        <f>B467+C467</f>
        <v>1</v>
      </c>
      <c r="E467" s="112"/>
      <c r="I467"/>
      <c r="J467"/>
      <c r="K467"/>
      <c r="L467"/>
      <c r="M467"/>
      <c r="N467"/>
      <c r="O467"/>
      <c r="P467"/>
      <c r="Q467"/>
    </row>
    <row r="468" spans="1:17" ht="12.75">
      <c r="A468" s="112"/>
      <c r="B468" s="286"/>
      <c r="C468" s="286"/>
      <c r="D468" s="286"/>
      <c r="E468" s="112"/>
      <c r="I468"/>
      <c r="J468"/>
      <c r="K468"/>
      <c r="L468"/>
      <c r="M468"/>
      <c r="N468"/>
      <c r="O468"/>
      <c r="P468"/>
      <c r="Q468"/>
    </row>
    <row r="469" spans="1:17" ht="12.75">
      <c r="A469" s="109" t="s">
        <v>105</v>
      </c>
      <c r="B469" s="402">
        <f>$B467*$D465</f>
        <v>0</v>
      </c>
      <c r="C469" s="402">
        <f>C467*D465</f>
        <v>0</v>
      </c>
      <c r="D469" s="402">
        <f>SUM(B469:C469)</f>
        <v>0</v>
      </c>
      <c r="E469" s="112"/>
      <c r="I469"/>
      <c r="J469"/>
      <c r="K469"/>
      <c r="L469"/>
      <c r="M469"/>
      <c r="N469"/>
      <c r="O469"/>
      <c r="P469"/>
      <c r="Q469"/>
    </row>
    <row r="470" spans="1:17" ht="12.75">
      <c r="A470" s="112"/>
      <c r="B470" s="287"/>
      <c r="C470" s="287"/>
      <c r="D470" s="287"/>
      <c r="E470" s="112"/>
      <c r="I470"/>
      <c r="J470"/>
      <c r="K470"/>
      <c r="L470"/>
      <c r="M470"/>
      <c r="N470"/>
      <c r="O470"/>
      <c r="P470"/>
      <c r="Q470"/>
    </row>
    <row r="471" spans="1:17" ht="12.75">
      <c r="A471" s="109" t="s">
        <v>151</v>
      </c>
      <c r="B471" s="293">
        <f>+B73</f>
        <v>109</v>
      </c>
      <c r="C471" s="292"/>
      <c r="D471" s="292"/>
      <c r="E471" s="112"/>
      <c r="I471"/>
      <c r="J471"/>
      <c r="K471"/>
      <c r="L471"/>
      <c r="M471"/>
      <c r="N471"/>
      <c r="O471"/>
      <c r="P471"/>
      <c r="Q471"/>
    </row>
    <row r="472" spans="1:17" ht="12.75">
      <c r="A472" s="112"/>
      <c r="B472" s="288"/>
      <c r="C472" s="287"/>
      <c r="D472" s="287"/>
      <c r="E472" s="112"/>
      <c r="I472"/>
      <c r="J472"/>
      <c r="K472"/>
      <c r="L472"/>
      <c r="M472"/>
      <c r="N472"/>
      <c r="O472"/>
      <c r="P472"/>
      <c r="Q472"/>
    </row>
    <row r="473" spans="1:17" ht="12.75">
      <c r="A473" s="109" t="s">
        <v>101</v>
      </c>
      <c r="B473" s="292"/>
      <c r="C473" s="293">
        <f>+D73</f>
        <v>26</v>
      </c>
      <c r="D473" s="292"/>
      <c r="E473" s="112"/>
      <c r="I473"/>
      <c r="J473"/>
      <c r="K473"/>
      <c r="L473"/>
      <c r="M473"/>
      <c r="N473"/>
      <c r="O473"/>
      <c r="P473"/>
      <c r="Q473"/>
    </row>
    <row r="474" spans="1:17" ht="12.75">
      <c r="A474" s="112"/>
      <c r="B474" s="287"/>
      <c r="C474" s="288"/>
      <c r="D474" s="287"/>
      <c r="E474" s="112"/>
      <c r="I474"/>
      <c r="J474"/>
      <c r="K474"/>
      <c r="L474"/>
      <c r="M474"/>
      <c r="N474"/>
      <c r="O474"/>
      <c r="P474"/>
      <c r="Q474"/>
    </row>
    <row r="475" spans="1:17" ht="12.75">
      <c r="A475" s="109" t="s">
        <v>161</v>
      </c>
      <c r="B475" s="403">
        <f>IF(ISERROR($B469/$B471),0,$B469/$B471)</f>
        <v>0</v>
      </c>
      <c r="C475" s="403"/>
      <c r="D475" s="294"/>
      <c r="E475" s="112"/>
      <c r="I475"/>
      <c r="J475"/>
      <c r="K475"/>
      <c r="L475"/>
      <c r="M475"/>
      <c r="N475"/>
      <c r="O475"/>
      <c r="P475"/>
      <c r="Q475"/>
    </row>
    <row r="476" spans="1:17" ht="12.75">
      <c r="A476" s="112"/>
      <c r="B476" s="404"/>
      <c r="C476" s="404"/>
      <c r="D476" s="289"/>
      <c r="E476" s="112"/>
      <c r="I476"/>
      <c r="J476"/>
      <c r="K476"/>
      <c r="L476"/>
      <c r="M476"/>
      <c r="N476"/>
      <c r="O476"/>
      <c r="P476"/>
      <c r="Q476"/>
    </row>
    <row r="477" spans="1:17" ht="12.75">
      <c r="A477" s="109" t="s">
        <v>160</v>
      </c>
      <c r="B477" s="405"/>
      <c r="C477" s="406">
        <f>IF(ISERROR($C469/$C473/12),0,$C469/$C473/12)</f>
        <v>0</v>
      </c>
      <c r="D477" s="295"/>
      <c r="E477" s="112"/>
      <c r="I477"/>
      <c r="J477"/>
      <c r="K477"/>
      <c r="L477"/>
      <c r="M477"/>
      <c r="N477"/>
      <c r="O477"/>
      <c r="P477"/>
      <c r="Q477"/>
    </row>
    <row r="478" spans="1:17" ht="12.75">
      <c r="A478" s="296"/>
      <c r="B478" s="297"/>
      <c r="C478" s="298"/>
      <c r="D478" s="297"/>
      <c r="E478" s="112"/>
      <c r="I478"/>
      <c r="J478"/>
      <c r="K478"/>
      <c r="L478"/>
      <c r="M478"/>
      <c r="N478"/>
      <c r="O478"/>
      <c r="P478"/>
      <c r="Q478"/>
    </row>
    <row r="479" spans="1:17" ht="12.75">
      <c r="A479" s="296"/>
      <c r="B479" s="297"/>
      <c r="C479" s="298"/>
      <c r="D479" s="297"/>
      <c r="E479" s="112"/>
      <c r="I479"/>
      <c r="J479"/>
      <c r="K479"/>
      <c r="L479"/>
      <c r="M479"/>
      <c r="N479"/>
      <c r="O479"/>
      <c r="P479"/>
      <c r="Q479"/>
    </row>
    <row r="480" spans="1:17" ht="51.75" thickBot="1">
      <c r="A480" s="132"/>
      <c r="B480" s="283" t="s">
        <v>104</v>
      </c>
      <c r="C480" s="283" t="s">
        <v>188</v>
      </c>
      <c r="D480" s="283" t="s">
        <v>103</v>
      </c>
      <c r="E480" s="112"/>
      <c r="I480"/>
      <c r="J480"/>
      <c r="K480"/>
      <c r="L480"/>
      <c r="M480"/>
      <c r="N480"/>
      <c r="O480"/>
      <c r="P480"/>
      <c r="Q480"/>
    </row>
    <row r="481" spans="1:17" ht="15">
      <c r="A481" s="481" t="s">
        <v>215</v>
      </c>
      <c r="B481" s="30"/>
      <c r="C481" s="30"/>
      <c r="E481" s="112"/>
      <c r="I481"/>
      <c r="J481"/>
      <c r="K481"/>
      <c r="L481"/>
      <c r="M481"/>
      <c r="N481"/>
      <c r="O481"/>
      <c r="P481"/>
      <c r="Q481"/>
    </row>
    <row r="482" spans="1:17" ht="12.75">
      <c r="A482" s="109" t="s">
        <v>99</v>
      </c>
      <c r="B482" s="290"/>
      <c r="C482" s="290"/>
      <c r="D482" s="407">
        <f>+G74</f>
        <v>0</v>
      </c>
      <c r="E482" s="112"/>
      <c r="I482"/>
      <c r="J482"/>
      <c r="K482"/>
      <c r="L482"/>
      <c r="M482"/>
      <c r="N482"/>
      <c r="O482"/>
      <c r="P482"/>
      <c r="Q482"/>
    </row>
    <row r="483" spans="1:17" ht="12.75">
      <c r="A483" s="112"/>
      <c r="B483" s="284"/>
      <c r="C483" s="284"/>
      <c r="D483" s="285"/>
      <c r="E483" s="112"/>
      <c r="I483"/>
      <c r="J483"/>
      <c r="K483"/>
      <c r="L483"/>
      <c r="M483"/>
      <c r="N483"/>
      <c r="O483"/>
      <c r="P483"/>
      <c r="Q483"/>
    </row>
    <row r="484" spans="1:17" ht="12.75">
      <c r="A484" s="109" t="s">
        <v>102</v>
      </c>
      <c r="B484" s="479">
        <v>1</v>
      </c>
      <c r="C484" s="479">
        <f>1-B484</f>
        <v>0</v>
      </c>
      <c r="D484" s="291">
        <f>B484+C484</f>
        <v>1</v>
      </c>
      <c r="E484" s="112"/>
      <c r="I484"/>
      <c r="J484"/>
      <c r="K484"/>
      <c r="L484"/>
      <c r="M484"/>
      <c r="N484"/>
      <c r="O484"/>
      <c r="P484"/>
      <c r="Q484"/>
    </row>
    <row r="485" spans="1:17" ht="12.75">
      <c r="A485" s="112"/>
      <c r="B485" s="286"/>
      <c r="C485" s="286"/>
      <c r="D485" s="286"/>
      <c r="E485" s="112"/>
      <c r="I485"/>
      <c r="J485"/>
      <c r="K485"/>
      <c r="L485"/>
      <c r="M485"/>
      <c r="N485"/>
      <c r="O485"/>
      <c r="P485"/>
      <c r="Q485"/>
    </row>
    <row r="486" spans="1:17" ht="12.75">
      <c r="A486" s="109" t="s">
        <v>105</v>
      </c>
      <c r="B486" s="402">
        <f>$B484*$D482</f>
        <v>0</v>
      </c>
      <c r="C486" s="402">
        <f>C484*D482</f>
        <v>0</v>
      </c>
      <c r="D486" s="402">
        <f>SUM(B486:C486)</f>
        <v>0</v>
      </c>
      <c r="E486" s="112"/>
      <c r="I486"/>
      <c r="J486"/>
      <c r="K486"/>
      <c r="L486"/>
      <c r="M486"/>
      <c r="N486"/>
      <c r="O486"/>
      <c r="P486"/>
      <c r="Q486"/>
    </row>
    <row r="487" spans="1:17" ht="12.75">
      <c r="A487" s="112"/>
      <c r="B487" s="287"/>
      <c r="C487" s="287"/>
      <c r="D487" s="287"/>
      <c r="E487" s="112"/>
      <c r="I487"/>
      <c r="J487"/>
      <c r="K487"/>
      <c r="L487"/>
      <c r="M487"/>
      <c r="N487"/>
      <c r="O487"/>
      <c r="P487"/>
      <c r="Q487"/>
    </row>
    <row r="488" spans="1:17" ht="12.75">
      <c r="A488" s="109" t="s">
        <v>151</v>
      </c>
      <c r="B488" s="293">
        <f>+B74</f>
        <v>0</v>
      </c>
      <c r="C488" s="292"/>
      <c r="D488" s="292"/>
      <c r="E488" s="112"/>
      <c r="I488"/>
      <c r="J488"/>
      <c r="K488"/>
      <c r="L488"/>
      <c r="M488"/>
      <c r="N488"/>
      <c r="O488"/>
      <c r="P488"/>
      <c r="Q488"/>
    </row>
    <row r="489" spans="1:17" ht="12.75">
      <c r="A489" s="112"/>
      <c r="B489" s="288"/>
      <c r="C489" s="287"/>
      <c r="D489" s="287"/>
      <c r="E489" s="112"/>
      <c r="I489"/>
      <c r="J489"/>
      <c r="K489"/>
      <c r="L489"/>
      <c r="M489"/>
      <c r="N489"/>
      <c r="O489"/>
      <c r="P489"/>
      <c r="Q489"/>
    </row>
    <row r="490" spans="1:17" ht="12.75">
      <c r="A490" s="109" t="s">
        <v>101</v>
      </c>
      <c r="B490" s="292"/>
      <c r="C490" s="293">
        <f>+D74</f>
        <v>0</v>
      </c>
      <c r="D490" s="292"/>
      <c r="E490" s="112"/>
      <c r="I490"/>
      <c r="J490"/>
      <c r="K490"/>
      <c r="L490"/>
      <c r="M490"/>
      <c r="N490"/>
      <c r="O490"/>
      <c r="P490"/>
      <c r="Q490"/>
    </row>
    <row r="491" spans="1:17" ht="12.75">
      <c r="A491" s="112"/>
      <c r="B491" s="287"/>
      <c r="C491" s="288"/>
      <c r="D491" s="287"/>
      <c r="E491" s="112"/>
      <c r="I491"/>
      <c r="J491"/>
      <c r="K491"/>
      <c r="L491"/>
      <c r="M491"/>
      <c r="N491"/>
      <c r="O491"/>
      <c r="P491"/>
      <c r="Q491"/>
    </row>
    <row r="492" spans="1:17" ht="12.75">
      <c r="A492" s="109" t="s">
        <v>161</v>
      </c>
      <c r="B492" s="403">
        <f>IF(ISERROR($B486/$B488),0,$B486/$B488)</f>
        <v>0</v>
      </c>
      <c r="C492" s="403"/>
      <c r="D492" s="294"/>
      <c r="E492" s="112"/>
      <c r="I492"/>
      <c r="J492"/>
      <c r="K492"/>
      <c r="L492"/>
      <c r="M492"/>
      <c r="N492"/>
      <c r="O492"/>
      <c r="P492"/>
      <c r="Q492"/>
    </row>
    <row r="493" spans="1:17" ht="12.75">
      <c r="A493" s="112"/>
      <c r="B493" s="404"/>
      <c r="C493" s="404"/>
      <c r="D493" s="289"/>
      <c r="E493" s="112"/>
      <c r="I493"/>
      <c r="J493"/>
      <c r="K493"/>
      <c r="L493"/>
      <c r="M493"/>
      <c r="N493"/>
      <c r="O493"/>
      <c r="P493"/>
      <c r="Q493"/>
    </row>
    <row r="494" spans="1:17" ht="12.75">
      <c r="A494" s="109" t="s">
        <v>160</v>
      </c>
      <c r="B494" s="405"/>
      <c r="C494" s="406">
        <f>IF(ISERROR($C486/$C490/12),0,$C486/$C490/12)</f>
        <v>0</v>
      </c>
      <c r="D494" s="295"/>
      <c r="E494" s="112"/>
      <c r="I494"/>
      <c r="J494"/>
      <c r="K494"/>
      <c r="L494"/>
      <c r="M494"/>
      <c r="N494"/>
      <c r="O494"/>
      <c r="P494"/>
      <c r="Q494"/>
    </row>
    <row r="495" spans="1:17" ht="12.75">
      <c r="A495" s="296"/>
      <c r="B495" s="297"/>
      <c r="C495" s="298"/>
      <c r="D495" s="297"/>
      <c r="E495" s="112"/>
      <c r="I495"/>
      <c r="J495"/>
      <c r="K495"/>
      <c r="L495"/>
      <c r="M495"/>
      <c r="N495"/>
      <c r="O495"/>
      <c r="P495"/>
      <c r="Q495"/>
    </row>
    <row r="496" spans="1:17" ht="12.75">
      <c r="A496" s="296"/>
      <c r="B496" s="297"/>
      <c r="C496" s="298"/>
      <c r="D496" s="297"/>
      <c r="E496" s="112"/>
      <c r="I496"/>
      <c r="J496"/>
      <c r="K496"/>
      <c r="L496"/>
      <c r="M496"/>
      <c r="N496"/>
      <c r="O496"/>
      <c r="P496"/>
      <c r="Q496"/>
    </row>
    <row r="497" spans="1:17" ht="51.75" thickBot="1">
      <c r="A497" s="132"/>
      <c r="B497" s="283" t="s">
        <v>104</v>
      </c>
      <c r="C497" s="283" t="s">
        <v>188</v>
      </c>
      <c r="D497" s="283" t="s">
        <v>103</v>
      </c>
      <c r="E497" s="112"/>
      <c r="I497"/>
      <c r="J497"/>
      <c r="K497"/>
      <c r="L497"/>
      <c r="M497"/>
      <c r="N497"/>
      <c r="O497"/>
      <c r="P497"/>
      <c r="Q497"/>
    </row>
    <row r="498" spans="1:17" ht="15">
      <c r="A498" s="481" t="s">
        <v>216</v>
      </c>
      <c r="B498" s="30"/>
      <c r="C498" s="30"/>
      <c r="E498" s="112"/>
      <c r="I498"/>
      <c r="J498"/>
      <c r="K498"/>
      <c r="L498"/>
      <c r="M498"/>
      <c r="N498"/>
      <c r="O498"/>
      <c r="P498"/>
      <c r="Q498"/>
    </row>
    <row r="499" spans="1:17" ht="12.75">
      <c r="A499" s="109" t="s">
        <v>99</v>
      </c>
      <c r="B499" s="290"/>
      <c r="C499" s="290"/>
      <c r="D499" s="407">
        <f>+G75</f>
        <v>0</v>
      </c>
      <c r="E499" s="112"/>
      <c r="I499"/>
      <c r="J499"/>
      <c r="K499"/>
      <c r="L499"/>
      <c r="M499"/>
      <c r="N499"/>
      <c r="O499"/>
      <c r="P499"/>
      <c r="Q499"/>
    </row>
    <row r="500" spans="1:17" ht="12.75">
      <c r="A500" s="112"/>
      <c r="B500" s="284"/>
      <c r="C500" s="284"/>
      <c r="D500" s="285"/>
      <c r="E500" s="112"/>
      <c r="I500"/>
      <c r="J500"/>
      <c r="K500"/>
      <c r="L500"/>
      <c r="M500"/>
      <c r="N500"/>
      <c r="O500"/>
      <c r="P500"/>
      <c r="Q500"/>
    </row>
    <row r="501" spans="1:17" ht="12.75">
      <c r="A501" s="109" t="s">
        <v>102</v>
      </c>
      <c r="B501" s="479">
        <v>1</v>
      </c>
      <c r="C501" s="479">
        <f>1-B501</f>
        <v>0</v>
      </c>
      <c r="D501" s="291">
        <f>B501+C501</f>
        <v>1</v>
      </c>
      <c r="E501" s="112"/>
      <c r="I501"/>
      <c r="J501"/>
      <c r="K501"/>
      <c r="L501"/>
      <c r="M501"/>
      <c r="N501"/>
      <c r="O501"/>
      <c r="P501"/>
      <c r="Q501"/>
    </row>
    <row r="502" spans="1:17" ht="12.75">
      <c r="A502" s="112"/>
      <c r="B502" s="286"/>
      <c r="C502" s="286"/>
      <c r="D502" s="286"/>
      <c r="E502" s="112"/>
      <c r="I502"/>
      <c r="J502"/>
      <c r="K502"/>
      <c r="L502"/>
      <c r="M502"/>
      <c r="N502"/>
      <c r="O502"/>
      <c r="P502"/>
      <c r="Q502"/>
    </row>
    <row r="503" spans="1:17" ht="12.75">
      <c r="A503" s="109" t="s">
        <v>105</v>
      </c>
      <c r="B503" s="402">
        <f>$B501*$D499</f>
        <v>0</v>
      </c>
      <c r="C503" s="402">
        <f>C501*D499</f>
        <v>0</v>
      </c>
      <c r="D503" s="402">
        <f>SUM(B503:C503)</f>
        <v>0</v>
      </c>
      <c r="E503" s="112"/>
      <c r="I503"/>
      <c r="J503"/>
      <c r="K503"/>
      <c r="L503"/>
      <c r="M503"/>
      <c r="N503"/>
      <c r="O503"/>
      <c r="P503"/>
      <c r="Q503"/>
    </row>
    <row r="504" spans="1:17" ht="12.75">
      <c r="A504" s="112"/>
      <c r="B504" s="287"/>
      <c r="C504" s="287"/>
      <c r="D504" s="287"/>
      <c r="E504" s="112"/>
      <c r="I504"/>
      <c r="J504"/>
      <c r="K504"/>
      <c r="L504"/>
      <c r="M504"/>
      <c r="N504"/>
      <c r="O504"/>
      <c r="P504"/>
      <c r="Q504"/>
    </row>
    <row r="505" spans="1:17" ht="12.75">
      <c r="A505" s="109" t="s">
        <v>151</v>
      </c>
      <c r="B505" s="293">
        <f>+B75</f>
        <v>9</v>
      </c>
      <c r="C505" s="292"/>
      <c r="D505" s="292"/>
      <c r="E505" s="112"/>
      <c r="I505"/>
      <c r="J505"/>
      <c r="K505"/>
      <c r="L505"/>
      <c r="M505"/>
      <c r="N505"/>
      <c r="O505"/>
      <c r="P505"/>
      <c r="Q505"/>
    </row>
    <row r="506" spans="1:17" ht="12.75">
      <c r="A506" s="112"/>
      <c r="B506" s="288"/>
      <c r="C506" s="287"/>
      <c r="D506" s="287"/>
      <c r="E506" s="112"/>
      <c r="I506"/>
      <c r="J506"/>
      <c r="K506"/>
      <c r="L506"/>
      <c r="M506"/>
      <c r="N506"/>
      <c r="O506"/>
      <c r="P506"/>
      <c r="Q506"/>
    </row>
    <row r="507" spans="1:17" ht="12.75">
      <c r="A507" s="109" t="s">
        <v>101</v>
      </c>
      <c r="B507" s="292"/>
      <c r="C507" s="293">
        <f>+D75</f>
        <v>4</v>
      </c>
      <c r="D507" s="292"/>
      <c r="E507" s="112"/>
      <c r="I507"/>
      <c r="J507"/>
      <c r="K507"/>
      <c r="L507"/>
      <c r="M507"/>
      <c r="N507"/>
      <c r="O507"/>
      <c r="P507"/>
      <c r="Q507"/>
    </row>
    <row r="508" spans="1:17" ht="12.75">
      <c r="A508" s="112"/>
      <c r="B508" s="287"/>
      <c r="C508" s="288"/>
      <c r="D508" s="287"/>
      <c r="E508" s="112"/>
      <c r="I508"/>
      <c r="J508"/>
      <c r="K508"/>
      <c r="L508"/>
      <c r="M508"/>
      <c r="N508"/>
      <c r="O508"/>
      <c r="P508"/>
      <c r="Q508"/>
    </row>
    <row r="509" spans="1:17" ht="12.75">
      <c r="A509" s="109" t="s">
        <v>161</v>
      </c>
      <c r="B509" s="403">
        <f>IF(ISERROR($B503/$B505),0,$B503/$B505)</f>
        <v>0</v>
      </c>
      <c r="C509" s="403"/>
      <c r="D509" s="294"/>
      <c r="E509" s="112"/>
      <c r="I509"/>
      <c r="J509"/>
      <c r="K509"/>
      <c r="L509"/>
      <c r="M509"/>
      <c r="N509"/>
      <c r="O509"/>
      <c r="P509"/>
      <c r="Q509"/>
    </row>
    <row r="510" spans="1:17" ht="12.75">
      <c r="A510" s="112"/>
      <c r="B510" s="404"/>
      <c r="C510" s="404"/>
      <c r="D510" s="289"/>
      <c r="E510" s="112"/>
      <c r="I510"/>
      <c r="J510"/>
      <c r="K510"/>
      <c r="L510"/>
      <c r="M510"/>
      <c r="N510"/>
      <c r="O510"/>
      <c r="P510"/>
      <c r="Q510"/>
    </row>
    <row r="511" spans="1:17" ht="12.75">
      <c r="A511" s="109" t="s">
        <v>160</v>
      </c>
      <c r="B511" s="405"/>
      <c r="C511" s="406">
        <f>IF(ISERROR($C503/$C507/12),0,$C503/$C507/12)</f>
        <v>0</v>
      </c>
      <c r="D511" s="295"/>
      <c r="E511" s="112"/>
      <c r="I511"/>
      <c r="J511"/>
      <c r="K511"/>
      <c r="L511"/>
      <c r="M511"/>
      <c r="N511"/>
      <c r="O511"/>
      <c r="P511"/>
      <c r="Q511"/>
    </row>
    <row r="512" spans="1:17" ht="12.75">
      <c r="A512" s="296"/>
      <c r="B512" s="297"/>
      <c r="C512" s="298"/>
      <c r="D512" s="297"/>
      <c r="E512" s="112"/>
      <c r="I512"/>
      <c r="J512"/>
      <c r="K512"/>
      <c r="L512"/>
      <c r="M512"/>
      <c r="N512"/>
      <c r="O512"/>
      <c r="P512"/>
      <c r="Q512"/>
    </row>
    <row r="513" spans="1:17" ht="12.75">
      <c r="A513" s="296"/>
      <c r="B513" s="297"/>
      <c r="C513" s="298"/>
      <c r="D513" s="297"/>
      <c r="E513" s="112"/>
      <c r="I513"/>
      <c r="J513"/>
      <c r="K513"/>
      <c r="L513"/>
      <c r="M513"/>
      <c r="N513"/>
      <c r="O513"/>
      <c r="P513"/>
      <c r="Q513"/>
    </row>
    <row r="514" spans="1:17" ht="51.75" thickBot="1">
      <c r="A514" s="132"/>
      <c r="B514" s="283" t="s">
        <v>104</v>
      </c>
      <c r="C514" s="283" t="s">
        <v>188</v>
      </c>
      <c r="D514" s="283" t="s">
        <v>103</v>
      </c>
      <c r="E514" s="112"/>
      <c r="I514"/>
      <c r="J514"/>
      <c r="K514"/>
      <c r="L514"/>
      <c r="M514"/>
      <c r="N514"/>
      <c r="O514"/>
      <c r="P514"/>
      <c r="Q514"/>
    </row>
    <row r="515" spans="1:17" ht="15">
      <c r="A515" s="481" t="s">
        <v>217</v>
      </c>
      <c r="B515" s="30"/>
      <c r="C515" s="30"/>
      <c r="E515" s="112"/>
      <c r="I515"/>
      <c r="J515"/>
      <c r="K515"/>
      <c r="L515"/>
      <c r="M515"/>
      <c r="N515"/>
      <c r="O515"/>
      <c r="P515"/>
      <c r="Q515"/>
    </row>
    <row r="516" spans="1:17" ht="12.75">
      <c r="A516" s="109" t="s">
        <v>99</v>
      </c>
      <c r="B516" s="290"/>
      <c r="C516" s="290"/>
      <c r="D516" s="407">
        <f>+G76</f>
        <v>0</v>
      </c>
      <c r="E516" s="112"/>
      <c r="I516"/>
      <c r="J516"/>
      <c r="K516"/>
      <c r="L516"/>
      <c r="M516"/>
      <c r="N516"/>
      <c r="O516"/>
      <c r="P516"/>
      <c r="Q516"/>
    </row>
    <row r="517" spans="1:17" ht="12.75">
      <c r="A517" s="112"/>
      <c r="B517" s="284"/>
      <c r="C517" s="284"/>
      <c r="D517" s="285"/>
      <c r="E517" s="112"/>
      <c r="I517"/>
      <c r="J517"/>
      <c r="K517"/>
      <c r="L517"/>
      <c r="M517"/>
      <c r="N517"/>
      <c r="O517"/>
      <c r="P517"/>
      <c r="Q517"/>
    </row>
    <row r="518" spans="1:17" ht="12.75">
      <c r="A518" s="109" t="s">
        <v>102</v>
      </c>
      <c r="B518" s="479">
        <v>1</v>
      </c>
      <c r="C518" s="479">
        <f>1-B518</f>
        <v>0</v>
      </c>
      <c r="D518" s="291">
        <f>B518+C518</f>
        <v>1</v>
      </c>
      <c r="E518" s="112"/>
      <c r="I518"/>
      <c r="J518"/>
      <c r="K518"/>
      <c r="L518"/>
      <c r="M518"/>
      <c r="N518"/>
      <c r="O518"/>
      <c r="P518"/>
      <c r="Q518"/>
    </row>
    <row r="519" spans="1:17" ht="12.75">
      <c r="A519" s="112"/>
      <c r="B519" s="286"/>
      <c r="C519" s="286"/>
      <c r="D519" s="286"/>
      <c r="E519" s="112"/>
      <c r="I519"/>
      <c r="J519"/>
      <c r="K519"/>
      <c r="L519"/>
      <c r="M519"/>
      <c r="N519"/>
      <c r="O519"/>
      <c r="P519"/>
      <c r="Q519"/>
    </row>
    <row r="520" spans="1:17" ht="12.75">
      <c r="A520" s="109" t="s">
        <v>105</v>
      </c>
      <c r="B520" s="402">
        <f>$B518*$D516</f>
        <v>0</v>
      </c>
      <c r="C520" s="402">
        <f>C518*D516</f>
        <v>0</v>
      </c>
      <c r="D520" s="402">
        <f>SUM(B520:C520)</f>
        <v>0</v>
      </c>
      <c r="E520" s="112"/>
      <c r="I520"/>
      <c r="J520"/>
      <c r="K520"/>
      <c r="L520"/>
      <c r="M520"/>
      <c r="N520"/>
      <c r="O520"/>
      <c r="P520"/>
      <c r="Q520"/>
    </row>
    <row r="521" spans="1:17" ht="12.75">
      <c r="A521" s="112"/>
      <c r="B521" s="287"/>
      <c r="C521" s="287"/>
      <c r="D521" s="287"/>
      <c r="E521" s="112"/>
      <c r="I521"/>
      <c r="J521"/>
      <c r="K521"/>
      <c r="L521"/>
      <c r="M521"/>
      <c r="N521"/>
      <c r="O521"/>
      <c r="P521"/>
      <c r="Q521"/>
    </row>
    <row r="522" spans="1:17" ht="12.75">
      <c r="A522" s="109" t="s">
        <v>151</v>
      </c>
      <c r="B522" s="293">
        <f>+B76</f>
        <v>62</v>
      </c>
      <c r="C522" s="292"/>
      <c r="D522" s="292"/>
      <c r="E522" s="112"/>
      <c r="I522"/>
      <c r="J522"/>
      <c r="K522"/>
      <c r="L522"/>
      <c r="M522"/>
      <c r="N522"/>
      <c r="O522"/>
      <c r="P522"/>
      <c r="Q522"/>
    </row>
    <row r="523" spans="1:17" ht="12.75">
      <c r="A523" s="112"/>
      <c r="B523" s="288"/>
      <c r="C523" s="287"/>
      <c r="D523" s="287"/>
      <c r="E523" s="112"/>
      <c r="I523"/>
      <c r="J523"/>
      <c r="K523"/>
      <c r="L523"/>
      <c r="M523"/>
      <c r="N523"/>
      <c r="O523"/>
      <c r="P523"/>
      <c r="Q523"/>
    </row>
    <row r="524" spans="1:17" ht="12.75">
      <c r="A524" s="109" t="s">
        <v>101</v>
      </c>
      <c r="B524" s="292"/>
      <c r="C524" s="293">
        <f>+D76</f>
        <v>20</v>
      </c>
      <c r="D524" s="292"/>
      <c r="E524" s="112"/>
      <c r="I524"/>
      <c r="J524"/>
      <c r="K524"/>
      <c r="L524"/>
      <c r="M524"/>
      <c r="N524"/>
      <c r="O524"/>
      <c r="P524"/>
      <c r="Q524"/>
    </row>
    <row r="525" spans="1:17" ht="12.75">
      <c r="A525" s="112"/>
      <c r="B525" s="287"/>
      <c r="C525" s="288"/>
      <c r="D525" s="287"/>
      <c r="E525" s="112"/>
      <c r="I525"/>
      <c r="J525"/>
      <c r="K525"/>
      <c r="L525"/>
      <c r="M525"/>
      <c r="N525"/>
      <c r="O525"/>
      <c r="P525"/>
      <c r="Q525"/>
    </row>
    <row r="526" spans="1:17" ht="12.75">
      <c r="A526" s="109" t="s">
        <v>161</v>
      </c>
      <c r="B526" s="403">
        <f>IF(ISERROR($B520/$B522),0,$B520/$B522)</f>
        <v>0</v>
      </c>
      <c r="C526" s="403"/>
      <c r="D526" s="294"/>
      <c r="E526" s="112"/>
      <c r="I526"/>
      <c r="J526"/>
      <c r="K526"/>
      <c r="L526"/>
      <c r="M526"/>
      <c r="N526"/>
      <c r="O526"/>
      <c r="P526"/>
      <c r="Q526"/>
    </row>
    <row r="527" spans="1:17" ht="12.75">
      <c r="A527" s="112"/>
      <c r="B527" s="404"/>
      <c r="C527" s="404"/>
      <c r="D527" s="289"/>
      <c r="E527" s="112"/>
      <c r="I527"/>
      <c r="J527"/>
      <c r="K527"/>
      <c r="L527"/>
      <c r="M527"/>
      <c r="N527"/>
      <c r="O527"/>
      <c r="P527"/>
      <c r="Q527"/>
    </row>
    <row r="528" spans="1:17" ht="12.75">
      <c r="A528" s="109" t="s">
        <v>160</v>
      </c>
      <c r="B528" s="405"/>
      <c r="C528" s="406">
        <f>IF(ISERROR($C520/$C524/12),0,$C520/$C524/12)</f>
        <v>0</v>
      </c>
      <c r="D528" s="295"/>
      <c r="E528" s="112"/>
      <c r="I528"/>
      <c r="J528"/>
      <c r="K528"/>
      <c r="L528"/>
      <c r="M528"/>
      <c r="N528"/>
      <c r="O528"/>
      <c r="P528"/>
      <c r="Q528"/>
    </row>
    <row r="529" spans="1:17" ht="12.75">
      <c r="A529" s="296"/>
      <c r="B529" s="297"/>
      <c r="C529" s="298"/>
      <c r="D529" s="297"/>
      <c r="E529" s="112"/>
      <c r="I529"/>
      <c r="J529"/>
      <c r="K529"/>
      <c r="L529"/>
      <c r="M529"/>
      <c r="N529"/>
      <c r="O529"/>
      <c r="P529"/>
      <c r="Q529"/>
    </row>
    <row r="530" spans="1:17" ht="12.75">
      <c r="A530" s="296"/>
      <c r="B530" s="297"/>
      <c r="C530" s="298"/>
      <c r="D530" s="297"/>
      <c r="E530" s="112"/>
      <c r="I530"/>
      <c r="J530"/>
      <c r="K530"/>
      <c r="L530"/>
      <c r="M530"/>
      <c r="N530"/>
      <c r="O530"/>
      <c r="P530"/>
      <c r="Q530"/>
    </row>
    <row r="531" spans="1:17" ht="51.75" thickBot="1">
      <c r="A531" s="132"/>
      <c r="B531" s="283" t="s">
        <v>104</v>
      </c>
      <c r="C531" s="283" t="s">
        <v>188</v>
      </c>
      <c r="D531" s="283" t="s">
        <v>103</v>
      </c>
      <c r="E531" s="112"/>
      <c r="I531"/>
      <c r="J531"/>
      <c r="K531"/>
      <c r="L531"/>
      <c r="M531"/>
      <c r="N531"/>
      <c r="O531"/>
      <c r="P531"/>
      <c r="Q531"/>
    </row>
    <row r="532" spans="1:17" ht="15">
      <c r="A532" s="481" t="s">
        <v>218</v>
      </c>
      <c r="B532" s="30"/>
      <c r="C532" s="30"/>
      <c r="E532" s="112"/>
      <c r="I532"/>
      <c r="J532"/>
      <c r="K532"/>
      <c r="L532"/>
      <c r="M532"/>
      <c r="N532"/>
      <c r="O532"/>
      <c r="P532"/>
      <c r="Q532"/>
    </row>
    <row r="533" spans="1:17" ht="12.75">
      <c r="A533" s="109" t="s">
        <v>99</v>
      </c>
      <c r="B533" s="290"/>
      <c r="C533" s="290"/>
      <c r="D533" s="407">
        <f>+G77</f>
        <v>0</v>
      </c>
      <c r="E533" s="112"/>
      <c r="I533"/>
      <c r="J533"/>
      <c r="K533"/>
      <c r="L533"/>
      <c r="M533"/>
      <c r="N533"/>
      <c r="O533"/>
      <c r="P533"/>
      <c r="Q533"/>
    </row>
    <row r="534" spans="1:17" ht="12.75">
      <c r="A534" s="112"/>
      <c r="B534" s="284"/>
      <c r="C534" s="284"/>
      <c r="D534" s="285"/>
      <c r="E534" s="112"/>
      <c r="I534"/>
      <c r="J534"/>
      <c r="K534"/>
      <c r="L534"/>
      <c r="M534"/>
      <c r="N534"/>
      <c r="O534"/>
      <c r="P534"/>
      <c r="Q534"/>
    </row>
    <row r="535" spans="1:17" ht="12.75">
      <c r="A535" s="109" t="s">
        <v>102</v>
      </c>
      <c r="B535" s="479">
        <v>1</v>
      </c>
      <c r="C535" s="479">
        <f>1-B535</f>
        <v>0</v>
      </c>
      <c r="D535" s="291">
        <f>B535+C535</f>
        <v>1</v>
      </c>
      <c r="E535" s="112"/>
      <c r="I535"/>
      <c r="J535"/>
      <c r="K535"/>
      <c r="L535"/>
      <c r="M535"/>
      <c r="N535"/>
      <c r="O535"/>
      <c r="P535"/>
      <c r="Q535"/>
    </row>
    <row r="536" spans="1:17" ht="12.75">
      <c r="A536" s="112"/>
      <c r="B536" s="286"/>
      <c r="C536" s="286"/>
      <c r="D536" s="286"/>
      <c r="E536" s="112"/>
      <c r="I536"/>
      <c r="J536"/>
      <c r="K536"/>
      <c r="L536"/>
      <c r="M536"/>
      <c r="N536"/>
      <c r="O536"/>
      <c r="P536"/>
      <c r="Q536"/>
    </row>
    <row r="537" spans="1:17" ht="12.75">
      <c r="A537" s="109" t="s">
        <v>105</v>
      </c>
      <c r="B537" s="402">
        <f>$B535*$D533</f>
        <v>0</v>
      </c>
      <c r="C537" s="402">
        <f>C535*D533</f>
        <v>0</v>
      </c>
      <c r="D537" s="402">
        <f>SUM(B537:C537)</f>
        <v>0</v>
      </c>
      <c r="E537" s="112"/>
      <c r="I537"/>
      <c r="J537"/>
      <c r="K537"/>
      <c r="L537"/>
      <c r="M537"/>
      <c r="N537"/>
      <c r="O537"/>
      <c r="P537"/>
      <c r="Q537"/>
    </row>
    <row r="538" spans="1:17" ht="12.75">
      <c r="A538" s="112"/>
      <c r="B538" s="287"/>
      <c r="C538" s="287"/>
      <c r="D538" s="287"/>
      <c r="E538" s="112"/>
      <c r="I538"/>
      <c r="J538"/>
      <c r="K538"/>
      <c r="L538"/>
      <c r="M538"/>
      <c r="N538"/>
      <c r="O538"/>
      <c r="P538"/>
      <c r="Q538"/>
    </row>
    <row r="539" spans="1:17" ht="12.75">
      <c r="A539" s="109" t="s">
        <v>151</v>
      </c>
      <c r="B539" s="293">
        <f>+B77</f>
        <v>59</v>
      </c>
      <c r="C539" s="292"/>
      <c r="D539" s="292"/>
      <c r="E539" s="112"/>
      <c r="I539"/>
      <c r="J539"/>
      <c r="K539"/>
      <c r="L539"/>
      <c r="M539"/>
      <c r="N539"/>
      <c r="O539"/>
      <c r="P539"/>
      <c r="Q539"/>
    </row>
    <row r="540" spans="1:17" ht="12.75">
      <c r="A540" s="112"/>
      <c r="B540" s="288"/>
      <c r="C540" s="287"/>
      <c r="D540" s="287"/>
      <c r="E540" s="112"/>
      <c r="I540"/>
      <c r="J540"/>
      <c r="K540"/>
      <c r="L540"/>
      <c r="M540"/>
      <c r="N540"/>
      <c r="O540"/>
      <c r="P540"/>
      <c r="Q540"/>
    </row>
    <row r="541" spans="1:17" ht="12.75">
      <c r="A541" s="109" t="s">
        <v>101</v>
      </c>
      <c r="B541" s="292"/>
      <c r="C541" s="293">
        <f>+D77</f>
        <v>16</v>
      </c>
      <c r="D541" s="292"/>
      <c r="E541" s="112"/>
      <c r="I541"/>
      <c r="J541"/>
      <c r="K541"/>
      <c r="L541"/>
      <c r="M541"/>
      <c r="N541"/>
      <c r="O541"/>
      <c r="P541"/>
      <c r="Q541"/>
    </row>
    <row r="542" spans="1:17" ht="12.75">
      <c r="A542" s="112"/>
      <c r="B542" s="287"/>
      <c r="C542" s="288"/>
      <c r="D542" s="287"/>
      <c r="E542" s="112"/>
      <c r="I542"/>
      <c r="J542"/>
      <c r="K542"/>
      <c r="L542"/>
      <c r="M542"/>
      <c r="N542"/>
      <c r="O542"/>
      <c r="P542"/>
      <c r="Q542"/>
    </row>
    <row r="543" spans="1:17" ht="12.75">
      <c r="A543" s="109" t="s">
        <v>161</v>
      </c>
      <c r="B543" s="403">
        <f>IF(ISERROR($B537/$B539),0,$B537/$B539)</f>
        <v>0</v>
      </c>
      <c r="C543" s="403"/>
      <c r="D543" s="294"/>
      <c r="E543" s="112"/>
      <c r="I543"/>
      <c r="J543"/>
      <c r="K543"/>
      <c r="L543"/>
      <c r="M543"/>
      <c r="N543"/>
      <c r="O543"/>
      <c r="P543"/>
      <c r="Q543"/>
    </row>
    <row r="544" spans="1:17" ht="12.75">
      <c r="A544" s="112"/>
      <c r="B544" s="404"/>
      <c r="C544" s="404"/>
      <c r="D544" s="289"/>
      <c r="E544" s="112"/>
      <c r="I544"/>
      <c r="J544"/>
      <c r="K544"/>
      <c r="L544"/>
      <c r="M544"/>
      <c r="N544"/>
      <c r="O544"/>
      <c r="P544"/>
      <c r="Q544"/>
    </row>
    <row r="545" spans="1:17" ht="12.75">
      <c r="A545" s="109" t="s">
        <v>160</v>
      </c>
      <c r="B545" s="405"/>
      <c r="C545" s="406">
        <f>IF(ISERROR($C537/$C541/12),0,$C537/$C541/12)</f>
        <v>0</v>
      </c>
      <c r="D545" s="295"/>
      <c r="E545" s="112"/>
      <c r="I545"/>
      <c r="J545"/>
      <c r="K545"/>
      <c r="L545"/>
      <c r="M545"/>
      <c r="N545"/>
      <c r="O545"/>
      <c r="P545"/>
      <c r="Q545"/>
    </row>
    <row r="546" spans="1:17" ht="12.75">
      <c r="A546" s="296"/>
      <c r="B546" s="297"/>
      <c r="C546" s="298"/>
      <c r="D546" s="297"/>
      <c r="E546" s="112"/>
      <c r="I546"/>
      <c r="J546"/>
      <c r="K546"/>
      <c r="L546"/>
      <c r="M546"/>
      <c r="N546"/>
      <c r="O546"/>
      <c r="P546"/>
      <c r="Q546"/>
    </row>
    <row r="547" spans="1:17" ht="12.75">
      <c r="A547" s="296"/>
      <c r="B547" s="297"/>
      <c r="C547" s="298"/>
      <c r="D547" s="297"/>
      <c r="E547" s="112"/>
      <c r="I547"/>
      <c r="J547"/>
      <c r="K547"/>
      <c r="L547"/>
      <c r="M547"/>
      <c r="N547"/>
      <c r="O547"/>
      <c r="P547"/>
      <c r="Q547"/>
    </row>
    <row r="548" spans="1:17" ht="51.75" thickBot="1">
      <c r="A548" s="132"/>
      <c r="B548" s="283" t="s">
        <v>104</v>
      </c>
      <c r="C548" s="283" t="s">
        <v>188</v>
      </c>
      <c r="D548" s="283" t="s">
        <v>103</v>
      </c>
      <c r="E548" s="112"/>
      <c r="I548"/>
      <c r="J548"/>
      <c r="K548"/>
      <c r="L548"/>
      <c r="M548"/>
      <c r="N548"/>
      <c r="O548"/>
      <c r="P548"/>
      <c r="Q548"/>
    </row>
    <row r="549" spans="1:17" ht="15">
      <c r="A549" s="481" t="s">
        <v>219</v>
      </c>
      <c r="B549" s="30"/>
      <c r="C549" s="30"/>
      <c r="E549" s="112"/>
      <c r="I549"/>
      <c r="J549"/>
      <c r="K549"/>
      <c r="L549"/>
      <c r="M549"/>
      <c r="N549"/>
      <c r="O549"/>
      <c r="P549"/>
      <c r="Q549"/>
    </row>
    <row r="550" spans="1:17" ht="12.75">
      <c r="A550" s="109" t="s">
        <v>99</v>
      </c>
      <c r="B550" s="290"/>
      <c r="C550" s="290"/>
      <c r="D550" s="407">
        <f>+G78</f>
        <v>0</v>
      </c>
      <c r="E550" s="112"/>
      <c r="I550"/>
      <c r="J550"/>
      <c r="K550"/>
      <c r="L550"/>
      <c r="M550"/>
      <c r="N550"/>
      <c r="O550"/>
      <c r="P550"/>
      <c r="Q550"/>
    </row>
    <row r="551" spans="1:17" ht="12.75">
      <c r="A551" s="112"/>
      <c r="B551" s="284"/>
      <c r="C551" s="284"/>
      <c r="D551" s="285"/>
      <c r="E551" s="112"/>
      <c r="I551"/>
      <c r="J551"/>
      <c r="K551"/>
      <c r="L551"/>
      <c r="M551"/>
      <c r="N551"/>
      <c r="O551"/>
      <c r="P551"/>
      <c r="Q551"/>
    </row>
    <row r="552" spans="1:17" ht="12.75">
      <c r="A552" s="109" t="s">
        <v>102</v>
      </c>
      <c r="B552" s="479">
        <v>1</v>
      </c>
      <c r="C552" s="479">
        <f>1-B552</f>
        <v>0</v>
      </c>
      <c r="D552" s="291">
        <f>B552+C552</f>
        <v>1</v>
      </c>
      <c r="E552" s="112"/>
      <c r="I552"/>
      <c r="J552"/>
      <c r="K552"/>
      <c r="L552"/>
      <c r="M552"/>
      <c r="N552"/>
      <c r="O552"/>
      <c r="P552"/>
      <c r="Q552"/>
    </row>
    <row r="553" spans="1:17" ht="12.75">
      <c r="A553" s="112"/>
      <c r="B553" s="286"/>
      <c r="C553" s="286"/>
      <c r="D553" s="286"/>
      <c r="E553" s="112"/>
      <c r="I553"/>
      <c r="J553"/>
      <c r="K553"/>
      <c r="L553"/>
      <c r="M553"/>
      <c r="N553"/>
      <c r="O553"/>
      <c r="P553"/>
      <c r="Q553"/>
    </row>
    <row r="554" spans="1:17" ht="12.75">
      <c r="A554" s="109" t="s">
        <v>105</v>
      </c>
      <c r="B554" s="402">
        <f>$B552*$D550</f>
        <v>0</v>
      </c>
      <c r="C554" s="402">
        <f>C552*D550</f>
        <v>0</v>
      </c>
      <c r="D554" s="402">
        <f>SUM(B554:C554)</f>
        <v>0</v>
      </c>
      <c r="E554" s="112"/>
      <c r="I554"/>
      <c r="J554"/>
      <c r="K554"/>
      <c r="L554"/>
      <c r="M554"/>
      <c r="N554"/>
      <c r="O554"/>
      <c r="P554"/>
      <c r="Q554"/>
    </row>
    <row r="555" spans="1:17" ht="12.75">
      <c r="A555" s="112"/>
      <c r="B555" s="287"/>
      <c r="C555" s="287"/>
      <c r="D555" s="287"/>
      <c r="E555" s="112"/>
      <c r="I555"/>
      <c r="J555"/>
      <c r="K555"/>
      <c r="L555"/>
      <c r="M555"/>
      <c r="N555"/>
      <c r="O555"/>
      <c r="P555"/>
      <c r="Q555"/>
    </row>
    <row r="556" spans="1:17" ht="12.75">
      <c r="A556" s="109" t="s">
        <v>151</v>
      </c>
      <c r="B556" s="293">
        <f>+B78</f>
        <v>141</v>
      </c>
      <c r="C556" s="292"/>
      <c r="D556" s="292"/>
      <c r="E556" s="112"/>
      <c r="I556"/>
      <c r="J556"/>
      <c r="K556"/>
      <c r="L556"/>
      <c r="M556"/>
      <c r="N556"/>
      <c r="O556"/>
      <c r="P556"/>
      <c r="Q556"/>
    </row>
    <row r="557" spans="1:17" ht="12.75">
      <c r="A557" s="112"/>
      <c r="B557" s="288"/>
      <c r="C557" s="287"/>
      <c r="D557" s="287"/>
      <c r="E557" s="112"/>
      <c r="I557"/>
      <c r="J557"/>
      <c r="K557"/>
      <c r="L557"/>
      <c r="M557"/>
      <c r="N557"/>
      <c r="O557"/>
      <c r="P557"/>
      <c r="Q557"/>
    </row>
    <row r="558" spans="1:17" ht="12.75">
      <c r="A558" s="109" t="s">
        <v>101</v>
      </c>
      <c r="B558" s="292"/>
      <c r="C558" s="293">
        <f>+D78</f>
        <v>32</v>
      </c>
      <c r="D558" s="292"/>
      <c r="E558" s="112"/>
      <c r="I558"/>
      <c r="J558"/>
      <c r="K558"/>
      <c r="L558"/>
      <c r="M558"/>
      <c r="N558"/>
      <c r="O558"/>
      <c r="P558"/>
      <c r="Q558"/>
    </row>
    <row r="559" spans="1:17" ht="12.75">
      <c r="A559" s="112"/>
      <c r="B559" s="287"/>
      <c r="C559" s="288"/>
      <c r="D559" s="287"/>
      <c r="E559" s="112"/>
      <c r="I559"/>
      <c r="J559"/>
      <c r="K559"/>
      <c r="L559"/>
      <c r="M559"/>
      <c r="N559"/>
      <c r="O559"/>
      <c r="P559"/>
      <c r="Q559"/>
    </row>
    <row r="560" spans="1:17" ht="12.75">
      <c r="A560" s="109" t="s">
        <v>161</v>
      </c>
      <c r="B560" s="403">
        <f>IF(ISERROR($B554/$B556),0,$B554/$B556)</f>
        <v>0</v>
      </c>
      <c r="C560" s="403"/>
      <c r="D560" s="294"/>
      <c r="E560" s="112"/>
      <c r="I560"/>
      <c r="J560"/>
      <c r="K560"/>
      <c r="L560"/>
      <c r="M560"/>
      <c r="N560"/>
      <c r="O560"/>
      <c r="P560"/>
      <c r="Q560"/>
    </row>
    <row r="561" spans="1:17" ht="12.75">
      <c r="A561" s="112"/>
      <c r="B561" s="404"/>
      <c r="C561" s="404"/>
      <c r="D561" s="289"/>
      <c r="E561" s="112"/>
      <c r="I561"/>
      <c r="J561"/>
      <c r="K561"/>
      <c r="L561"/>
      <c r="M561"/>
      <c r="N561"/>
      <c r="O561"/>
      <c r="P561"/>
      <c r="Q561"/>
    </row>
    <row r="562" spans="1:17" ht="12.75">
      <c r="A562" s="109" t="s">
        <v>160</v>
      </c>
      <c r="B562" s="405"/>
      <c r="C562" s="406">
        <f>IF(ISERROR($C554/$C558/12),0,$C554/$C558/12)</f>
        <v>0</v>
      </c>
      <c r="D562" s="295"/>
      <c r="E562" s="112"/>
      <c r="I562"/>
      <c r="J562"/>
      <c r="K562"/>
      <c r="L562"/>
      <c r="M562"/>
      <c r="N562"/>
      <c r="O562"/>
      <c r="P562"/>
      <c r="Q562"/>
    </row>
    <row r="563" spans="1:17" ht="12.75">
      <c r="A563" s="296"/>
      <c r="B563" s="297"/>
      <c r="C563" s="298"/>
      <c r="D563" s="297"/>
      <c r="E563" s="112"/>
      <c r="I563"/>
      <c r="J563"/>
      <c r="K563"/>
      <c r="L563"/>
      <c r="M563"/>
      <c r="N563"/>
      <c r="O563"/>
      <c r="P563"/>
      <c r="Q563"/>
    </row>
    <row r="564" spans="1:17" ht="12.75">
      <c r="A564" s="296"/>
      <c r="B564" s="297"/>
      <c r="C564" s="298"/>
      <c r="D564" s="297"/>
      <c r="E564" s="112"/>
      <c r="I564"/>
      <c r="J564"/>
      <c r="K564"/>
      <c r="L564"/>
      <c r="M564"/>
      <c r="N564"/>
      <c r="O564"/>
      <c r="P564"/>
      <c r="Q564"/>
    </row>
    <row r="565" spans="1:17" ht="51.75" thickBot="1">
      <c r="A565" s="132"/>
      <c r="B565" s="283" t="s">
        <v>104</v>
      </c>
      <c r="C565" s="283" t="s">
        <v>188</v>
      </c>
      <c r="D565" s="283" t="s">
        <v>103</v>
      </c>
      <c r="E565" s="112"/>
      <c r="I565"/>
      <c r="J565"/>
      <c r="K565"/>
      <c r="L565"/>
      <c r="M565"/>
      <c r="N565"/>
      <c r="O565"/>
      <c r="P565"/>
      <c r="Q565"/>
    </row>
    <row r="566" spans="1:17" ht="15">
      <c r="A566" s="481" t="s">
        <v>220</v>
      </c>
      <c r="B566" s="30"/>
      <c r="C566" s="30"/>
      <c r="E566" s="112"/>
      <c r="I566"/>
      <c r="J566"/>
      <c r="K566"/>
      <c r="L566"/>
      <c r="M566"/>
      <c r="N566"/>
      <c r="O566"/>
      <c r="P566"/>
      <c r="Q566"/>
    </row>
    <row r="567" spans="1:17" ht="12.75">
      <c r="A567" s="109" t="s">
        <v>99</v>
      </c>
      <c r="B567" s="290"/>
      <c r="C567" s="290"/>
      <c r="D567" s="407">
        <f>+G79</f>
        <v>0</v>
      </c>
      <c r="E567" s="112"/>
      <c r="I567"/>
      <c r="J567"/>
      <c r="K567"/>
      <c r="L567"/>
      <c r="M567"/>
      <c r="N567"/>
      <c r="O567"/>
      <c r="P567"/>
      <c r="Q567"/>
    </row>
    <row r="568" spans="1:17" ht="12.75">
      <c r="A568" s="112"/>
      <c r="B568" s="284"/>
      <c r="C568" s="284"/>
      <c r="D568" s="285"/>
      <c r="E568" s="112"/>
      <c r="I568"/>
      <c r="J568"/>
      <c r="K568"/>
      <c r="L568"/>
      <c r="M568"/>
      <c r="N568"/>
      <c r="O568"/>
      <c r="P568"/>
      <c r="Q568"/>
    </row>
    <row r="569" spans="1:17" ht="12.75">
      <c r="A569" s="109" t="s">
        <v>102</v>
      </c>
      <c r="B569" s="479">
        <v>1</v>
      </c>
      <c r="C569" s="479">
        <f>1-B569</f>
        <v>0</v>
      </c>
      <c r="D569" s="291">
        <f>B569+C569</f>
        <v>1</v>
      </c>
      <c r="E569" s="112"/>
      <c r="I569"/>
      <c r="J569"/>
      <c r="K569"/>
      <c r="L569"/>
      <c r="M569"/>
      <c r="N569"/>
      <c r="O569"/>
      <c r="P569"/>
      <c r="Q569"/>
    </row>
    <row r="570" spans="1:17" ht="12.75">
      <c r="A570" s="112"/>
      <c r="B570" s="286"/>
      <c r="C570" s="286"/>
      <c r="D570" s="286"/>
      <c r="E570" s="112"/>
      <c r="I570"/>
      <c r="J570"/>
      <c r="K570"/>
      <c r="L570"/>
      <c r="M570"/>
      <c r="N570"/>
      <c r="O570"/>
      <c r="P570"/>
      <c r="Q570"/>
    </row>
    <row r="571" spans="1:17" ht="12.75">
      <c r="A571" s="109" t="s">
        <v>105</v>
      </c>
      <c r="B571" s="402">
        <f>$B569*$D567</f>
        <v>0</v>
      </c>
      <c r="C571" s="402">
        <f>C569*D567</f>
        <v>0</v>
      </c>
      <c r="D571" s="402">
        <f>SUM(B571:C571)</f>
        <v>0</v>
      </c>
      <c r="E571" s="112"/>
      <c r="I571"/>
      <c r="J571"/>
      <c r="K571"/>
      <c r="L571"/>
      <c r="M571"/>
      <c r="N571"/>
      <c r="O571"/>
      <c r="P571"/>
      <c r="Q571"/>
    </row>
    <row r="572" spans="1:17" ht="12.75">
      <c r="A572" s="112"/>
      <c r="B572" s="287"/>
      <c r="C572" s="287"/>
      <c r="D572" s="287"/>
      <c r="E572" s="112"/>
      <c r="I572"/>
      <c r="J572"/>
      <c r="K572"/>
      <c r="L572"/>
      <c r="M572"/>
      <c r="N572"/>
      <c r="O572"/>
      <c r="P572"/>
      <c r="Q572"/>
    </row>
    <row r="573" spans="1:17" ht="12.75">
      <c r="A573" s="109" t="s">
        <v>151</v>
      </c>
      <c r="B573" s="293">
        <f>+B79</f>
        <v>302</v>
      </c>
      <c r="C573" s="292"/>
      <c r="D573" s="292"/>
      <c r="E573" s="112"/>
      <c r="I573"/>
      <c r="J573"/>
      <c r="K573"/>
      <c r="L573"/>
      <c r="M573"/>
      <c r="N573"/>
      <c r="O573"/>
      <c r="P573"/>
      <c r="Q573"/>
    </row>
    <row r="574" spans="1:17" ht="12.75">
      <c r="A574" s="112"/>
      <c r="B574" s="288"/>
      <c r="C574" s="287"/>
      <c r="D574" s="287"/>
      <c r="E574" s="112"/>
      <c r="I574"/>
      <c r="J574"/>
      <c r="K574"/>
      <c r="L574"/>
      <c r="M574"/>
      <c r="N574"/>
      <c r="O574"/>
      <c r="P574"/>
      <c r="Q574"/>
    </row>
    <row r="575" spans="1:17" ht="12.75">
      <c r="A575" s="109" t="s">
        <v>101</v>
      </c>
      <c r="B575" s="292"/>
      <c r="C575" s="293">
        <f>+D79</f>
        <v>102</v>
      </c>
      <c r="D575" s="292"/>
      <c r="E575" s="112"/>
      <c r="I575"/>
      <c r="J575"/>
      <c r="K575"/>
      <c r="L575"/>
      <c r="M575"/>
      <c r="N575"/>
      <c r="O575"/>
      <c r="P575"/>
      <c r="Q575"/>
    </row>
    <row r="576" spans="1:17" ht="12.75">
      <c r="A576" s="112"/>
      <c r="B576" s="287"/>
      <c r="C576" s="288"/>
      <c r="D576" s="287"/>
      <c r="E576" s="112"/>
      <c r="I576"/>
      <c r="J576"/>
      <c r="K576"/>
      <c r="L576"/>
      <c r="M576"/>
      <c r="N576"/>
      <c r="O576"/>
      <c r="P576"/>
      <c r="Q576"/>
    </row>
    <row r="577" spans="1:17" ht="12.75">
      <c r="A577" s="109" t="s">
        <v>161</v>
      </c>
      <c r="B577" s="403">
        <f>IF(ISERROR($B571/$B573),0,$B571/$B573)</f>
        <v>0</v>
      </c>
      <c r="C577" s="403"/>
      <c r="D577" s="294"/>
      <c r="E577" s="112"/>
      <c r="I577"/>
      <c r="J577"/>
      <c r="K577"/>
      <c r="L577"/>
      <c r="M577"/>
      <c r="N577"/>
      <c r="O577"/>
      <c r="P577"/>
      <c r="Q577"/>
    </row>
    <row r="578" spans="1:17" ht="12.75">
      <c r="A578" s="112"/>
      <c r="B578" s="404"/>
      <c r="C578" s="404"/>
      <c r="D578" s="289"/>
      <c r="E578" s="112"/>
      <c r="I578"/>
      <c r="J578"/>
      <c r="K578"/>
      <c r="L578"/>
      <c r="M578"/>
      <c r="N578"/>
      <c r="O578"/>
      <c r="P578"/>
      <c r="Q578"/>
    </row>
    <row r="579" spans="1:17" ht="12.75">
      <c r="A579" s="109" t="s">
        <v>160</v>
      </c>
      <c r="B579" s="405"/>
      <c r="C579" s="406">
        <f>IF(ISERROR($C571/$C575/12),0,$C571/$C575/12)</f>
        <v>0</v>
      </c>
      <c r="D579" s="295"/>
      <c r="E579" s="112"/>
      <c r="I579"/>
      <c r="J579"/>
      <c r="K579"/>
      <c r="L579"/>
      <c r="M579"/>
      <c r="N579"/>
      <c r="O579"/>
      <c r="P579"/>
      <c r="Q579"/>
    </row>
    <row r="580" spans="1:17" ht="12.75">
      <c r="A580" s="296"/>
      <c r="B580" s="297"/>
      <c r="C580" s="298"/>
      <c r="D580" s="297"/>
      <c r="E580" s="112"/>
      <c r="I580"/>
      <c r="J580"/>
      <c r="K580"/>
      <c r="L580"/>
      <c r="M580"/>
      <c r="N580"/>
      <c r="O580"/>
      <c r="P580"/>
      <c r="Q580"/>
    </row>
    <row r="581" spans="1:17" ht="12.75">
      <c r="A581" s="296"/>
      <c r="B581" s="297"/>
      <c r="C581" s="298"/>
      <c r="D581" s="297"/>
      <c r="E581" s="112"/>
      <c r="I581"/>
      <c r="J581"/>
      <c r="K581"/>
      <c r="L581"/>
      <c r="M581"/>
      <c r="N581"/>
      <c r="O581"/>
      <c r="P581"/>
      <c r="Q581"/>
    </row>
    <row r="582" spans="1:17" ht="51.75" thickBot="1">
      <c r="A582" s="132"/>
      <c r="B582" s="283" t="s">
        <v>104</v>
      </c>
      <c r="C582" s="283" t="s">
        <v>188</v>
      </c>
      <c r="D582" s="283" t="s">
        <v>103</v>
      </c>
      <c r="E582" s="112"/>
      <c r="I582"/>
      <c r="J582"/>
      <c r="K582"/>
      <c r="L582"/>
      <c r="M582"/>
      <c r="N582"/>
      <c r="O582"/>
      <c r="P582"/>
      <c r="Q582"/>
    </row>
    <row r="583" spans="1:17" ht="15">
      <c r="A583" s="481" t="s">
        <v>221</v>
      </c>
      <c r="B583" s="30"/>
      <c r="C583" s="30"/>
      <c r="E583" s="112"/>
      <c r="I583"/>
      <c r="J583"/>
      <c r="K583"/>
      <c r="L583"/>
      <c r="M583"/>
      <c r="N583"/>
      <c r="O583"/>
      <c r="P583"/>
      <c r="Q583"/>
    </row>
    <row r="584" spans="1:17" ht="12.75">
      <c r="A584" s="109" t="s">
        <v>99</v>
      </c>
      <c r="B584" s="290"/>
      <c r="C584" s="290"/>
      <c r="D584" s="407">
        <f>+G80</f>
        <v>0</v>
      </c>
      <c r="I584"/>
      <c r="J584"/>
      <c r="K584"/>
      <c r="L584"/>
      <c r="M584"/>
      <c r="N584"/>
      <c r="O584"/>
      <c r="P584"/>
      <c r="Q584"/>
    </row>
    <row r="585" spans="1:17" ht="9.75" customHeight="1">
      <c r="A585" s="112"/>
      <c r="B585" s="284"/>
      <c r="C585" s="284"/>
      <c r="D585" s="285"/>
      <c r="I585"/>
      <c r="J585"/>
      <c r="K585"/>
      <c r="L585"/>
      <c r="M585"/>
      <c r="N585"/>
      <c r="O585"/>
      <c r="P585"/>
      <c r="Q585"/>
    </row>
    <row r="586" spans="1:17" ht="12.75">
      <c r="A586" s="109" t="s">
        <v>102</v>
      </c>
      <c r="B586" s="479">
        <v>1</v>
      </c>
      <c r="C586" s="479">
        <f>1-B586</f>
        <v>0</v>
      </c>
      <c r="D586" s="291">
        <f>B586+C586</f>
        <v>1</v>
      </c>
      <c r="I586"/>
      <c r="J586"/>
      <c r="K586"/>
      <c r="L586"/>
      <c r="M586"/>
      <c r="N586"/>
      <c r="O586"/>
      <c r="P586"/>
      <c r="Q586"/>
    </row>
    <row r="587" spans="1:17" ht="12.75">
      <c r="A587" s="112"/>
      <c r="B587" s="286"/>
      <c r="C587" s="286"/>
      <c r="D587" s="286"/>
      <c r="E587" s="280"/>
      <c r="F587" s="280"/>
      <c r="G587" s="280"/>
      <c r="I587"/>
      <c r="J587"/>
      <c r="K587"/>
      <c r="L587"/>
      <c r="M587"/>
      <c r="N587"/>
      <c r="O587"/>
      <c r="P587"/>
      <c r="Q587"/>
    </row>
    <row r="588" spans="1:17" ht="12.75">
      <c r="A588" s="109" t="s">
        <v>105</v>
      </c>
      <c r="B588" s="402">
        <f>$B586*$D584</f>
        <v>0</v>
      </c>
      <c r="C588" s="402">
        <f>C586*D584</f>
        <v>0</v>
      </c>
      <c r="D588" s="402">
        <f>SUM(B588:C588)</f>
        <v>0</v>
      </c>
      <c r="I588"/>
      <c r="J588"/>
      <c r="K588"/>
      <c r="L588"/>
      <c r="M588"/>
      <c r="N588"/>
      <c r="O588"/>
      <c r="P588"/>
      <c r="Q588"/>
    </row>
    <row r="589" spans="1:17" ht="12.75">
      <c r="A589" s="112"/>
      <c r="B589" s="287"/>
      <c r="C589" s="287"/>
      <c r="D589" s="287"/>
      <c r="E589" s="112"/>
      <c r="I589"/>
      <c r="J589"/>
      <c r="K589"/>
      <c r="L589"/>
      <c r="M589"/>
      <c r="N589"/>
      <c r="O589"/>
      <c r="P589"/>
      <c r="Q589"/>
    </row>
    <row r="590" spans="1:17" ht="12.75">
      <c r="A590" s="109" t="s">
        <v>151</v>
      </c>
      <c r="B590" s="293">
        <f>+B80</f>
        <v>39</v>
      </c>
      <c r="C590" s="292"/>
      <c r="D590" s="292"/>
      <c r="E590" s="112"/>
      <c r="I590"/>
      <c r="J590"/>
      <c r="K590"/>
      <c r="L590"/>
      <c r="M590"/>
      <c r="N590"/>
      <c r="O590"/>
      <c r="P590"/>
      <c r="Q590"/>
    </row>
    <row r="591" spans="1:17" ht="12.75">
      <c r="A591" s="112"/>
      <c r="B591" s="288"/>
      <c r="C591" s="287"/>
      <c r="D591" s="287"/>
      <c r="E591" s="112"/>
      <c r="I591"/>
      <c r="J591"/>
      <c r="K591"/>
      <c r="L591"/>
      <c r="M591"/>
      <c r="N591"/>
      <c r="O591"/>
      <c r="P591"/>
      <c r="Q591"/>
    </row>
    <row r="592" spans="1:17" ht="12.75">
      <c r="A592" s="109" t="s">
        <v>101</v>
      </c>
      <c r="B592" s="292"/>
      <c r="C592" s="293">
        <f>+D80</f>
        <v>9</v>
      </c>
      <c r="D592" s="292"/>
      <c r="E592" s="112"/>
      <c r="I592"/>
      <c r="J592"/>
      <c r="K592"/>
      <c r="L592"/>
      <c r="M592"/>
      <c r="N592"/>
      <c r="O592"/>
      <c r="P592"/>
      <c r="Q592"/>
    </row>
    <row r="593" spans="1:17" ht="13.5" customHeight="1">
      <c r="A593" s="112"/>
      <c r="B593" s="287"/>
      <c r="C593" s="288"/>
      <c r="D593" s="287"/>
      <c r="E593" s="112"/>
      <c r="I593"/>
      <c r="J593"/>
      <c r="K593"/>
      <c r="L593"/>
      <c r="M593"/>
      <c r="N593"/>
      <c r="O593"/>
      <c r="P593"/>
      <c r="Q593"/>
    </row>
    <row r="594" spans="1:17" ht="12.75">
      <c r="A594" s="109" t="s">
        <v>161</v>
      </c>
      <c r="B594" s="403">
        <f>IF(ISERROR($B588/$B590),0,$B588/$B590)</f>
        <v>0</v>
      </c>
      <c r="C594" s="403"/>
      <c r="D594" s="294"/>
      <c r="E594" s="112"/>
      <c r="I594"/>
      <c r="J594"/>
      <c r="K594"/>
      <c r="L594"/>
      <c r="M594"/>
      <c r="N594"/>
      <c r="O594"/>
      <c r="P594"/>
      <c r="Q594"/>
    </row>
    <row r="595" spans="1:17" ht="13.5" customHeight="1">
      <c r="A595" s="112"/>
      <c r="B595" s="404"/>
      <c r="C595" s="404"/>
      <c r="D595" s="289"/>
      <c r="E595" s="112"/>
      <c r="I595"/>
      <c r="J595"/>
      <c r="K595"/>
      <c r="L595"/>
      <c r="M595"/>
      <c r="N595"/>
      <c r="O595"/>
      <c r="P595"/>
      <c r="Q595"/>
    </row>
    <row r="596" spans="1:17" ht="12.75">
      <c r="A596" s="109" t="s">
        <v>160</v>
      </c>
      <c r="B596" s="405"/>
      <c r="C596" s="406">
        <f>IF(ISERROR($C588/$C592/12),0,$C588/$C592/12)</f>
        <v>0</v>
      </c>
      <c r="D596" s="295"/>
      <c r="E596" s="112"/>
      <c r="I596"/>
      <c r="J596"/>
      <c r="K596"/>
      <c r="L596"/>
      <c r="M596"/>
      <c r="N596"/>
      <c r="O596"/>
      <c r="P596"/>
      <c r="Q596"/>
    </row>
    <row r="597" spans="1:17" ht="13.5" customHeight="1">
      <c r="A597" s="296"/>
      <c r="B597" s="482"/>
      <c r="C597" s="483"/>
      <c r="D597" s="297"/>
      <c r="E597" s="112"/>
      <c r="I597"/>
      <c r="J597"/>
      <c r="K597"/>
      <c r="L597"/>
      <c r="M597"/>
      <c r="N597"/>
      <c r="O597"/>
      <c r="P597"/>
      <c r="Q597"/>
    </row>
    <row r="598" spans="1:17" ht="7.5" customHeight="1">
      <c r="A598" s="296"/>
      <c r="B598" s="482"/>
      <c r="C598" s="483"/>
      <c r="D598" s="297"/>
      <c r="E598" s="112"/>
      <c r="I598"/>
      <c r="J598"/>
      <c r="K598"/>
      <c r="L598"/>
      <c r="M598"/>
      <c r="N598"/>
      <c r="O598"/>
      <c r="P598"/>
      <c r="Q598"/>
    </row>
    <row r="599" spans="1:17" ht="13.5" customHeight="1">
      <c r="A599" s="54" t="s">
        <v>107</v>
      </c>
      <c r="E599" s="112"/>
      <c r="I599"/>
      <c r="J599"/>
      <c r="K599"/>
      <c r="L599"/>
      <c r="M599"/>
      <c r="N599"/>
      <c r="O599"/>
      <c r="P599"/>
      <c r="Q599"/>
    </row>
    <row r="600" spans="1:17" ht="7.5" customHeight="1">
      <c r="A600" s="54"/>
      <c r="E600" s="112"/>
      <c r="I600"/>
      <c r="J600"/>
      <c r="K600"/>
      <c r="L600"/>
      <c r="M600"/>
      <c r="N600"/>
      <c r="O600"/>
      <c r="P600"/>
      <c r="Q600"/>
    </row>
    <row r="601" spans="1:17" ht="15">
      <c r="A601" s="132"/>
      <c r="E601" s="112"/>
      <c r="I601"/>
      <c r="J601"/>
      <c r="K601"/>
      <c r="L601"/>
      <c r="M601"/>
      <c r="N601"/>
      <c r="O601"/>
      <c r="P601"/>
      <c r="Q601"/>
    </row>
    <row r="602" spans="1:4" ht="51.75" thickBot="1">
      <c r="A602" s="132"/>
      <c r="B602" s="283" t="s">
        <v>104</v>
      </c>
      <c r="C602" s="283" t="s">
        <v>188</v>
      </c>
      <c r="D602" s="283" t="s">
        <v>103</v>
      </c>
    </row>
    <row r="603" spans="1:3" ht="15">
      <c r="A603" s="132"/>
      <c r="B603" s="30"/>
      <c r="C603" s="30"/>
    </row>
    <row r="604" spans="1:4" ht="12.75">
      <c r="A604" s="109" t="s">
        <v>99</v>
      </c>
      <c r="B604" s="290"/>
      <c r="C604" s="290"/>
      <c r="D604" s="407">
        <f>+G29</f>
        <v>0</v>
      </c>
    </row>
    <row r="605" spans="1:4" ht="12.75">
      <c r="A605" s="112"/>
      <c r="B605" s="284"/>
      <c r="C605" s="284"/>
      <c r="D605" s="285"/>
    </row>
    <row r="606" spans="1:4" ht="12.75">
      <c r="A606" s="109" t="s">
        <v>102</v>
      </c>
      <c r="B606" s="479">
        <v>1</v>
      </c>
      <c r="C606" s="479">
        <f>1-B606</f>
        <v>0</v>
      </c>
      <c r="D606" s="291">
        <f>B606+C606</f>
        <v>1</v>
      </c>
    </row>
    <row r="607" spans="1:4" ht="12.75">
      <c r="A607" s="112"/>
      <c r="B607" s="286"/>
      <c r="C607" s="286"/>
      <c r="D607" s="286"/>
    </row>
    <row r="608" spans="1:4" ht="12.75">
      <c r="A608" s="109" t="s">
        <v>105</v>
      </c>
      <c r="B608" s="402">
        <f>$B606*$D604</f>
        <v>0</v>
      </c>
      <c r="C608" s="402">
        <f>C606*D604</f>
        <v>0</v>
      </c>
      <c r="D608" s="402">
        <f>SUM(B608:C608)</f>
        <v>0</v>
      </c>
    </row>
    <row r="609" spans="1:4" ht="12.75">
      <c r="A609" s="112"/>
      <c r="B609" s="287"/>
      <c r="C609" s="287"/>
      <c r="D609" s="287"/>
    </row>
    <row r="610" spans="1:4" ht="12.75">
      <c r="A610" s="109" t="s">
        <v>151</v>
      </c>
      <c r="B610" s="293">
        <f>+B29</f>
        <v>22225</v>
      </c>
      <c r="C610" s="292"/>
      <c r="D610" s="292"/>
    </row>
    <row r="611" spans="1:4" ht="12.75">
      <c r="A611" s="112"/>
      <c r="B611" s="288"/>
      <c r="C611" s="287"/>
      <c r="D611" s="287"/>
    </row>
    <row r="612" spans="1:4" ht="12.75">
      <c r="A612" s="109" t="s">
        <v>101</v>
      </c>
      <c r="B612" s="292"/>
      <c r="C612" s="293">
        <f>+D29</f>
        <v>1</v>
      </c>
      <c r="D612" s="292"/>
    </row>
    <row r="613" spans="1:4" ht="12.75">
      <c r="A613" s="112"/>
      <c r="B613" s="287"/>
      <c r="C613" s="288"/>
      <c r="D613" s="287"/>
    </row>
    <row r="614" spans="1:4" ht="12.75">
      <c r="A614" s="109" t="s">
        <v>161</v>
      </c>
      <c r="B614" s="403">
        <f>IF(ISERROR($B608/$B610),0,$B608/$B610)</f>
        <v>0</v>
      </c>
      <c r="C614" s="403"/>
      <c r="D614" s="294"/>
    </row>
    <row r="615" spans="1:4" ht="12.75">
      <c r="A615" s="112"/>
      <c r="B615" s="404"/>
      <c r="C615" s="404"/>
      <c r="D615" s="289"/>
    </row>
    <row r="616" spans="1:4" ht="12.75">
      <c r="A616" s="109" t="s">
        <v>160</v>
      </c>
      <c r="B616" s="405"/>
      <c r="C616" s="406">
        <f>IF(ISERROR($C608/$C612/12),0,$C608/$C612/12)</f>
        <v>0</v>
      </c>
      <c r="D616" s="295"/>
    </row>
    <row r="617" ht="12.75"/>
    <row r="618" ht="12.75"/>
    <row r="619" ht="12.75"/>
    <row r="620" ht="12.75"/>
    <row r="621" ht="12.75"/>
    <row r="622" ht="12.75"/>
    <row r="623" ht="12.75"/>
    <row r="624" ht="12.75"/>
    <row r="625" ht="12.75"/>
    <row r="626" ht="12.75"/>
    <row r="627" ht="12.75"/>
    <row r="628" ht="12.75"/>
    <row r="629" ht="12.75"/>
  </sheetData>
  <sheetProtection/>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75" r:id="rId1"/>
  <headerFooter alignWithMargins="0">
    <oddHeader>&amp;R&amp;P of &amp;N</oddHeader>
  </headerFooter>
  <rowBreaks count="11" manualBreakCount="11">
    <brk id="35" max="255" man="1"/>
    <brk id="81" max="255" man="1"/>
    <brk id="135" max="255" man="1"/>
    <brk id="186" max="255" man="1"/>
    <brk id="237" max="255" man="1"/>
    <brk id="271" max="255" man="1"/>
    <brk id="406" max="255" man="1"/>
    <brk id="461" max="255" man="1"/>
    <brk id="512" max="255" man="1"/>
    <brk id="563" max="255" man="1"/>
    <brk id="5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Andrya Eagen</cp:lastModifiedBy>
  <cp:lastPrinted>2006-02-21T21:20:22Z</cp:lastPrinted>
  <dcterms:created xsi:type="dcterms:W3CDTF">2001-10-05T18:25:02Z</dcterms:created>
  <dcterms:modified xsi:type="dcterms:W3CDTF">2012-03-22T20:26:11Z</dcterms:modified>
  <cp:category/>
  <cp:version/>
  <cp:contentType/>
  <cp:contentStatus/>
</cp:coreProperties>
</file>