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48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<sst xmlns="http://schemas.openxmlformats.org/spreadsheetml/2006/main" count="885" uniqueCount="508">
  <si>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</si>
  <si>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</si>
  <si>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</si>
  <si>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</si>
  <si>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</si>
  <si>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</si>
  <si>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</si>
  <si>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</si>
  <si>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</si>
  <si>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</si>
  <si>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</si>
  <si>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</si>
  <si>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</si>
  <si>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</si>
  <si>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</si>
  <si>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</si>
  <si>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</si>
  <si>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</si>
  <si>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</si>
  <si>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</si>
  <si>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</si>
  <si>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</si>
  <si>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</si>
  <si>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</si>
  <si>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</si>
  <si>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</si>
  <si>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</si>
  <si>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</si>
  <si>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</si>
  <si>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</si>
  <si>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</si>
  <si>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</si>
  <si>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</si>
  <si>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</si>
  <si>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</si>
  <si>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</si>
  <si>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</si>
  <si>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</si>
  <si>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</si>
  <si>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</si>
  <si>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</si>
  <si>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</si>
  <si>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</si>
  <si>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</si>
  <si>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</si>
  <si>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</si>
  <si>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</si>
  <si>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</si>
  <si>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</si>
  <si>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</si>
  <si>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</si>
  <si>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</si>
  <si>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</si>
  <si>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</si>
  <si>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</si>
  <si>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</si>
  <si>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</si>
  <si>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</si>
  <si>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</si>
  <si>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</si>
  <si>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</si>
  <si>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</si>
  <si>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</si>
  <si>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</si>
  <si>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</si>
  <si>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</si>
  <si>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</si>
  <si>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</si>
  <si>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</si>
  <si>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</si>
  <si>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</si>
  <si>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</si>
  <si>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</si>
  <si>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</si>
  <si>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</si>
  <si>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</si>
  <si>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</si>
  <si>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</si>
  <si>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</si>
  <si>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</si>
  <si>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</si>
  <si>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</si>
  <si>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</si>
  <si>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</si>
  <si>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</si>
  <si>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</si>
  <si>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</si>
  <si>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</si>
  <si>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</si>
  <si>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</si>
  <si>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</si>
  <si>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</si>
  <si>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</si>
  <si>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</si>
  <si>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</si>
  <si>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</si>
  <si>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</si>
  <si>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</si>
  <si>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</si>
  <si>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</si>
  <si>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</si>
  <si>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</si>
  <si>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</si>
  <si>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</si>
  <si>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</si>
  <si>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</si>
  <si>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</si>
  <si>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</si>
  <si>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</si>
  <si>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</si>
  <si>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</si>
  <si>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</si>
  <si>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</si>
  <si>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</si>
  <si>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</si>
  <si>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</si>
  <si>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</si>
  <si>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</si>
  <si>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</si>
  <si>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</si>
  <si>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</si>
  <si>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</si>
  <si>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</si>
  <si>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</si>
  <si>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</si>
  <si>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</si>
  <si>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</si>
  <si>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</si>
  <si>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</si>
  <si>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</si>
  <si>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</si>
  <si>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</si>
  <si>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</si>
  <si>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</si>
  <si>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</si>
  <si>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</si>
  <si>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</si>
  <si>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</si>
  <si>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</si>
  <si>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</si>
  <si>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</si>
  <si>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</si>
  <si>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</si>
  <si>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</si>
  <si>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</si>
  <si>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</si>
  <si>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</si>
  <si>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</si>
  <si>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</si>
  <si>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</si>
  <si>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</si>
  <si>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</si>
  <si>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</si>
  <si>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</si>
  <si>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</si>
  <si>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</si>
  <si>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</si>
  <si>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</si>
  <si>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</si>
  <si>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</si>
  <si>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</si>
  <si>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</si>
  <si>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</si>
  <si>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</si>
  <si>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</si>
  <si>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</si>
  <si>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</si>
  <si>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</si>
  <si>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</si>
  <si>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</si>
  <si>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</si>
  <si>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</si>
  <si>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</si>
  <si>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</si>
  <si>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</si>
  <si>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</si>
  <si>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</si>
  <si>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</si>
  <si>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</si>
  <si>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</si>
  <si>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</si>
  <si>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</si>
  <si>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</si>
  <si>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</si>
  <si>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</si>
  <si>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</si>
  <si>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</si>
  <si>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</si>
  <si>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</si>
  <si>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</si>
  <si>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</si>
  <si>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</si>
  <si>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</si>
  <si>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</si>
  <si>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</si>
  <si>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</si>
  <si>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</si>
  <si>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</si>
  <si>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</si>
  <si>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</si>
  <si>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</si>
  <si>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</si>
  <si>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</si>
  <si>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</si>
  <si>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</si>
  <si>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</si>
  <si>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</si>
  <si>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</si>
  <si>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</si>
  <si>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</si>
  <si>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</si>
  <si>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</si>
  <si>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</si>
  <si>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</si>
  <si>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</si>
  <si>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</si>
  <si>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</si>
  <si>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</si>
  <si>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</si>
  <si>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</si>
  <si>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</si>
  <si>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</si>
  <si>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</si>
  <si>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</si>
  <si>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</si>
  <si>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</si>
  <si>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</si>
  <si>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</si>
  <si>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</si>
  <si>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</si>
  <si>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</si>
  <si>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</si>
  <si>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</si>
  <si>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</si>
  <si>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</si>
  <si>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</si>
  <si>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</si>
  <si>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</si>
  <si>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</si>
  <si>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</si>
  <si>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</si>
  <si>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</si>
  <si>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</si>
  <si>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</si>
  <si>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</si>
  <si>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</si>
  <si>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</si>
  <si>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</si>
  <si>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</si>
  <si>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</si>
  <si>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</si>
  <si>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</si>
  <si>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</si>
  <si>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</si>
  <si>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</si>
  <si>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</si>
  <si>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</si>
  <si>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</si>
  <si>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</si>
  <si>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</si>
  <si>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</si>
  <si>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</si>
  <si>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</si>
  <si>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</si>
  <si>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</si>
  <si>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</si>
  <si>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</si>
  <si>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</si>
  <si>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</si>
  <si>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</si>
  <si>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</si>
  <si>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</si>
  <si>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</si>
  <si>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</si>
  <si>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</si>
  <si>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</si>
  <si>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</si>
  <si>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</si>
  <si>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</si>
  <si>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</si>
  <si>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</si>
  <si>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</si>
  <si>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</si>
  <si>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</si>
  <si>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</si>
  <si>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</si>
  <si>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</si>
  <si>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</si>
  <si>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</si>
  <si>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</si>
  <si>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</si>
  <si>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</si>
  <si>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</si>
  <si>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</si>
  <si>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</si>
  <si>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</si>
  <si>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</si>
  <si>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</si>
  <si>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</si>
  <si>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</si>
  <si>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</si>
  <si>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</si>
  <si>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</si>
  <si>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</si>
  <si>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</si>
  <si>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</si>
  <si>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</si>
  <si>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</si>
  <si>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</si>
  <si>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</si>
  <si>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</si>
  <si>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</si>
  <si>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</si>
  <si>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</si>
  <si>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</si>
  <si>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</si>
  <si>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</si>
  <si>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</si>
  <si>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</si>
  <si>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</si>
  <si>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</si>
  <si>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</si>
  <si>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</si>
  <si>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</si>
  <si>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</si>
  <si>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</si>
  <si>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</si>
  <si>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</si>
  <si>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</si>
  <si>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</si>
  <si>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</si>
  <si>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</si>
  <si>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</si>
  <si>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</si>
  <si>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</si>
  <si>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</si>
  <si>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</si>
  <si>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</si>
  <si>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</si>
  <si>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</si>
  <si>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</si>
  <si>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</si>
  <si>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</si>
  <si>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</si>
  <si>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</si>
  <si>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</si>
  <si>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</si>
  <si>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</si>
  <si>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</si>
  <si>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</si>
  <si>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</si>
  <si>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</si>
  <si>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</si>
  <si>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</si>
  <si>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</si>
  <si>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</si>
  <si>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</si>
  <si>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</si>
  <si>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</si>
  <si>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</si>
  <si>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</si>
  <si>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</si>
  <si>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</si>
  <si>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</si>
  <si>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</si>
  <si>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</si>
  <si>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</si>
  <si>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</si>
  <si>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</si>
  <si>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</si>
  <si>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</si>
  <si>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</si>
  <si>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</si>
  <si>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</si>
  <si>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</si>
  <si>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</si>
  <si>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</si>
  <si>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</si>
  <si>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</si>
  <si>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</si>
  <si>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</si>
  <si>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</si>
  <si>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</si>
  <si>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</si>
  <si>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</si>
  <si>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</si>
  <si>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</si>
  <si>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</si>
  <si>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</si>
  <si>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</si>
  <si>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</si>
  <si>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</si>
  <si>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</si>
  <si>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</si>
  <si>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</si>
  <si>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</si>
  <si>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</si>
  <si>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</si>
  <si>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</si>
  <si>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</si>
  <si>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</si>
  <si>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</si>
  <si>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</si>
  <si>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</si>
  <si>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</si>
  <si>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</si>
  <si>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</si>
  <si>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</si>
  <si>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</si>
  <si>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</si>
  <si>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</si>
  <si>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</si>
  <si>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</si>
  <si>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</si>
  <si>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</si>
  <si>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</si>
  <si>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</si>
  <si>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</si>
  <si>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</si>
  <si>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</si>
  <si>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</si>
  <si>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</si>
  <si>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</si>
  <si>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</si>
  <si>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</si>
  <si>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</si>
  <si>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</si>
  <si>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</si>
  <si>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</si>
  <si>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</si>
  <si>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</si>
  <si>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</si>
  <si>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</si>
  <si>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</si>
  <si>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</si>
  <si>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</si>
  <si>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</si>
  <si>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</si>
  <si>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</si>
  <si>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</si>
  <si>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</si>
  <si>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</si>
  <si>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</si>
  <si>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</si>
  <si>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</si>
  <si>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</si>
  <si>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</si>
  <si>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</si>
  <si>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</si>
  <si>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</si>
  <si>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</si>
  <si>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</si>
  <si>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</si>
  <si>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</si>
  <si>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</si>
  <si>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</si>
  <si>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</si>
  <si>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</si>
  <si>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</si>
  <si>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</si>
  <si>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</si>
  <si>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</si>
  <si>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</si>
  <si>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</si>
  <si>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</si>
  <si>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</si>
  <si>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</si>
  <si>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</si>
  <si>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</si>
  <si>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</si>
  <si>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</si>
  <si>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</si>
  <si>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</si>
  <si>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</si>
  <si>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</si>
  <si>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</si>
  <si>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</si>
  <si>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</si>
  <si>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</si>
  <si>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</si>
  <si>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</si>
  <si>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</si>
  <si>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</si>
  <si>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</si>
  <si>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</si>
  <si>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</si>
  <si>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</si>
  <si>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</si>
  <si>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</si>
  <si>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</si>
  <si>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</si>
  <si>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</si>
  <si>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PILs TAXES - ED-2002-0511</t>
  </si>
  <si>
    <t>Y</t>
  </si>
  <si>
    <t>N</t>
  </si>
  <si>
    <t xml:space="preserve">     Distribution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</si>
  <si>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</si>
  <si>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r>
      <t xml:space="preserve">Income Tax Rate used for gross- up </t>
    </r>
    <r>
      <rPr>
        <strike/>
        <sz val="10"/>
        <rFont val="Arial"/>
        <family val="2"/>
      </rPr>
      <t>(exclude surtax)</t>
    </r>
  </si>
  <si>
    <t xml:space="preserve">Balances with application PILs proxy model approved by the Board </t>
  </si>
  <si>
    <t>Centre Wellington Hydro Ltd.</t>
  </si>
  <si>
    <t>Deemed Interest</t>
  </si>
  <si>
    <t>Net Taxable income per sheet</t>
  </si>
  <si>
    <t>Add back Unrealized income</t>
  </si>
  <si>
    <t xml:space="preserve">  Taxable income before Unrealized Income</t>
  </si>
  <si>
    <t>Less:Small Business Deduction</t>
  </si>
  <si>
    <t>Revised Net Taxable income</t>
  </si>
  <si>
    <t>Unrealized Revenue</t>
  </si>
  <si>
    <t>Effective Tax Rate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</si>
</sst>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16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0" fontId="0" fillId="35" borderId="0" xfId="0" applyNumberFormat="1" applyFill="1" applyAlignment="1">
      <alignment vertical="top"/>
    </xf>
    <xf numFmtId="37" fontId="0" fillId="35" borderId="0" xfId="0" applyNumberFormat="1" applyFill="1" applyAlignment="1">
      <alignment vertical="top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/>
    </xf>
    <xf numFmtId="1" fontId="0" fillId="35" borderId="0" xfId="0" applyNumberFormat="1" applyFill="1" applyAlignment="1">
      <alignment horizontal="center" vertical="top"/>
    </xf>
    <xf numFmtId="1" fontId="0" fillId="36" borderId="14" xfId="0" applyNumberFormat="1" applyFill="1" applyBorder="1" applyAlignment="1" applyProtection="1">
      <alignment horizontal="center" vertical="top"/>
      <protection locked="0"/>
    </xf>
    <xf numFmtId="1" fontId="0" fillId="35" borderId="14" xfId="0" applyNumberFormat="1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>
      <alignment/>
    </xf>
    <xf numFmtId="9" fontId="0" fillId="35" borderId="0" xfId="0" applyNumberFormat="1" applyFill="1" applyAlignment="1">
      <alignment horizontal="center" vertical="top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46" xfId="0" applyNumberFormat="1" applyFill="1" applyBorder="1" applyAlignment="1" applyProtection="1">
      <alignment horizontal="center" vertical="center"/>
      <protection locked="0"/>
    </xf>
    <xf numFmtId="3" fontId="0" fillId="36" borderId="14" xfId="0" applyNumberFormat="1" applyFill="1" applyBorder="1" applyAlignment="1">
      <alignment horizontal="right" vertical="top"/>
    </xf>
    <xf numFmtId="1" fontId="0" fillId="35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6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6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3" fontId="0" fillId="42" borderId="14" xfId="0" applyNumberFormat="1" applyFill="1" applyBorder="1" applyAlignment="1" applyProtection="1">
      <alignment vertical="top"/>
      <protection/>
    </xf>
    <xf numFmtId="178" fontId="0" fillId="35" borderId="14" xfId="0" applyNumberFormat="1" applyFill="1" applyBorder="1" applyAlignment="1" applyProtection="1" quotePrefix="1">
      <alignment horizontal="right" vertical="top"/>
      <protection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499</v>
      </c>
      <c r="C3" s="8"/>
      <c r="D3" s="449" t="s">
        <v>438</v>
      </c>
      <c r="E3" s="8"/>
      <c r="F3" s="8"/>
      <c r="G3" s="8"/>
      <c r="H3" s="8"/>
    </row>
    <row r="4" spans="1:8" ht="12.75">
      <c r="A4" s="2" t="s">
        <v>461</v>
      </c>
      <c r="C4" s="8"/>
      <c r="D4" s="448" t="s">
        <v>433</v>
      </c>
      <c r="E4" s="423"/>
      <c r="H4" s="8"/>
    </row>
    <row r="5" spans="1:8" ht="12.75">
      <c r="A5" s="52"/>
      <c r="C5" s="8"/>
      <c r="D5" s="447" t="s">
        <v>434</v>
      </c>
      <c r="E5" s="398"/>
      <c r="H5" s="8"/>
    </row>
    <row r="6" spans="1:8" ht="12.75">
      <c r="A6" s="2" t="s">
        <v>126</v>
      </c>
      <c r="B6" s="476">
        <v>92</v>
      </c>
      <c r="C6" s="8" t="s">
        <v>127</v>
      </c>
      <c r="D6" s="21"/>
      <c r="H6" s="8"/>
    </row>
    <row r="7" spans="1:8" ht="13.5" thickBot="1">
      <c r="A7" s="52" t="s">
        <v>251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494</v>
      </c>
    </row>
    <row r="18" spans="1:4" ht="15" customHeight="1">
      <c r="A18" s="389" t="s">
        <v>309</v>
      </c>
      <c r="C18" s="8"/>
      <c r="D18" s="8"/>
    </row>
    <row r="19" spans="1:4" ht="15" customHeight="1">
      <c r="A19" s="502" t="s">
        <v>310</v>
      </c>
      <c r="B19" s="8" t="s">
        <v>307</v>
      </c>
      <c r="C19" s="8" t="s">
        <v>64</v>
      </c>
      <c r="D19" s="388" t="s">
        <v>494</v>
      </c>
    </row>
    <row r="20" spans="1:4" ht="13.5" thickBot="1">
      <c r="A20" s="503"/>
      <c r="B20" s="8" t="s">
        <v>308</v>
      </c>
      <c r="C20" s="8" t="s">
        <v>64</v>
      </c>
      <c r="D20" s="258" t="s">
        <v>494</v>
      </c>
    </row>
    <row r="21" spans="1:4" ht="12.75">
      <c r="A21" s="502" t="s">
        <v>306</v>
      </c>
      <c r="B21" s="8" t="s">
        <v>307</v>
      </c>
      <c r="C21" s="8"/>
      <c r="D21" s="480">
        <v>1</v>
      </c>
    </row>
    <row r="22" spans="1:4" ht="12.75">
      <c r="A22" s="502"/>
      <c r="B22" s="8" t="s">
        <v>308</v>
      </c>
      <c r="C22" s="8"/>
      <c r="D22" s="480">
        <v>1</v>
      </c>
    </row>
    <row r="23" spans="1:4" ht="7.5" customHeight="1">
      <c r="A23" s="45"/>
      <c r="C23" s="8"/>
      <c r="D23" s="388"/>
    </row>
    <row r="24" spans="1:4" ht="12.75">
      <c r="A24" s="45" t="s">
        <v>212</v>
      </c>
      <c r="C24" s="8" t="s">
        <v>213</v>
      </c>
      <c r="D24" s="421" t="s">
        <v>462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292</v>
      </c>
    </row>
    <row r="27" spans="1:5" ht="12.75">
      <c r="A27" s="256" t="s">
        <v>68</v>
      </c>
      <c r="C27" s="8"/>
      <c r="E27" s="439" t="s">
        <v>293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282</v>
      </c>
      <c r="D31" s="473">
        <v>8553726</v>
      </c>
      <c r="H31" s="5"/>
    </row>
    <row r="32" ht="6" customHeight="1"/>
    <row r="33" spans="1:8" ht="12.75">
      <c r="A33" t="s">
        <v>71</v>
      </c>
      <c r="D33" s="47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72">
        <v>0.0988</v>
      </c>
      <c r="H37" s="41"/>
    </row>
    <row r="38" ht="4.5" customHeight="1">
      <c r="H38" s="34"/>
    </row>
    <row r="39" spans="1:8" ht="12.75">
      <c r="A39" t="s">
        <v>74</v>
      </c>
      <c r="D39" s="47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555088</v>
      </c>
      <c r="E43" s="387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177538.63190000004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74">
        <v>4932</v>
      </c>
      <c r="E47" s="387">
        <f aca="true" t="shared" si="0" ref="E47:E53">D47</f>
        <v>4932</v>
      </c>
      <c r="H47" s="40"/>
      <c r="J47" s="5"/>
      <c r="K47" s="5"/>
    </row>
    <row r="48" spans="1:11" ht="12.75">
      <c r="A48" t="s">
        <v>285</v>
      </c>
      <c r="D48" s="474">
        <v>113427</v>
      </c>
      <c r="E48" s="387">
        <v>0</v>
      </c>
      <c r="F48" s="22"/>
      <c r="H48" s="40"/>
      <c r="J48" s="5"/>
      <c r="K48" s="5"/>
    </row>
    <row r="49" spans="1:11" ht="12.75">
      <c r="A49" t="s">
        <v>286</v>
      </c>
      <c r="D49" s="475">
        <v>0</v>
      </c>
      <c r="E49" s="387">
        <v>0</v>
      </c>
      <c r="F49" s="22"/>
      <c r="H49" s="40"/>
      <c r="J49" s="5"/>
      <c r="K49" s="5"/>
    </row>
    <row r="50" spans="1:11" ht="12.75">
      <c r="A50" t="s">
        <v>287</v>
      </c>
      <c r="D50" s="423"/>
      <c r="E50" s="387">
        <f t="shared" si="0"/>
        <v>0</v>
      </c>
      <c r="H50" s="40"/>
      <c r="J50" s="5"/>
      <c r="K50" s="5"/>
    </row>
    <row r="51" spans="1:11" ht="12.75">
      <c r="A51" t="s">
        <v>430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453</v>
      </c>
      <c r="D52" s="423"/>
      <c r="E52" s="387">
        <f t="shared" si="0"/>
        <v>0</v>
      </c>
      <c r="H52" s="40"/>
      <c r="J52" s="5"/>
      <c r="K52" s="5"/>
    </row>
    <row r="53" spans="4:11" ht="12.75">
      <c r="D53" s="423"/>
      <c r="E53" s="387">
        <f t="shared" si="0"/>
        <v>0</v>
      </c>
      <c r="H53" s="40"/>
      <c r="J53" s="5"/>
      <c r="K53" s="5"/>
    </row>
    <row r="54" spans="1:11" ht="12.75">
      <c r="A54" s="2" t="s">
        <v>288</v>
      </c>
      <c r="E54" s="254">
        <f>SUM(E43:E53)</f>
        <v>560020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52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3">
        <f>IF(D41&gt;0,(((D43+D47)/D41)*D62),0)</f>
        <v>237019.5563339171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3">
        <f>IF(D41&gt;0,(((D43+D47+D48)/D41)*D62),0)</f>
        <v>285025.7297139521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3">
        <f>IF(D41&gt;0,(((D43+D47+D48)/D41)*D62),0)</f>
        <v>285025.7297139521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3">
        <f>D62</f>
        <v>310072.5675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ED-2002-0511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455</v>
      </c>
      <c r="H1" s="210"/>
    </row>
    <row r="2" spans="1:8" ht="12.75">
      <c r="A2" s="211" t="s">
        <v>454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484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Centre Wellington Hydro Ltd.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7">
        <f>REGINFO!B6</f>
        <v>92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251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336</v>
      </c>
      <c r="B16" s="125">
        <v>1</v>
      </c>
      <c r="C16" s="260">
        <f>REGINFO!E54/12*3</f>
        <v>140005</v>
      </c>
      <c r="D16" s="17"/>
      <c r="E16" s="268">
        <f>G16-C16</f>
        <v>-276892.29000000004</v>
      </c>
      <c r="F16" s="3"/>
      <c r="G16" s="268">
        <f>TAXREC!E50</f>
        <v>-136887.29000000004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110693</v>
      </c>
      <c r="D20" s="18"/>
      <c r="E20" s="268">
        <f>G20-C20</f>
        <v>-3814</v>
      </c>
      <c r="F20" s="6"/>
      <c r="G20" s="268">
        <f>TAXREC!E61</f>
        <v>106879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259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258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260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2.75">
      <c r="A30" s="403" t="s">
        <v>386</v>
      </c>
      <c r="B30" s="127"/>
      <c r="C30" s="260"/>
      <c r="D30" s="18"/>
      <c r="E30" s="268">
        <f>G30-C30</f>
        <v>4350</v>
      </c>
      <c r="F30" s="6"/>
      <c r="G30" s="268">
        <f>TAXREC!E66</f>
        <v>4350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337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42391</v>
      </c>
      <c r="D33" s="132"/>
      <c r="E33" s="268">
        <f aca="true" t="shared" si="0" ref="E33:E42">G33-C33</f>
        <v>103146</v>
      </c>
      <c r="F33" s="6"/>
      <c r="G33" s="268">
        <f>TAXREC!E97+TAXREC!E98</f>
        <v>145537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261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REGINFO!D64/12*3</f>
        <v>59254.88908347927</v>
      </c>
      <c r="D37" s="132"/>
      <c r="E37" s="268">
        <f t="shared" si="0"/>
        <v>-59254.88908347927</v>
      </c>
      <c r="F37" s="6"/>
      <c r="G37" s="268">
        <f>TAXREC!E51</f>
        <v>0</v>
      </c>
      <c r="H37" s="151"/>
    </row>
    <row r="38" spans="1:8" ht="12.75">
      <c r="A38" s="155" t="s">
        <v>257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256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2.75">
      <c r="A48" s="403" t="s">
        <v>386</v>
      </c>
      <c r="B48" s="127"/>
      <c r="C48" s="260"/>
      <c r="D48" s="132"/>
      <c r="E48" s="268">
        <f>G48-C48</f>
        <v>0</v>
      </c>
      <c r="F48" s="6"/>
      <c r="G48" s="251">
        <f>TAXREC!E108</f>
        <v>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4">
        <f>C16+SUM(C20:C30)-SUM(C33:C48)</f>
        <v>149052.11091652073</v>
      </c>
      <c r="D50" s="102"/>
      <c r="E50" s="264">
        <f>E16+SUM(E20:E30)-SUM(E33:E48)</f>
        <v>-320247.40091652074</v>
      </c>
      <c r="F50" s="426"/>
      <c r="G50" s="264">
        <f>G16+SUM(G20:G30)-SUM(G33:G48)</f>
        <v>-171195.29000000004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331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335</v>
      </c>
      <c r="B53" s="127">
        <v>13</v>
      </c>
      <c r="C53" s="263">
        <f>IF($C$50&gt;'Tax Rates'!$E$11,'Tax Rates'!$F$16,IF($C$50&gt;'Tax Rates'!$C$11,'Tax Rates'!$E$16,'Tax Rates'!$C$16))</f>
        <v>0.3412</v>
      </c>
      <c r="D53" s="102"/>
      <c r="E53" s="269">
        <f>+G53-C53</f>
        <v>-0.01990000000000003</v>
      </c>
      <c r="F53" s="114"/>
      <c r="G53" s="467">
        <v>0.3213</v>
      </c>
      <c r="H53" s="151"/>
      <c r="I53" s="464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50856.580244716875</v>
      </c>
      <c r="D55" s="102"/>
      <c r="E55" s="268">
        <f>G55-C55</f>
        <v>-50856.580244716875</v>
      </c>
      <c r="F55" s="426" t="s">
        <v>361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361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50856.580244716875</v>
      </c>
      <c r="D60" s="133"/>
      <c r="E60" s="270">
        <f>+E55-E58</f>
        <v>-50856.580244716875</v>
      </c>
      <c r="F60" s="426" t="s">
        <v>361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8553726</v>
      </c>
      <c r="D66" s="102"/>
      <c r="E66" s="268">
        <f>G66-C66</f>
        <v>3738802</v>
      </c>
      <c r="F66" s="6"/>
      <c r="G66" s="268">
        <v>12292528</v>
      </c>
      <c r="H66" s="151"/>
      <c r="I66" s="469" t="s">
        <v>474</v>
      </c>
    </row>
    <row r="67" spans="1:10" ht="12.75">
      <c r="A67" s="152" t="s">
        <v>354</v>
      </c>
      <c r="B67" s="125">
        <v>16</v>
      </c>
      <c r="C67" s="261">
        <v>5000000</v>
      </c>
      <c r="D67" s="102"/>
      <c r="E67" s="268">
        <f>G67-C67</f>
        <v>0</v>
      </c>
      <c r="F67" s="6"/>
      <c r="G67" s="268">
        <f>'Tax Rates'!C57</f>
        <v>5000000</v>
      </c>
      <c r="H67" s="151"/>
      <c r="I67" s="469" t="s">
        <v>474</v>
      </c>
      <c r="J67" s="490"/>
    </row>
    <row r="68" spans="1:8" ht="12.75">
      <c r="A68" s="152" t="s">
        <v>42</v>
      </c>
      <c r="B68" s="125"/>
      <c r="C68" s="265">
        <f>IF((C66-C67)&gt;0,C66-C67,0)</f>
        <v>3553726</v>
      </c>
      <c r="D68" s="102"/>
      <c r="E68" s="268">
        <f>SUM(E66:E67)</f>
        <v>3738802</v>
      </c>
      <c r="F68" s="114"/>
      <c r="G68" s="265">
        <f>G66-G67</f>
        <v>7292528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355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311</v>
      </c>
      <c r="B72" s="125"/>
      <c r="C72" s="265">
        <f>IF(C68&gt;0,C68*C70,0)*0.25</f>
        <v>2665.2945</v>
      </c>
      <c r="D72" s="101"/>
      <c r="E72" s="268">
        <f>+G72-C72</f>
        <v>9012.158519178083</v>
      </c>
      <c r="F72" s="470"/>
      <c r="G72" s="265">
        <f>IF(G68&gt;0,((G68*G70*92/B10)+(G66*G70*61/B10)),0)</f>
        <v>11677.453019178083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8553726</v>
      </c>
      <c r="D75" s="102"/>
      <c r="E75" s="268">
        <f>+G75-C75</f>
        <v>3738801</v>
      </c>
      <c r="F75" s="6"/>
      <c r="G75" s="268">
        <v>12292527</v>
      </c>
      <c r="H75" s="151"/>
      <c r="I75" s="469" t="s">
        <v>474</v>
      </c>
    </row>
    <row r="76" spans="1:9" ht="12.75">
      <c r="A76" s="152" t="s">
        <v>354</v>
      </c>
      <c r="B76" s="125">
        <v>19</v>
      </c>
      <c r="C76" s="261">
        <v>10000000</v>
      </c>
      <c r="D76" s="18"/>
      <c r="E76" s="268">
        <f>+G76-C76</f>
        <v>0</v>
      </c>
      <c r="F76" s="6"/>
      <c r="G76" s="268">
        <v>10000000</v>
      </c>
      <c r="H76" s="151"/>
      <c r="I76" s="469" t="s">
        <v>474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3738801</v>
      </c>
      <c r="F77" s="114"/>
      <c r="G77" s="265">
        <f>G75-G76</f>
        <v>2292527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355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312</v>
      </c>
      <c r="B81" s="125"/>
      <c r="C81" s="265">
        <f>IF(C77&gt;0,C77*C79,0)*REGINFO!$B$6/REGINFO!$B$7</f>
        <v>0</v>
      </c>
      <c r="D81" s="102"/>
      <c r="E81" s="268">
        <f>+G81-C81</f>
        <v>2162.1984102739725</v>
      </c>
      <c r="F81" s="6"/>
      <c r="G81" s="265">
        <f>G77*G79*153/B10</f>
        <v>2162.1984102739725</v>
      </c>
      <c r="H81" s="151"/>
    </row>
    <row r="82" spans="1:8" ht="12.75">
      <c r="A82" s="152" t="s">
        <v>313</v>
      </c>
      <c r="B82" s="125">
        <v>21</v>
      </c>
      <c r="C82" s="300">
        <f>IF(C77&gt;0,IF(C60&gt;0,C50*'Tax Rates'!C20,0),0)</f>
        <v>0</v>
      </c>
      <c r="D82" s="102"/>
      <c r="E82" s="268">
        <f>+G82-C82</f>
        <v>0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2162.1984102739725</v>
      </c>
      <c r="F84" s="103"/>
      <c r="G84" s="265">
        <f>G81-G82</f>
        <v>2162.1984102739725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497</v>
      </c>
      <c r="B88" s="125"/>
      <c r="C88" s="263">
        <f>IF($C$50&gt;'Tax Rates'!$E$11,'Tax Rates'!$F$16,IF(AND($C$50&gt;='Tax Rates'!$C$11,$C$50&lt;='Tax Rates'!E11),'Tax Rates'!$E$16,'Tax Rates'!$C$16))</f>
        <v>0.3412</v>
      </c>
      <c r="D88" s="11"/>
      <c r="E88" s="114"/>
      <c r="F88" s="6"/>
      <c r="G88" s="198"/>
      <c r="H88" s="151"/>
      <c r="I88" s="415" t="s">
        <v>498</v>
      </c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362</v>
      </c>
      <c r="B90" s="127">
        <v>22</v>
      </c>
      <c r="C90" s="265">
        <f>C60/(1-C88)</f>
        <v>77195.78057789446</v>
      </c>
      <c r="D90" s="20"/>
      <c r="E90" s="139"/>
      <c r="F90" s="425" t="s">
        <v>463</v>
      </c>
      <c r="G90" s="271">
        <f>TAXREC!E156</f>
        <v>0</v>
      </c>
      <c r="H90" s="151"/>
    </row>
    <row r="91" spans="1:8" ht="12.75">
      <c r="A91" s="158" t="s">
        <v>363</v>
      </c>
      <c r="B91" s="127">
        <v>23</v>
      </c>
      <c r="C91" s="265">
        <f>C84/(1-C88)</f>
        <v>0</v>
      </c>
      <c r="D91" s="20"/>
      <c r="E91" s="139"/>
      <c r="F91" s="425" t="s">
        <v>463</v>
      </c>
      <c r="G91" s="271">
        <f>TAXREC!E158</f>
        <v>0</v>
      </c>
      <c r="H91" s="151"/>
    </row>
    <row r="92" spans="1:8" ht="12.75">
      <c r="A92" s="158" t="s">
        <v>342</v>
      </c>
      <c r="B92" s="127">
        <v>24</v>
      </c>
      <c r="C92" s="265">
        <f>C72</f>
        <v>2665.2945</v>
      </c>
      <c r="D92" s="20"/>
      <c r="E92" s="139"/>
      <c r="F92" s="425" t="s">
        <v>463</v>
      </c>
      <c r="G92" s="271">
        <f>TAXREC!E157</f>
        <v>5514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464</v>
      </c>
      <c r="B95" s="125">
        <v>25</v>
      </c>
      <c r="C95" s="270">
        <f>SUM(C90:C93)</f>
        <v>79861.07507789446</v>
      </c>
      <c r="D95" s="6"/>
      <c r="E95" s="139"/>
      <c r="F95" s="425" t="s">
        <v>463</v>
      </c>
      <c r="G95" s="413">
        <f>SUM(G90:G94)</f>
        <v>5514</v>
      </c>
      <c r="H95" s="164"/>
    </row>
    <row r="96" spans="1:8" ht="12.75">
      <c r="A96" s="403" t="s">
        <v>303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300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341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9" t="s">
        <v>491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496</v>
      </c>
      <c r="B122" s="127"/>
      <c r="C122" s="112"/>
      <c r="D122" s="3" t="s">
        <v>230</v>
      </c>
      <c r="E122" s="463">
        <f>G53</f>
        <v>0.3213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244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95">
        <f>E122-1.12%</f>
        <v>0.3101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346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349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234</v>
      </c>
      <c r="B136" s="130"/>
      <c r="C136" s="112"/>
      <c r="D136" s="118" t="s">
        <v>189</v>
      </c>
      <c r="E136" s="302">
        <f>C50</f>
        <v>149052.11091652073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2">
        <f>E122</f>
        <v>0.3213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3">
        <f>IF(E136&gt;0,E136*E138,0)</f>
        <v>47890.44323747811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2">
        <f>E140-E142</f>
        <v>47890.44323747811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479</v>
      </c>
      <c r="B146" s="130"/>
      <c r="C146" s="112"/>
      <c r="D146" s="118" t="s">
        <v>188</v>
      </c>
      <c r="E146" s="302">
        <f>C60</f>
        <v>50856.580244716875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2">
        <f>E144-E146</f>
        <v>-2966.1370072387654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8553726</v>
      </c>
      <c r="F151" s="37"/>
      <c r="G151" s="201"/>
      <c r="H151" s="164"/>
    </row>
    <row r="152" spans="1:8" ht="12.75">
      <c r="A152" s="171" t="s">
        <v>352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2">
        <f>E151-E152</f>
        <v>3553726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353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2">
        <f>IF(E153&gt;0,E153*E155*B9/B10,0)</f>
        <v>2687.201030136986</v>
      </c>
      <c r="F157" s="37"/>
      <c r="G157" s="201"/>
      <c r="H157" s="164"/>
    </row>
    <row r="158" spans="1:8" ht="26.25">
      <c r="A158" s="171" t="s">
        <v>480</v>
      </c>
      <c r="B158" s="130"/>
      <c r="C158" s="112"/>
      <c r="D158" s="118" t="s">
        <v>188</v>
      </c>
      <c r="E158" s="305">
        <f>C72</f>
        <v>2665.2945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189</v>
      </c>
      <c r="E159" s="468">
        <f>E157-E158</f>
        <v>21.90653013698602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8553726</v>
      </c>
      <c r="F162" s="37"/>
      <c r="G162" s="201"/>
      <c r="H162" s="164"/>
    </row>
    <row r="163" spans="1:8" ht="12.75">
      <c r="A163" s="171" t="s">
        <v>351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189</v>
      </c>
      <c r="E164" s="302">
        <f>E162-E163</f>
        <v>-1446274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304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314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481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189</v>
      </c>
      <c r="E173" s="468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340</v>
      </c>
      <c r="B175" s="130"/>
      <c r="C175" s="112"/>
      <c r="D175" s="119"/>
      <c r="E175" s="463">
        <f>E130</f>
        <v>0.3101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187</v>
      </c>
      <c r="E177" s="302">
        <f>E148/(1-E175)</f>
        <v>-4299.372383300139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21.90653013698602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347</v>
      </c>
      <c r="B181" s="130"/>
      <c r="C181" s="112"/>
      <c r="D181" s="119" t="s">
        <v>189</v>
      </c>
      <c r="E181" s="302">
        <f>SUM(E177:E179)</f>
        <v>-4277.465853163152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482</v>
      </c>
      <c r="B183" s="130"/>
      <c r="C183" s="112"/>
      <c r="D183" s="119" t="s">
        <v>187</v>
      </c>
      <c r="E183" s="302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348</v>
      </c>
      <c r="B185" s="130"/>
      <c r="C185" s="112"/>
      <c r="D185" s="119" t="s">
        <v>189</v>
      </c>
      <c r="E185" s="302">
        <f>E181+E183</f>
        <v>-4277.465853163152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310072.5675</v>
      </c>
      <c r="F193" s="3"/>
      <c r="G193" s="123"/>
      <c r="H193" s="164"/>
    </row>
    <row r="194" spans="1:8" ht="12.75">
      <c r="A194" s="155" t="s">
        <v>483</v>
      </c>
      <c r="B194" s="127"/>
      <c r="C194" s="112"/>
      <c r="D194" s="120"/>
      <c r="E194" s="308">
        <f>C37</f>
        <v>59254.88908347927</v>
      </c>
      <c r="F194" s="471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338</v>
      </c>
      <c r="B196" s="127"/>
      <c r="C196" s="112"/>
      <c r="D196" s="120"/>
      <c r="E196" s="308">
        <f>E193-E194</f>
        <v>250817.67841652074</v>
      </c>
      <c r="F196" s="3"/>
      <c r="G196" s="123"/>
      <c r="H196" s="164"/>
    </row>
    <row r="197" spans="1:8" ht="12.75">
      <c r="A197" s="155" t="s">
        <v>339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252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89" t="s">
        <v>489</v>
      </c>
      <c r="B201" s="127"/>
      <c r="C201" s="112"/>
      <c r="D201" s="120"/>
      <c r="E201" s="308">
        <f>G37+G42</f>
        <v>0</v>
      </c>
      <c r="F201" s="3"/>
      <c r="G201" s="123"/>
      <c r="H201" s="164"/>
    </row>
    <row r="202" spans="1:8" ht="12.75">
      <c r="A202" s="489" t="s">
        <v>500</v>
      </c>
      <c r="B202" s="127"/>
      <c r="C202" s="112"/>
      <c r="D202" s="120"/>
      <c r="E202" s="308">
        <f>REGINFO!D62/4</f>
        <v>77518.141875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490</v>
      </c>
      <c r="B206" s="127"/>
      <c r="C206" s="112"/>
      <c r="D206" s="120"/>
      <c r="E206" s="465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250817.67841652074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5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ED-2002-0511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Centre Wellington Hydro Ltd.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84">
        <f>REGINFO!B6</f>
        <v>92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REGINFO!D56*0.0025</f>
        <v>10692.1575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5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320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254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223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318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319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269</v>
      </c>
      <c r="B31" s="23" t="s">
        <v>187</v>
      </c>
      <c r="C31" s="483">
        <v>3542052.52</v>
      </c>
      <c r="D31" s="286"/>
      <c r="E31" s="284">
        <f>C31-D31</f>
        <v>3542052.52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59410.54</v>
      </c>
      <c r="D32" s="286"/>
      <c r="E32" s="284">
        <f>C32-D32</f>
        <v>59410.54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f>82007.9-21688.36-60.48</f>
        <v>60259.05999999999</v>
      </c>
      <c r="D33" s="286"/>
      <c r="E33" s="284">
        <f>C33-D33</f>
        <v>60259.05999999999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f>21688.36+60.48</f>
        <v>21748.84</v>
      </c>
      <c r="D34" s="286"/>
      <c r="E34" s="284">
        <f>C34-D34</f>
        <v>21748.84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3">
        <v>3241510.5</v>
      </c>
      <c r="D39" s="286"/>
      <c r="E39" s="284">
        <f>C39-D39</f>
        <v>3241510.5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3">
        <v>350104.98</v>
      </c>
      <c r="D40" s="286"/>
      <c r="E40" s="284">
        <f aca="true" t="shared" si="0" ref="E40:E48">C40-D40</f>
        <v>350104.98</v>
      </c>
      <c r="F40" s="11"/>
      <c r="G40" s="11"/>
      <c r="H40" s="6"/>
      <c r="I40" s="6"/>
    </row>
    <row r="41" spans="1:9" ht="12.75">
      <c r="A41" s="4" t="s">
        <v>270</v>
      </c>
      <c r="B41" s="23" t="s">
        <v>188</v>
      </c>
      <c r="C41" s="285">
        <v>98380.43</v>
      </c>
      <c r="D41" s="286"/>
      <c r="E41" s="284">
        <f t="shared" si="0"/>
        <v>98380.43</v>
      </c>
      <c r="F41" s="11"/>
      <c r="G41" s="11"/>
      <c r="H41" s="6"/>
      <c r="I41" s="6"/>
    </row>
    <row r="42" spans="1:9" ht="12.75">
      <c r="A42" s="4" t="s">
        <v>271</v>
      </c>
      <c r="B42" s="23" t="s">
        <v>188</v>
      </c>
      <c r="C42" s="285">
        <f>119644.1+10390.18+328.06</f>
        <v>130362.34</v>
      </c>
      <c r="D42" s="286"/>
      <c r="E42" s="284">
        <f t="shared" si="0"/>
        <v>130362.34</v>
      </c>
      <c r="F42" s="11"/>
      <c r="G42" s="11"/>
      <c r="H42" s="6"/>
      <c r="I42" s="6"/>
    </row>
    <row r="43" spans="1:9" ht="12.75">
      <c r="A43" s="4" t="s">
        <v>272</v>
      </c>
      <c r="B43" s="23" t="s">
        <v>188</v>
      </c>
      <c r="C43" s="483"/>
      <c r="D43" s="286"/>
      <c r="E43" s="284">
        <f t="shared" si="0"/>
        <v>0</v>
      </c>
      <c r="F43" s="11"/>
      <c r="G43" s="11"/>
      <c r="H43" s="6"/>
      <c r="I43" s="6"/>
    </row>
    <row r="44" spans="1:9" ht="12.75">
      <c r="A44" s="4" t="s">
        <v>273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2:11" ht="12.75"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85" t="s">
        <v>495</v>
      </c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>
        <f>171194+C53</f>
        <v>34306.70999999996</v>
      </c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-136887.29000000004</v>
      </c>
      <c r="D50" s="281">
        <f>SUM(D31:D36)-SUM(D39:D49)</f>
        <v>0</v>
      </c>
      <c r="E50" s="281">
        <f>SUM(E31:E35)-SUM(E39:E48)</f>
        <v>-136887.29000000004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3"/>
      <c r="D51" s="285"/>
      <c r="E51" s="282">
        <f>+C51-D51</f>
        <v>0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5"/>
      <c r="D52" s="285"/>
      <c r="E52" s="283">
        <f>+C52-D52</f>
        <v>0</v>
      </c>
      <c r="F52" s="8"/>
    </row>
    <row r="53" spans="1:6" ht="12.75">
      <c r="A53" s="2" t="s">
        <v>131</v>
      </c>
      <c r="B53" s="8" t="s">
        <v>189</v>
      </c>
      <c r="C53" s="281">
        <f>C50-C51-C52</f>
        <v>-136887.29000000004</v>
      </c>
      <c r="D53" s="281">
        <f>D50-D51-D52</f>
        <v>0</v>
      </c>
      <c r="E53" s="281">
        <f>E50-E51-E52</f>
        <v>-136887.29000000004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7"/>
      <c r="D59" s="287">
        <f>D52</f>
        <v>0</v>
      </c>
      <c r="E59" s="272">
        <f>+C59-D59</f>
        <v>0</v>
      </c>
      <c r="F59" s="8"/>
    </row>
    <row r="60" spans="1:6" ht="12.75">
      <c r="A60" s="4" t="s">
        <v>321</v>
      </c>
      <c r="B60" s="8" t="s">
        <v>187</v>
      </c>
      <c r="C60" s="287"/>
      <c r="D60" s="318"/>
      <c r="E60" s="272">
        <f>+C60-D60</f>
        <v>0</v>
      </c>
      <c r="F60" s="8"/>
    </row>
    <row r="61" spans="1:6" ht="12.75">
      <c r="A61" t="s">
        <v>4</v>
      </c>
      <c r="B61" s="8" t="s">
        <v>187</v>
      </c>
      <c r="C61" s="287">
        <v>106879</v>
      </c>
      <c r="D61" s="287">
        <f>D43</f>
        <v>0</v>
      </c>
      <c r="E61" s="272">
        <f>+C61-D61</f>
        <v>106879</v>
      </c>
      <c r="F61" s="8"/>
    </row>
    <row r="62" spans="1:6" ht="12.75">
      <c r="A62" t="s">
        <v>6</v>
      </c>
      <c r="B62" s="8" t="s">
        <v>187</v>
      </c>
      <c r="C62" s="287"/>
      <c r="D62" s="287">
        <v>0</v>
      </c>
      <c r="E62" s="272">
        <f>+C62-D62</f>
        <v>0</v>
      </c>
      <c r="F62" s="8"/>
    </row>
    <row r="63" spans="1:6" ht="12.75">
      <c r="A63" s="31" t="s">
        <v>274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435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386</v>
      </c>
      <c r="B66" s="8"/>
      <c r="C66" s="440">
        <f>'TAXREC 3'!C47</f>
        <v>4350</v>
      </c>
      <c r="D66" s="440">
        <f>'TAXREC 3'!D47</f>
        <v>0</v>
      </c>
      <c r="E66" s="272">
        <f>+C66-D66</f>
        <v>4350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111229</v>
      </c>
      <c r="D70" s="272">
        <f>SUM(D59:D68)</f>
        <v>0</v>
      </c>
      <c r="E70" s="272">
        <f>SUM(E59:E68)</f>
        <v>111229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485" t="s">
        <v>486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111229</v>
      </c>
      <c r="D82" s="251">
        <f>D70+D80</f>
        <v>0</v>
      </c>
      <c r="E82" s="251">
        <f>E70+E80</f>
        <v>111229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423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54">
        <v>145537</v>
      </c>
      <c r="D97" s="294"/>
      <c r="E97" s="272">
        <f>+C97-D97</f>
        <v>145537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5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386</v>
      </c>
      <c r="B108" s="8"/>
      <c r="C108" s="254">
        <f>'TAXREC 3'!C73</f>
        <v>0</v>
      </c>
      <c r="D108" s="254">
        <f>'TAXREC 3'!D73</f>
        <v>0</v>
      </c>
      <c r="E108" s="272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145537</v>
      </c>
      <c r="D113" s="251">
        <f>SUM(D97:D111)</f>
        <v>0</v>
      </c>
      <c r="E113" s="251">
        <f>SUM(E97:E111)</f>
        <v>145537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145537</v>
      </c>
      <c r="D122" s="251">
        <f>D113+D120</f>
        <v>0</v>
      </c>
      <c r="E122" s="251">
        <f>+E113+E120</f>
        <v>145537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-171195.29000000004</v>
      </c>
      <c r="D134" s="251">
        <f>D53+D82-D122</f>
        <v>0</v>
      </c>
      <c r="E134" s="251">
        <f>E53+E82-E122</f>
        <v>-171195.29000000004</v>
      </c>
      <c r="F134" s="8"/>
      <c r="G134" s="492"/>
      <c r="H134" s="492"/>
      <c r="I134" s="492"/>
      <c r="J134" s="492"/>
      <c r="K134" s="45"/>
    </row>
    <row r="135" spans="1:11" ht="12.75">
      <c r="A135" s="12" t="s">
        <v>46</v>
      </c>
      <c r="B135" s="8"/>
      <c r="D135" s="30"/>
      <c r="E135" s="30"/>
      <c r="F135" s="8"/>
      <c r="G135" s="492"/>
      <c r="H135" s="492"/>
      <c r="I135" s="492"/>
      <c r="J135" s="492"/>
      <c r="K135" s="45"/>
    </row>
    <row r="136" spans="1:11" ht="12.75">
      <c r="A136" s="12" t="s">
        <v>368</v>
      </c>
      <c r="B136" s="8" t="s">
        <v>188</v>
      </c>
      <c r="C136" s="294"/>
      <c r="D136" s="294"/>
      <c r="E136" s="265">
        <f>C136-D136</f>
        <v>0</v>
      </c>
      <c r="F136" s="8"/>
      <c r="G136" s="492"/>
      <c r="H136" s="492"/>
      <c r="I136" s="492"/>
      <c r="J136" s="492"/>
      <c r="K136" s="45"/>
    </row>
    <row r="137" spans="1:11" ht="12.75">
      <c r="A137" s="46" t="s">
        <v>369</v>
      </c>
      <c r="B137" s="8" t="s">
        <v>188</v>
      </c>
      <c r="C137" s="310"/>
      <c r="D137" s="310"/>
      <c r="E137" s="393">
        <f>C137-D137</f>
        <v>0</v>
      </c>
      <c r="F137" s="8"/>
      <c r="G137" s="493"/>
      <c r="H137" s="492"/>
      <c r="I137" s="493"/>
      <c r="J137" s="492"/>
      <c r="K137" s="45"/>
    </row>
    <row r="138" spans="1:11" ht="12.75">
      <c r="A138" s="46"/>
      <c r="B138" s="8"/>
      <c r="C138" s="310"/>
      <c r="D138" s="310"/>
      <c r="E138" s="393">
        <f>C138-D138</f>
        <v>0</v>
      </c>
      <c r="F138" s="8"/>
      <c r="G138" s="492"/>
      <c r="H138" s="492"/>
      <c r="I138" s="492"/>
      <c r="J138" s="492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-171195.29000000004</v>
      </c>
      <c r="D139" s="252">
        <f>D134-D136-D137-D138</f>
        <v>0</v>
      </c>
      <c r="E139" s="252">
        <f>E134-E136-E137-E138</f>
        <v>-171195.29000000004</v>
      </c>
      <c r="F139" s="8"/>
      <c r="G139" s="492"/>
      <c r="H139" s="492"/>
      <c r="I139" s="492"/>
      <c r="J139" s="492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187</v>
      </c>
      <c r="C142" s="298">
        <v>0</v>
      </c>
      <c r="D142" s="298"/>
      <c r="E142" s="252">
        <f>C142-D142</f>
        <v>0</v>
      </c>
      <c r="F142" s="8"/>
      <c r="G142" s="45"/>
      <c r="H142" s="38"/>
      <c r="I142" s="496" t="s">
        <v>501</v>
      </c>
      <c r="J142" s="30">
        <f>C134</f>
        <v>-171195.29000000004</v>
      </c>
      <c r="K142" s="45"/>
    </row>
    <row r="143" spans="1:11" ht="12.75">
      <c r="A143" s="46" t="s">
        <v>316</v>
      </c>
      <c r="B143" s="8" t="s">
        <v>187</v>
      </c>
      <c r="C143" s="298">
        <v>0</v>
      </c>
      <c r="D143" s="298"/>
      <c r="E143" s="292">
        <f>C143-D143</f>
        <v>0</v>
      </c>
      <c r="F143" s="8"/>
      <c r="G143" s="45"/>
      <c r="H143" s="38"/>
      <c r="I143" s="497" t="s">
        <v>502</v>
      </c>
      <c r="J143" s="30">
        <v>735222</v>
      </c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38"/>
      <c r="I144" s="498" t="s">
        <v>503</v>
      </c>
      <c r="J144" s="499">
        <f>SUM(J142:J143)</f>
        <v>564026.71</v>
      </c>
      <c r="K144" s="45"/>
    </row>
    <row r="145" spans="1:11" ht="12.75">
      <c r="A145" s="46" t="s">
        <v>328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38"/>
      <c r="I145" s="498" t="s">
        <v>504</v>
      </c>
      <c r="J145" s="45">
        <v>-280000</v>
      </c>
      <c r="K145" s="45"/>
    </row>
    <row r="146" spans="1:11" ht="13.5" thickBot="1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H146" s="38"/>
      <c r="I146" s="498" t="s">
        <v>505</v>
      </c>
      <c r="J146" s="500">
        <f>SUM(J144:J145)</f>
        <v>284026.70999999996</v>
      </c>
      <c r="K146" s="45"/>
    </row>
    <row r="147" spans="2:11" ht="13.5" thickTop="1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301</v>
      </c>
      <c r="B148" s="8"/>
      <c r="C148" s="5"/>
      <c r="D148" s="5"/>
      <c r="E148" s="5"/>
      <c r="F148" s="8"/>
      <c r="G148" s="45" t="s">
        <v>507</v>
      </c>
      <c r="H148" s="45"/>
      <c r="I148" s="45"/>
      <c r="J148" s="45"/>
      <c r="K148" s="45"/>
    </row>
    <row r="149" spans="1:11" ht="12.75">
      <c r="A149" s="46" t="s">
        <v>323</v>
      </c>
      <c r="B149" s="8"/>
      <c r="C149" s="404">
        <f>G149</f>
        <v>0</v>
      </c>
      <c r="D149" s="5"/>
      <c r="E149" s="405">
        <f>C149</f>
        <v>0</v>
      </c>
      <c r="F149" s="8"/>
      <c r="G149" s="38">
        <f>C142/C139</f>
        <v>0</v>
      </c>
      <c r="K149" s="45"/>
    </row>
    <row r="150" spans="1:11" ht="12.75">
      <c r="A150" s="46" t="s">
        <v>324</v>
      </c>
      <c r="B150" s="8"/>
      <c r="C150" s="404">
        <f>G150</f>
        <v>0</v>
      </c>
      <c r="D150" s="5"/>
      <c r="E150" s="405">
        <f>C150</f>
        <v>0</v>
      </c>
      <c r="F150" s="8"/>
      <c r="G150" s="38">
        <f>C143/C139</f>
        <v>0</v>
      </c>
      <c r="K150" s="45"/>
    </row>
    <row r="151" spans="1:11" ht="12.75">
      <c r="A151" t="s">
        <v>325</v>
      </c>
      <c r="B151" s="8"/>
      <c r="C151" s="405">
        <f>SUM(C149:C150)</f>
        <v>0</v>
      </c>
      <c r="D151" s="5"/>
      <c r="E151" s="405">
        <f>SUM(E149:E150)</f>
        <v>0</v>
      </c>
      <c r="F151" s="8"/>
      <c r="G151" s="38">
        <f>SUM(G149:G150)</f>
        <v>0</v>
      </c>
      <c r="K151" s="45"/>
    </row>
    <row r="152" spans="2:11" ht="12.75">
      <c r="B152" s="8"/>
      <c r="C152" s="491"/>
      <c r="D152" s="5"/>
      <c r="E152" s="5"/>
      <c r="F152" s="8"/>
      <c r="K152" s="45"/>
    </row>
    <row r="153" spans="1:11" ht="12.75">
      <c r="A153" s="14" t="s">
        <v>350</v>
      </c>
      <c r="B153" s="8"/>
      <c r="K153" s="501"/>
    </row>
    <row r="154" spans="1:2" ht="12.75">
      <c r="A154" s="14"/>
      <c r="B154" s="8"/>
    </row>
    <row r="155" spans="1:2" ht="12.75">
      <c r="A155" s="2" t="s">
        <v>329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94">
        <v>5514</v>
      </c>
      <c r="D157" s="251"/>
      <c r="E157" s="251">
        <f>C157+D157</f>
        <v>5514</v>
      </c>
    </row>
    <row r="158" spans="1:5" ht="12.75">
      <c r="A158" t="s">
        <v>218</v>
      </c>
      <c r="B158" s="86" t="s">
        <v>187</v>
      </c>
      <c r="C158" s="494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298</v>
      </c>
      <c r="B160" s="66" t="s">
        <v>189</v>
      </c>
      <c r="C160" s="251">
        <f>C156+C157+C158</f>
        <v>5514</v>
      </c>
      <c r="D160" s="251">
        <f>D156+D157+D158</f>
        <v>0</v>
      </c>
      <c r="E160" s="251">
        <f>E156+E157+E158</f>
        <v>5514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7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ED-2002-0511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268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276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277</v>
      </c>
      <c r="B15" s="61"/>
      <c r="C15" s="294"/>
      <c r="D15" s="294"/>
      <c r="E15" s="251">
        <f t="shared" si="0"/>
        <v>0</v>
      </c>
    </row>
    <row r="16" spans="1:5" ht="12.75">
      <c r="A16" s="61" t="s">
        <v>278</v>
      </c>
      <c r="B16" s="61"/>
      <c r="C16" s="294"/>
      <c r="D16" s="294"/>
      <c r="E16" s="251">
        <f t="shared" si="0"/>
        <v>0</v>
      </c>
    </row>
    <row r="17" spans="1:5" ht="12.75">
      <c r="A17" s="61" t="s">
        <v>279</v>
      </c>
      <c r="B17" s="61"/>
      <c r="C17" s="294"/>
      <c r="D17" s="294"/>
      <c r="E17" s="251">
        <f t="shared" si="0"/>
        <v>0</v>
      </c>
    </row>
    <row r="18" spans="1:5" ht="12.75">
      <c r="A18" s="61" t="s">
        <v>440</v>
      </c>
      <c r="B18" s="61"/>
      <c r="C18" s="294"/>
      <c r="D18" s="294"/>
      <c r="E18" s="251">
        <f t="shared" si="0"/>
        <v>0</v>
      </c>
    </row>
    <row r="19" spans="1:5" ht="12.75">
      <c r="A19" s="61" t="s">
        <v>440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267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276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277</v>
      </c>
      <c r="B27" s="61"/>
      <c r="C27" s="294"/>
      <c r="D27" s="294"/>
      <c r="E27" s="251">
        <f t="shared" si="1"/>
        <v>0</v>
      </c>
    </row>
    <row r="28" spans="1:5" ht="12.75">
      <c r="A28" s="61" t="s">
        <v>278</v>
      </c>
      <c r="B28" s="61"/>
      <c r="C28" s="294"/>
      <c r="D28" s="294"/>
      <c r="E28" s="251">
        <f t="shared" si="1"/>
        <v>0</v>
      </c>
    </row>
    <row r="29" spans="1:5" ht="12.75">
      <c r="A29" s="61" t="s">
        <v>279</v>
      </c>
      <c r="B29" s="61"/>
      <c r="C29" s="294"/>
      <c r="D29" s="294"/>
      <c r="E29" s="251">
        <f t="shared" si="1"/>
        <v>0</v>
      </c>
    </row>
    <row r="30" spans="1:5" ht="12.75">
      <c r="A30" s="61" t="s">
        <v>440</v>
      </c>
      <c r="B30" s="61"/>
      <c r="C30" s="294"/>
      <c r="D30" s="294"/>
      <c r="E30" s="251">
        <f t="shared" si="1"/>
        <v>0</v>
      </c>
    </row>
    <row r="31" spans="1:5" ht="12.75">
      <c r="A31" s="61" t="s">
        <v>440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268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262</v>
      </c>
      <c r="B43" s="61"/>
      <c r="C43" s="294"/>
      <c r="D43" s="294"/>
      <c r="E43" s="251">
        <f t="shared" si="2"/>
        <v>0</v>
      </c>
    </row>
    <row r="44" spans="1:5" ht="12.75">
      <c r="A44" s="61" t="s">
        <v>263</v>
      </c>
      <c r="B44" s="61"/>
      <c r="C44" s="294"/>
      <c r="D44" s="294"/>
      <c r="E44" s="251">
        <f t="shared" si="2"/>
        <v>0</v>
      </c>
    </row>
    <row r="45" spans="1:5" ht="12.75">
      <c r="A45" s="61" t="s">
        <v>264</v>
      </c>
      <c r="B45" s="61"/>
      <c r="C45" s="294"/>
      <c r="D45" s="294"/>
      <c r="E45" s="251">
        <f t="shared" si="2"/>
        <v>0</v>
      </c>
    </row>
    <row r="46" spans="1:5" ht="12.75">
      <c r="A46" s="61" t="s">
        <v>265</v>
      </c>
      <c r="B46" s="61"/>
      <c r="C46" s="294"/>
      <c r="D46" s="294"/>
      <c r="E46" s="251">
        <f t="shared" si="2"/>
        <v>0</v>
      </c>
    </row>
    <row r="47" spans="1:5" ht="12.75">
      <c r="A47" s="61" t="s">
        <v>440</v>
      </c>
      <c r="B47" s="61"/>
      <c r="C47" s="294"/>
      <c r="D47" s="294"/>
      <c r="E47" s="251">
        <f t="shared" si="2"/>
        <v>0</v>
      </c>
    </row>
    <row r="48" spans="1:5" ht="12.75">
      <c r="A48" s="61" t="s">
        <v>440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267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262</v>
      </c>
      <c r="B55" s="61"/>
      <c r="C55" s="294"/>
      <c r="D55" s="294"/>
      <c r="E55" s="251">
        <f t="shared" si="3"/>
        <v>0</v>
      </c>
    </row>
    <row r="56" spans="1:5" ht="12.75">
      <c r="A56" s="246" t="s">
        <v>263</v>
      </c>
      <c r="B56" s="61"/>
      <c r="C56" s="294"/>
      <c r="D56" s="294"/>
      <c r="E56" s="251">
        <f t="shared" si="3"/>
        <v>0</v>
      </c>
    </row>
    <row r="57" spans="1:5" ht="12.75">
      <c r="A57" s="246" t="s">
        <v>264</v>
      </c>
      <c r="B57" s="61"/>
      <c r="C57" s="294"/>
      <c r="D57" s="294"/>
      <c r="E57" s="251">
        <f t="shared" si="3"/>
        <v>0</v>
      </c>
    </row>
    <row r="58" spans="1:5" ht="12.75">
      <c r="A58" s="246" t="s">
        <v>265</v>
      </c>
      <c r="B58" s="61"/>
      <c r="C58" s="294"/>
      <c r="D58" s="294"/>
      <c r="E58" s="251">
        <f t="shared" si="3"/>
        <v>0</v>
      </c>
    </row>
    <row r="59" spans="1:5" ht="12.75">
      <c r="A59" s="61" t="s">
        <v>440</v>
      </c>
      <c r="B59" s="61"/>
      <c r="C59" s="294"/>
      <c r="D59" s="294"/>
      <c r="E59" s="251">
        <f t="shared" si="3"/>
        <v>0</v>
      </c>
    </row>
    <row r="60" spans="1:5" ht="12.75">
      <c r="A60" s="61" t="s">
        <v>440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D7" sqref="D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ED-2002-0511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457</v>
      </c>
      <c r="B5" s="8"/>
      <c r="C5" s="8" t="s">
        <v>2</v>
      </c>
      <c r="D5" s="8"/>
      <c r="E5" s="8"/>
      <c r="F5" s="8"/>
    </row>
    <row r="6" spans="1:6" ht="12.75">
      <c r="A6" s="415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78">
        <f>TAXREC!C11</f>
        <v>92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248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441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249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/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250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370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1:5" ht="12.75">
      <c r="A92" s="487"/>
      <c r="B92" s="8" t="s">
        <v>188</v>
      </c>
      <c r="C92" s="294"/>
      <c r="D92" s="294"/>
      <c r="E92" s="251"/>
    </row>
    <row r="93" spans="1:5" ht="12.75">
      <c r="A93" s="48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486"/>
      <c r="B96" s="8" t="s">
        <v>188</v>
      </c>
      <c r="C96" s="294"/>
      <c r="D96" s="294"/>
      <c r="E96" s="251">
        <f t="shared" si="5"/>
        <v>0</v>
      </c>
    </row>
    <row r="97" spans="1:5" ht="12.75">
      <c r="A97" s="486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9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5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ED-2002-0511</v>
      </c>
    </row>
    <row r="3" spans="1:5" ht="12.75">
      <c r="A3" s="2" t="s">
        <v>378</v>
      </c>
      <c r="E3" s="92"/>
    </row>
    <row r="4" spans="1:6" ht="15">
      <c r="A4" s="458" t="s">
        <v>437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0" t="s">
        <v>379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78">
        <f>TAXREC!C11</f>
        <v>92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381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445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384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385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446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429</v>
      </c>
      <c r="B27" t="s">
        <v>187</v>
      </c>
      <c r="C27" s="295">
        <v>3002</v>
      </c>
      <c r="D27" s="295"/>
      <c r="E27" s="313">
        <f t="shared" si="0"/>
        <v>3002</v>
      </c>
    </row>
    <row r="28" spans="1:5" ht="12.75">
      <c r="A28" s="67" t="s">
        <v>383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382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424</v>
      </c>
      <c r="B32" t="s">
        <v>187</v>
      </c>
      <c r="C32" s="479">
        <v>1348</v>
      </c>
      <c r="D32" s="295"/>
      <c r="E32" s="313">
        <f t="shared" si="0"/>
        <v>1348</v>
      </c>
    </row>
    <row r="33" spans="1:5" ht="12.75">
      <c r="A33" s="67" t="s">
        <v>425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442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443</v>
      </c>
      <c r="B35" t="s">
        <v>187</v>
      </c>
      <c r="C35" s="295"/>
      <c r="D35" s="295"/>
      <c r="E35" s="313"/>
    </row>
    <row r="36" spans="1:5" ht="12.75">
      <c r="A36" s="67" t="s">
        <v>426</v>
      </c>
      <c r="B36" t="s">
        <v>187</v>
      </c>
      <c r="C36" s="295"/>
      <c r="D36" s="295"/>
      <c r="E36" s="313"/>
    </row>
    <row r="37" spans="1:5" ht="12.75">
      <c r="A37" s="67" t="s">
        <v>427</v>
      </c>
      <c r="B37" t="s">
        <v>187</v>
      </c>
      <c r="C37" s="295"/>
      <c r="D37" s="295"/>
      <c r="E37" s="313"/>
    </row>
    <row r="38" spans="1:5" ht="12.75">
      <c r="A38" s="81" t="s">
        <v>476</v>
      </c>
      <c r="B38" t="s">
        <v>187</v>
      </c>
      <c r="C38" s="295"/>
      <c r="D38" s="295"/>
      <c r="E38" s="313"/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380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449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475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3" t="s">
        <v>388</v>
      </c>
      <c r="B47" t="s">
        <v>189</v>
      </c>
      <c r="C47" s="251">
        <f>SUM(C19:C46)</f>
        <v>4350</v>
      </c>
      <c r="D47" s="251">
        <f>SUM(D19:D46)</f>
        <v>0</v>
      </c>
      <c r="E47" s="251">
        <f>SUM(E19:E46)</f>
        <v>4350</v>
      </c>
    </row>
    <row r="48" ht="12.75">
      <c r="A48" s="67"/>
    </row>
    <row r="49" ht="12.75">
      <c r="A49" s="81" t="s">
        <v>145</v>
      </c>
    </row>
    <row r="51" spans="1:5" ht="12.75">
      <c r="A51" s="71" t="s">
        <v>381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445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382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428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436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448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444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447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2" t="s">
        <v>477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2" t="s">
        <v>380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1:5" ht="12.75">
      <c r="A63" s="485" t="s">
        <v>506</v>
      </c>
      <c r="B63" s="8" t="s">
        <v>188</v>
      </c>
      <c r="C63" s="294"/>
      <c r="D63" s="294"/>
      <c r="E63" s="251">
        <f t="shared" si="2"/>
        <v>0</v>
      </c>
    </row>
    <row r="64" spans="1:5" ht="12.75">
      <c r="A64" s="485"/>
      <c r="B64" s="8" t="s">
        <v>188</v>
      </c>
      <c r="C64" s="294"/>
      <c r="D64" s="294"/>
      <c r="E64" s="251">
        <f t="shared" si="2"/>
        <v>0</v>
      </c>
    </row>
    <row r="65" spans="1:5" ht="12.75">
      <c r="A65" s="485"/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 t="s">
        <v>478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486" t="s">
        <v>485</v>
      </c>
      <c r="B70" s="8" t="s">
        <v>188</v>
      </c>
      <c r="C70" s="294"/>
      <c r="D70" s="294"/>
      <c r="E70" s="251">
        <f t="shared" si="2"/>
        <v>0</v>
      </c>
    </row>
    <row r="71" spans="1:5" ht="12.75">
      <c r="A71" s="488" t="s">
        <v>487</v>
      </c>
      <c r="B71" s="8" t="s">
        <v>188</v>
      </c>
      <c r="C71" s="294"/>
      <c r="D71" s="294"/>
      <c r="E71" s="251">
        <f t="shared" si="2"/>
        <v>0</v>
      </c>
    </row>
    <row r="72" spans="1:5" ht="12.75">
      <c r="A72" s="488" t="s">
        <v>488</v>
      </c>
      <c r="B72" s="8" t="s">
        <v>188</v>
      </c>
      <c r="C72" s="294"/>
      <c r="D72" s="294"/>
      <c r="E72" s="279">
        <f t="shared" si="2"/>
        <v>0</v>
      </c>
    </row>
    <row r="73" spans="1:5" ht="12.75">
      <c r="A73" s="442" t="s">
        <v>387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1">
      <selection activeCell="E64" sqref="E64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- ED-2002-0511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Centre Wellington Hydro Ltd.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332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471</v>
      </c>
      <c r="B8" s="511"/>
      <c r="C8" s="511"/>
      <c r="D8" s="511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459</v>
      </c>
      <c r="B10" s="327"/>
      <c r="C10" s="375" t="s">
        <v>111</v>
      </c>
      <c r="D10" s="375"/>
      <c r="E10" s="375" t="s">
        <v>111</v>
      </c>
      <c r="F10" s="376" t="s">
        <v>466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295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294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299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255</v>
      </c>
      <c r="B16" s="245"/>
      <c r="C16" s="332">
        <f>SUM(C14:C15)</f>
        <v>0.1912</v>
      </c>
      <c r="D16" s="332"/>
      <c r="E16" s="333">
        <f>SUM(E14:E15)</f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5" t="s">
        <v>326</v>
      </c>
      <c r="B21" s="406" t="s">
        <v>467</v>
      </c>
      <c r="C21" s="481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5" t="s">
        <v>327</v>
      </c>
      <c r="B22" s="407" t="s">
        <v>468</v>
      </c>
      <c r="C22" s="482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465</v>
      </c>
      <c r="B23" s="505"/>
      <c r="C23" s="505"/>
      <c r="D23" s="505"/>
      <c r="E23" s="505"/>
      <c r="F23" s="505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333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0" t="s">
        <v>469</v>
      </c>
      <c r="B26" s="511"/>
      <c r="C26" s="511"/>
      <c r="D26" s="511"/>
      <c r="E26" s="511"/>
      <c r="F26" s="511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432</v>
      </c>
      <c r="B28" s="327"/>
      <c r="C28" s="369" t="s">
        <v>111</v>
      </c>
      <c r="D28" s="369"/>
      <c r="E28" s="369" t="s">
        <v>111</v>
      </c>
      <c r="F28" s="370" t="s">
        <v>466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294</v>
      </c>
      <c r="B32" s="409">
        <v>2001</v>
      </c>
      <c r="C32" s="328">
        <v>0.1312</v>
      </c>
      <c r="D32" s="328"/>
      <c r="E32" s="329">
        <v>0.1312</v>
      </c>
      <c r="F32" s="329">
        <v>0.1312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0.06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255</v>
      </c>
      <c r="B34" s="409">
        <v>2001</v>
      </c>
      <c r="C34" s="332">
        <f>SUM(C32:C33)</f>
        <v>0.1912</v>
      </c>
      <c r="D34" s="332"/>
      <c r="E34" s="333">
        <f>SUM(E32:E33)</f>
        <v>0.1912</v>
      </c>
      <c r="F34" s="333">
        <f>SUM(F32:F33)</f>
        <v>0.1912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5" t="s">
        <v>472</v>
      </c>
      <c r="B39" s="406" t="s">
        <v>467</v>
      </c>
      <c r="C39" s="481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5" t="s">
        <v>473</v>
      </c>
      <c r="B40" s="407" t="s">
        <v>468</v>
      </c>
      <c r="C40" s="482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6" t="s">
        <v>330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334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470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111</v>
      </c>
      <c r="D46" s="369"/>
      <c r="E46" s="369" t="s">
        <v>111</v>
      </c>
      <c r="F46" s="370" t="s">
        <v>466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294</v>
      </c>
      <c r="B50" s="245"/>
      <c r="C50" s="352">
        <f>TAXREC!C149</f>
        <v>0</v>
      </c>
      <c r="D50" s="352"/>
      <c r="E50" s="353"/>
      <c r="F50" s="353"/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f>TAXREC!C150</f>
        <v>0</v>
      </c>
      <c r="D51" s="354"/>
      <c r="E51" s="355"/>
      <c r="F51" s="355"/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255</v>
      </c>
      <c r="B52" s="245"/>
      <c r="C52" s="332">
        <f>SUM(C50:C51)</f>
        <v>0</v>
      </c>
      <c r="D52" s="332"/>
      <c r="E52" s="333">
        <f>SUM(E50:E51)</f>
        <v>0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5" t="s">
        <v>343</v>
      </c>
      <c r="B57" s="406" t="s">
        <v>467</v>
      </c>
      <c r="C57" s="362">
        <v>5000000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5" t="s">
        <v>344</v>
      </c>
      <c r="B58" s="407" t="s">
        <v>468</v>
      </c>
      <c r="C58" s="48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4" t="s">
        <v>345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8">
      <selection activeCell="D18" sqref="D1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ED-2002-0511</v>
      </c>
    </row>
    <row r="2" spans="1:2" ht="12.75">
      <c r="A2" s="2" t="s">
        <v>450</v>
      </c>
      <c r="B2" s="2"/>
    </row>
    <row r="3" spans="1:15" ht="12.75">
      <c r="A3" s="2" t="str">
        <f>REGINFO!A3</f>
        <v>Centre Wellington Hydro Ltd.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315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389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431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6.25">
      <c r="A14" s="81" t="s">
        <v>390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391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392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393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-4277.465853163152</v>
      </c>
      <c r="N17" s="391"/>
      <c r="O17" s="396">
        <f t="shared" si="0"/>
        <v>-4277.465853163152</v>
      </c>
    </row>
    <row r="18" spans="1:15" ht="26.25">
      <c r="A18" s="81" t="s">
        <v>394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395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460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367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-4277.465853163152</v>
      </c>
      <c r="N22" s="390"/>
      <c r="O22" s="444">
        <f>SUM(O11:O20)</f>
        <v>-4277.465853163152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8"/>
      <c r="B25" s="429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8" t="s">
        <v>396</v>
      </c>
      <c r="B26" s="429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397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398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5" t="s">
        <v>399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13" t="s">
        <v>400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420"/>
      <c r="Q33" s="420"/>
      <c r="R33" s="420"/>
      <c r="S33" s="420"/>
    </row>
    <row r="34" spans="1:19" ht="12.75">
      <c r="A34" s="512" t="s">
        <v>401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420"/>
      <c r="Q34" s="420"/>
      <c r="R34" s="420"/>
      <c r="S34" s="420"/>
    </row>
    <row r="35" spans="1:19" ht="12.75">
      <c r="A35" s="512" t="s">
        <v>422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420"/>
      <c r="Q35" s="420"/>
      <c r="R35" s="420"/>
      <c r="S35" s="420"/>
    </row>
    <row r="36" spans="1:19" ht="12.75">
      <c r="A36" s="512" t="s">
        <v>402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420"/>
      <c r="Q36" s="420"/>
      <c r="R36" s="420"/>
      <c r="S36" s="420"/>
    </row>
    <row r="37" spans="1:19" ht="12.75">
      <c r="A37" s="432" t="s">
        <v>364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365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403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404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405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406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407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408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409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410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411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408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412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413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414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415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416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374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417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418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376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375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377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419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420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421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2" t="s">
        <v>451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</row>
    <row r="75" spans="1:15" ht="12.75">
      <c r="A75" s="429" t="s">
        <v>366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2"/>
      <c r="D92" s="512"/>
      <c r="E92" s="512"/>
      <c r="F92" s="512"/>
      <c r="G92" s="512"/>
      <c r="H92" s="512"/>
      <c r="I92" s="512"/>
      <c r="J92" s="512"/>
      <c r="K92" s="512"/>
      <c r="L92" s="512"/>
      <c r="M92" s="512"/>
      <c r="N92" s="512"/>
      <c r="O92" s="512"/>
      <c r="P92" s="512"/>
      <c r="Q92" s="512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2010-08-24T19:25:57Z</cp:lastPrinted>
  <dcterms:created xsi:type="dcterms:W3CDTF">2001-11-07T16:15:53Z</dcterms:created>
  <dcterms:modified xsi:type="dcterms:W3CDTF">2012-04-01T00:28:23Z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