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375" windowHeight="12405" activeTab="0"/>
  </bookViews>
  <sheets>
    <sheet name="STAFF OEB 1562" sheetId="1" r:id="rId1"/>
    <sheet name="Staff - Carrying Charges" sheetId="2" r:id="rId2"/>
  </sheets>
  <definedNames>
    <definedName name="_xlnm.Print_Area" localSheetId="1">'Staff - Carrying Charges'!$A$1:$Y$28</definedName>
    <definedName name="_xlnm.Print_Titles" localSheetId="0">'STAFF OEB 1562'!$1:$3</definedName>
  </definedNames>
  <calcPr fullCalcOnLoad="1"/>
</workbook>
</file>

<file path=xl/sharedStrings.xml><?xml version="1.0" encoding="utf-8"?>
<sst xmlns="http://schemas.openxmlformats.org/spreadsheetml/2006/main" count="190" uniqueCount="89">
  <si>
    <t>Oct</t>
  </si>
  <si>
    <t>Nov</t>
  </si>
  <si>
    <t>Dec</t>
  </si>
  <si>
    <t>Year End</t>
  </si>
  <si>
    <t>Balance</t>
  </si>
  <si>
    <t>OEB Approved PILS</t>
  </si>
  <si>
    <t>Customer Collected</t>
  </si>
  <si>
    <t>Deferral Account Variance</t>
  </si>
  <si>
    <t>True-Up Variance</t>
  </si>
  <si>
    <t>Deferred PILS, OEB 1562</t>
  </si>
  <si>
    <t>Monthly Opening Balance</t>
  </si>
  <si>
    <t>Carrying Charges 7.25%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</si>
  <si>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</si>
  <si>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</si>
  <si>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</si>
  <si>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</si>
  <si>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</si>
  <si>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</si>
  <si>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</si>
  <si>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</si>
  <si>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</si>
  <si>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</si>
  <si>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</si>
  <si>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</si>
  <si>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Opening</t>
  </si>
  <si>
    <t xml:space="preserve">                              - 2002</t>
  </si>
  <si>
    <t>Customer Collected  - 2001</t>
  </si>
  <si>
    <t>2001</t>
  </si>
  <si>
    <t>2002</t>
  </si>
  <si>
    <t>Customer Collected  - 2003</t>
  </si>
  <si>
    <t>2003</t>
  </si>
  <si>
    <t>True-Up Variance per OEB Filing</t>
  </si>
  <si>
    <t>2004</t>
  </si>
  <si>
    <t>Balance forward</t>
  </si>
  <si>
    <t>Customer Collected  - 2005</t>
  </si>
  <si>
    <t>OEB Approved PILS-$1,389,804</t>
  </si>
  <si>
    <t>Total Principal and Carrying Charges</t>
  </si>
  <si>
    <t>*carrying charge % change effective May 1/06 to prescribed rates</t>
  </si>
  <si>
    <t>TBHEDI: Monthly Carrying Charge Calculations</t>
  </si>
  <si>
    <t>Carrying Charges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</si>
  <si>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</si>
  <si>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</si>
  <si>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</si>
  <si>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</si>
  <si>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</si>
  <si>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</si>
  <si>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</si>
  <si>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</si>
  <si>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</si>
  <si>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</si>
  <si>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</si>
  <si>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</si>
  <si>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</si>
  <si>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</si>
  <si>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</si>
  <si>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</si>
  <si>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</si>
  <si>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</si>
  <si>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</si>
  <si>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</si>
  <si>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</si>
  <si>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Prescribed Interest Rates</t>
  </si>
  <si>
    <t>October 1, 2006  - September 30, 2007</t>
  </si>
  <si>
    <t>October 1, 2007 - March 31, 2008</t>
  </si>
  <si>
    <t>April 1, 2008 - June 30, 2008</t>
  </si>
  <si>
    <t>Rate July 1, 2008 - December 31, 2008</t>
  </si>
  <si>
    <t>Rate January 1, 2009 - March 31, 2009</t>
  </si>
  <si>
    <t>April 1, 2009 - June 30, 2009</t>
  </si>
  <si>
    <t>July 1, 2009 - June 30, 2010</t>
  </si>
  <si>
    <t>July 1, 2010 - September 30, 2010</t>
  </si>
  <si>
    <t>October 1, 2010 - December 31, 2010</t>
  </si>
  <si>
    <t xml:space="preserve">January 1, 2011 - </t>
  </si>
  <si>
    <t>Ending Balance</t>
  </si>
  <si>
    <t>Total</t>
  </si>
  <si>
    <t>Balances as at
 December 31, 2006</t>
  </si>
  <si>
    <t>2001-2006</t>
  </si>
  <si>
    <t>Interest</t>
  </si>
  <si>
    <t>Proxy</t>
  </si>
  <si>
    <t>Billed</t>
  </si>
  <si>
    <t>Variances</t>
  </si>
  <si>
    <t>/12</t>
  </si>
  <si>
    <t>MONTHLY</t>
  </si>
  <si>
    <t>Per TB</t>
  </si>
  <si>
    <t>Per Staff</t>
  </si>
  <si>
    <t>Difference</t>
  </si>
  <si>
    <t>Principal</t>
  </si>
  <si>
    <t>Interest to April 30, 2012</t>
  </si>
  <si>
    <t>DELAYED IMPLEMENTATION; IESO PRUDENTIALS INCLUDED AS INTEREST</t>
  </si>
  <si>
    <t>BOARD DECISION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</si>
</sst>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;[Red]\-#,##0.000"/>
    <numFmt numFmtId="173" formatCode="#,##0.0000_);[Red]\(#,##0.0000\)"/>
    <numFmt numFmtId="174" formatCode="&quot;$&quot;#,##0.00"/>
    <numFmt numFmtId="175" formatCode="#,##0.000000000"/>
    <numFmt numFmtId="176" formatCode="#,##0.0000000000"/>
    <numFmt numFmtId="177" formatCode="#,##0.0000"/>
    <numFmt numFmtId="178" formatCode="0.00_ ;[Red]\-0.00\ "/>
    <numFmt numFmtId="179" formatCode="0_ ;[Red]\-0\ "/>
    <numFmt numFmtId="180" formatCode="0.0000000000"/>
    <numFmt numFmtId="181" formatCode="#,##0.0000000"/>
    <numFmt numFmtId="182" formatCode="_-* #,##0.00000_-;\-* #,##0.00000_-;_-* &quot;-&quot;?????_-;_-@_-"/>
    <numFmt numFmtId="183" formatCode="_-* #,##0.0000_-;\-* #,##0.0000_-;_-* &quot;-&quot;????_-;_-@_-"/>
    <numFmt numFmtId="184" formatCode="_-* #,##0_-;\-* #,##0_-;_-* &quot;-&quot;??_-;_-@_-"/>
    <numFmt numFmtId="185" formatCode="_-&quot;$&quot;* #,##0.00000_-;\-&quot;$&quot;* #,##0.00000_-;_-&quot;$&quot;* &quot;-&quot;?????_-;_-@_-"/>
    <numFmt numFmtId="186" formatCode="_-&quot;$&quot;* #,##0.0000_-;\-&quot;$&quot;* #,##0.0000_-;_-&quot;$&quot;* &quot;-&quot;????_-;_-@_-"/>
    <numFmt numFmtId="187" formatCode="0.0000"/>
    <numFmt numFmtId="188" formatCode="#,##0.000_);\(#,##0.000\)"/>
    <numFmt numFmtId="189" formatCode="0.000"/>
    <numFmt numFmtId="190" formatCode="&quot;$&quot;#,##0.0000_);\(&quot;$&quot;#,##0.0000\)"/>
    <numFmt numFmtId="191" formatCode="&quot;$&quot;#,##0.0000"/>
    <numFmt numFmtId="192" formatCode="&quot;$&quot;#,##0.000_);\(&quot;$&quot;#,##0.000\)"/>
    <numFmt numFmtId="193" formatCode="_(* #,##0.0000_);_(* \(#,##0.0000\);_(* &quot;-&quot;????_);_(@_)"/>
    <numFmt numFmtId="194" formatCode="0.000000"/>
    <numFmt numFmtId="195" formatCode="#,##0.00000_ ;\-#,##0.00000\ "/>
    <numFmt numFmtId="196" formatCode="_-&quot;$&quot;* #,##0.0000000_-;\-&quot;$&quot;* #,##0.0000000_-;_-&quot;$&quot;* &quot;-&quot;???????_-;_-@_-"/>
    <numFmt numFmtId="197" formatCode="#,##0.00_ ;\-#,##0.00\ "/>
    <numFmt numFmtId="198" formatCode="[$-409]dddd\,\ mmmm\ dd\,\ yyyy"/>
    <numFmt numFmtId="199" formatCode="0_);[Red]\(0\)"/>
    <numFmt numFmtId="200" formatCode="[$-409]mmmm\ d\,\ yyyy;@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0.0%"/>
    <numFmt numFmtId="204" formatCode="_(* #,##0.0_);_(* \(#,##0.0\);_(* &quot;-&quot;??_);_(@_)"/>
    <numFmt numFmtId="205" formatCode="_(* #,##0_);_(* \(#,##0\);_(* &quot;-&quot;??_);_(@_)"/>
    <numFmt numFmtId="206" formatCode="#,##0.00_ ;[Red]\-#,##0.00\ "/>
    <numFmt numFmtId="207" formatCode="#,##0.000000000_ ;[Red]\-#,##0.000000000\ "/>
    <numFmt numFmtId="208" formatCode="&quot;$&quot;#,##0"/>
  </numFmts>
  <fonts count="2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40" fontId="1" fillId="0" borderId="0" xfId="0" applyNumberFormat="1" applyFont="1" applyAlignment="1">
      <alignment horizontal="center"/>
    </xf>
    <xf numFmtId="40" fontId="0" fillId="0" borderId="0" xfId="0" applyNumberFormat="1" applyAlignment="1" quotePrefix="1">
      <alignment/>
    </xf>
    <xf numFmtId="40" fontId="1" fillId="0" borderId="0" xfId="0" applyNumberFormat="1" applyFont="1" applyAlignment="1" quotePrefix="1">
      <alignment horizontal="left"/>
    </xf>
    <xf numFmtId="40" fontId="0" fillId="0" borderId="10" xfId="0" applyNumberFormat="1" applyBorder="1" applyAlignment="1">
      <alignment/>
    </xf>
    <xf numFmtId="40" fontId="1" fillId="0" borderId="10" xfId="0" applyNumberFormat="1" applyFont="1" applyBorder="1" applyAlignment="1">
      <alignment/>
    </xf>
    <xf numFmtId="40" fontId="0" fillId="0" borderId="11" xfId="0" applyNumberFormat="1" applyBorder="1" applyAlignment="1">
      <alignment/>
    </xf>
    <xf numFmtId="199" fontId="1" fillId="0" borderId="0" xfId="0" applyNumberFormat="1" applyFont="1" applyAlignment="1" quotePrefix="1">
      <alignment horizontal="left"/>
    </xf>
    <xf numFmtId="40" fontId="0" fillId="0" borderId="12" xfId="0" applyNumberFormat="1" applyBorder="1" applyAlignment="1">
      <alignment/>
    </xf>
    <xf numFmtId="40" fontId="0" fillId="0" borderId="0" xfId="0" applyNumberFormat="1" applyBorder="1" applyAlignment="1">
      <alignment/>
    </xf>
    <xf numFmtId="40" fontId="1" fillId="0" borderId="0" xfId="0" applyNumberFormat="1" applyFont="1" applyBorder="1" applyAlignment="1">
      <alignment/>
    </xf>
    <xf numFmtId="40" fontId="0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3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205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42" applyNumberFormat="1" applyFont="1" applyFill="1" applyBorder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10" fontId="0" fillId="0" borderId="17" xfId="0" applyNumberFormat="1" applyBorder="1" applyAlignment="1">
      <alignment/>
    </xf>
    <xf numFmtId="0" fontId="0" fillId="0" borderId="16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05" fontId="0" fillId="0" borderId="11" xfId="42" applyNumberFormat="1" applyFont="1" applyFill="1" applyBorder="1" applyAlignment="1">
      <alignment/>
    </xf>
    <xf numFmtId="10" fontId="0" fillId="0" borderId="19" xfId="0" applyNumberFormat="1" applyFont="1" applyFill="1" applyBorder="1" applyAlignment="1">
      <alignment/>
    </xf>
    <xf numFmtId="0" fontId="0" fillId="4" borderId="0" xfId="0" applyFill="1" applyAlignment="1">
      <alignment/>
    </xf>
    <xf numFmtId="174" fontId="0" fillId="4" borderId="0" xfId="0" applyNumberFormat="1" applyFill="1" applyAlignment="1">
      <alignment/>
    </xf>
    <xf numFmtId="0" fontId="0" fillId="4" borderId="0" xfId="0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205" fontId="0" fillId="4" borderId="0" xfId="42" applyNumberFormat="1" applyFont="1" applyFill="1" applyBorder="1" applyAlignment="1">
      <alignment/>
    </xf>
    <xf numFmtId="205" fontId="0" fillId="4" borderId="20" xfId="42" applyNumberFormat="1" applyFont="1" applyFill="1" applyBorder="1" applyAlignment="1">
      <alignment/>
    </xf>
    <xf numFmtId="40" fontId="0" fillId="4" borderId="20" xfId="0" applyNumberFormat="1" applyFill="1" applyBorder="1" applyAlignment="1">
      <alignment/>
    </xf>
    <xf numFmtId="208" fontId="0" fillId="22" borderId="0" xfId="0" applyNumberFormat="1" applyFill="1" applyAlignment="1">
      <alignment/>
    </xf>
    <xf numFmtId="208" fontId="0" fillId="22" borderId="20" xfId="0" applyNumberFormat="1" applyFill="1" applyBorder="1" applyAlignment="1">
      <alignment/>
    </xf>
    <xf numFmtId="1" fontId="0" fillId="4" borderId="0" xfId="42" applyNumberFormat="1" applyFont="1" applyFill="1" applyBorder="1" applyAlignment="1">
      <alignment/>
    </xf>
    <xf numFmtId="0" fontId="0" fillId="4" borderId="0" xfId="0" applyFill="1" applyBorder="1" applyAlignment="1">
      <alignment/>
    </xf>
    <xf numFmtId="205" fontId="0" fillId="4" borderId="20" xfId="0" applyNumberFormat="1" applyFill="1" applyBorder="1" applyAlignment="1">
      <alignment/>
    </xf>
    <xf numFmtId="40" fontId="0" fillId="22" borderId="0" xfId="0" applyNumberFormat="1" applyFill="1" applyAlignment="1">
      <alignment/>
    </xf>
    <xf numFmtId="40" fontId="0" fillId="22" borderId="21" xfId="0" applyNumberFormat="1" applyFill="1" applyBorder="1" applyAlignment="1">
      <alignment/>
    </xf>
    <xf numFmtId="40" fontId="1" fillId="4" borderId="0" xfId="0" applyNumberFormat="1" applyFont="1" applyFill="1" applyAlignment="1">
      <alignment horizontal="center"/>
    </xf>
    <xf numFmtId="40" fontId="0" fillId="4" borderId="0" xfId="0" applyNumberFormat="1" applyFill="1" applyAlignment="1">
      <alignment/>
    </xf>
    <xf numFmtId="40" fontId="0" fillId="24" borderId="0" xfId="0" applyNumberFormat="1" applyFill="1" applyAlignment="1">
      <alignment/>
    </xf>
    <xf numFmtId="40" fontId="0" fillId="24" borderId="10" xfId="0" applyNumberFormat="1" applyFill="1" applyBorder="1" applyAlignment="1">
      <alignment/>
    </xf>
    <xf numFmtId="40" fontId="0" fillId="4" borderId="0" xfId="0" applyNumberFormat="1" applyFont="1" applyFill="1" applyAlignment="1">
      <alignment/>
    </xf>
    <xf numFmtId="40" fontId="0" fillId="0" borderId="0" xfId="42" applyNumberFormat="1" applyFont="1" applyAlignment="1">
      <alignment/>
    </xf>
    <xf numFmtId="40" fontId="0" fillId="0" borderId="10" xfId="42" applyNumberFormat="1" applyFont="1" applyBorder="1" applyAlignment="1">
      <alignment/>
    </xf>
    <xf numFmtId="40" fontId="0" fillId="22" borderId="10" xfId="42" applyNumberFormat="1" applyFont="1" applyFill="1" applyBorder="1" applyAlignment="1">
      <alignment/>
    </xf>
    <xf numFmtId="40" fontId="0" fillId="24" borderId="0" xfId="42" applyNumberFormat="1" applyFont="1" applyFill="1" applyAlignment="1">
      <alignment/>
    </xf>
    <xf numFmtId="40" fontId="0" fillId="24" borderId="10" xfId="42" applyNumberFormat="1" applyFont="1" applyFill="1" applyBorder="1" applyAlignment="1">
      <alignment/>
    </xf>
    <xf numFmtId="40" fontId="1" fillId="4" borderId="0" xfId="0" applyNumberFormat="1" applyFont="1" applyFill="1" applyAlignment="1">
      <alignment/>
    </xf>
    <xf numFmtId="40" fontId="1" fillId="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0" fontId="0" fillId="0" borderId="0" xfId="0" applyNumberFormat="1" applyAlignment="1" quotePrefix="1">
      <alignment horizontal="right"/>
    </xf>
    <xf numFmtId="40" fontId="0" fillId="4" borderId="0" xfId="42" applyNumberFormat="1" applyFont="1" applyFill="1" applyAlignment="1">
      <alignment/>
    </xf>
    <xf numFmtId="3" fontId="21" fillId="4" borderId="0" xfId="0" applyNumberFormat="1" applyFont="1" applyFill="1" applyAlignment="1">
      <alignment/>
    </xf>
    <xf numFmtId="40" fontId="1" fillId="4" borderId="0" xfId="42" applyNumberFormat="1" applyFont="1" applyFill="1" applyAlignment="1">
      <alignment/>
    </xf>
    <xf numFmtId="202" fontId="1" fillId="4" borderId="22" xfId="44" applyNumberFormat="1" applyFont="1" applyFill="1" applyBorder="1" applyAlignment="1">
      <alignment/>
    </xf>
    <xf numFmtId="3" fontId="22" fillId="4" borderId="0" xfId="0" applyNumberFormat="1" applyFont="1" applyFill="1" applyAlignment="1">
      <alignment/>
    </xf>
    <xf numFmtId="3" fontId="22" fillId="4" borderId="20" xfId="0" applyNumberFormat="1" applyFont="1" applyFill="1" applyBorder="1" applyAlignment="1">
      <alignment/>
    </xf>
    <xf numFmtId="40" fontId="0" fillId="0" borderId="23" xfId="0" applyNumberFormat="1" applyFont="1" applyBorder="1" applyAlignment="1">
      <alignment horizontal="center" wrapText="1"/>
    </xf>
    <xf numFmtId="40" fontId="0" fillId="0" borderId="24" xfId="0" applyNumberFormat="1" applyFont="1" applyBorder="1" applyAlignment="1">
      <alignment horizontal="center" wrapText="1"/>
    </xf>
    <xf numFmtId="40" fontId="0" fillId="0" borderId="25" xfId="0" applyNumberFormat="1" applyFont="1" applyBorder="1" applyAlignment="1">
      <alignment horizontal="center" wrapText="1"/>
    </xf>
    <xf numFmtId="40" fontId="0" fillId="0" borderId="26" xfId="0" applyNumberFormat="1" applyFont="1" applyBorder="1" applyAlignment="1">
      <alignment horizontal="center" wrapText="1"/>
    </xf>
    <xf numFmtId="40" fontId="1" fillId="0" borderId="0" xfId="0" applyNumberFormat="1" applyFont="1" applyAlignment="1">
      <alignment horizontal="left"/>
    </xf>
    <xf numFmtId="40" fontId="21" fillId="24" borderId="11" xfId="0" applyNumberFormat="1" applyFont="1" applyFill="1" applyBorder="1" applyAlignment="1">
      <alignment horizontal="left"/>
    </xf>
    <xf numFmtId="200" fontId="21" fillId="24" borderId="0" xfId="0" applyNumberFormat="1" applyFont="1" applyFill="1" applyAlignment="1">
      <alignment horizontal="left"/>
    </xf>
    <xf numFmtId="40" fontId="21" fillId="24" borderId="0" xfId="0" applyNumberFormat="1" applyFont="1" applyFill="1" applyBorder="1" applyAlignment="1">
      <alignment horizontal="left"/>
    </xf>
    <xf numFmtId="200" fontId="21" fillId="2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208" fontId="1" fillId="4" borderId="0" xfId="0" applyNumberFormat="1" applyFont="1" applyFill="1" applyAlignment="1">
      <alignment/>
    </xf>
    <xf numFmtId="208" fontId="1" fillId="4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1.7109375" style="1" customWidth="1"/>
    <col min="2" max="2" width="14.00390625" style="1" bestFit="1" customWidth="1"/>
    <col min="3" max="3" width="12.8515625" style="1" bestFit="1" customWidth="1"/>
    <col min="4" max="4" width="13.421875" style="1" bestFit="1" customWidth="1"/>
    <col min="5" max="15" width="12.8515625" style="1" bestFit="1" customWidth="1"/>
    <col min="16" max="16" width="9.140625" style="1" customWidth="1"/>
    <col min="17" max="17" width="10.140625" style="1" bestFit="1" customWidth="1"/>
    <col min="18" max="19" width="11.7109375" style="1" bestFit="1" customWidth="1"/>
    <col min="20" max="20" width="10.7109375" style="1" bestFit="1" customWidth="1"/>
    <col min="21" max="21" width="9.140625" style="1" customWidth="1"/>
    <col min="22" max="22" width="11.7109375" style="1" bestFit="1" customWidth="1"/>
    <col min="23" max="16384" width="9.140625" style="1" customWidth="1"/>
  </cols>
  <sheetData>
    <row r="1" ht="15.75">
      <c r="A1" s="15" t="s">
        <v>38</v>
      </c>
    </row>
    <row r="2" ht="12.75">
      <c r="A2" s="82" t="s">
        <v>88</v>
      </c>
    </row>
    <row r="3" spans="1:4" s="8" customFormat="1" ht="12.75">
      <c r="A3" s="81" t="s">
        <v>87</v>
      </c>
      <c r="B3" s="81"/>
      <c r="C3" s="81"/>
      <c r="D3" s="81"/>
    </row>
    <row r="4" spans="9:12" ht="12.75">
      <c r="I4" s="3" t="s">
        <v>82</v>
      </c>
      <c r="L4" s="3" t="s">
        <v>81</v>
      </c>
    </row>
    <row r="5" spans="2:20" s="2" customFormat="1" ht="12.75">
      <c r="B5" s="5" t="s">
        <v>27</v>
      </c>
      <c r="E5" s="2" t="s">
        <v>3</v>
      </c>
      <c r="I5" s="59">
        <v>576478.86</v>
      </c>
      <c r="J5" s="68">
        <v>2001</v>
      </c>
      <c r="K5" s="65">
        <f>I5</f>
        <v>576478.86</v>
      </c>
      <c r="Q5" s="55" t="s">
        <v>76</v>
      </c>
      <c r="R5" s="55" t="s">
        <v>77</v>
      </c>
      <c r="S5" s="55" t="s">
        <v>78</v>
      </c>
      <c r="T5" s="55" t="s">
        <v>79</v>
      </c>
    </row>
    <row r="6" spans="2:12" s="2" customFormat="1" ht="12.75">
      <c r="B6" s="2" t="s">
        <v>0</v>
      </c>
      <c r="C6" s="2" t="s">
        <v>1</v>
      </c>
      <c r="D6" s="2" t="s">
        <v>2</v>
      </c>
      <c r="E6" s="2" t="s">
        <v>4</v>
      </c>
      <c r="I6" s="59">
        <v>1389804</v>
      </c>
      <c r="J6" s="68">
        <v>2002</v>
      </c>
      <c r="K6" s="65">
        <f>I6</f>
        <v>1389804</v>
      </c>
      <c r="L6" s="2">
        <f>K6/12</f>
        <v>115817</v>
      </c>
    </row>
    <row r="7" spans="9:12" ht="13.5" thickBot="1">
      <c r="I7" s="56">
        <v>1966282.86</v>
      </c>
      <c r="J7" s="67"/>
      <c r="K7" s="66">
        <f>SUM(K5:K6)</f>
        <v>1966282.8599999999</v>
      </c>
      <c r="L7" s="1">
        <f>K7/12</f>
        <v>163856.905</v>
      </c>
    </row>
    <row r="8" spans="1:18" ht="12.75">
      <c r="A8" s="1" t="s">
        <v>5</v>
      </c>
      <c r="B8" s="60">
        <v>0</v>
      </c>
      <c r="C8" s="60">
        <v>0</v>
      </c>
      <c r="D8" s="60">
        <v>0</v>
      </c>
      <c r="E8" s="1">
        <f>SUM(B8:D8)</f>
        <v>0</v>
      </c>
      <c r="I8" s="56">
        <f>SUM(C50:E50)</f>
        <v>491570.71499999997</v>
      </c>
      <c r="K8" s="65"/>
      <c r="R8" s="1">
        <f>E12</f>
        <v>0</v>
      </c>
    </row>
    <row r="9" spans="1:11" ht="13.5" thickBot="1">
      <c r="A9" s="1" t="s">
        <v>6</v>
      </c>
      <c r="B9" s="60">
        <v>0</v>
      </c>
      <c r="C9" s="60">
        <v>0</v>
      </c>
      <c r="D9" s="60">
        <v>0</v>
      </c>
      <c r="E9" s="60">
        <f>SUM(B9:D9)</f>
        <v>0</v>
      </c>
      <c r="I9" s="47">
        <f>SUM(I5:I8)</f>
        <v>4424136.435</v>
      </c>
      <c r="J9" s="69" t="s">
        <v>80</v>
      </c>
      <c r="K9" s="65">
        <f>K7/12</f>
        <v>163856.905</v>
      </c>
    </row>
    <row r="10" spans="1:5" ht="12.75">
      <c r="A10" s="1" t="s">
        <v>7</v>
      </c>
      <c r="B10" s="60">
        <v>0</v>
      </c>
      <c r="C10" s="60">
        <v>0</v>
      </c>
      <c r="D10" s="60">
        <v>0</v>
      </c>
      <c r="E10" s="60">
        <f>SUM(B10:D10)</f>
        <v>0</v>
      </c>
    </row>
    <row r="11" spans="1:9" ht="12.75">
      <c r="A11" s="1" t="s">
        <v>8</v>
      </c>
      <c r="B11" s="60">
        <v>0</v>
      </c>
      <c r="C11" s="60">
        <v>0</v>
      </c>
      <c r="D11" s="60">
        <v>0</v>
      </c>
      <c r="E11" s="60">
        <f>SUM(B11:D11)</f>
        <v>0</v>
      </c>
      <c r="I11" s="55" t="s">
        <v>83</v>
      </c>
    </row>
    <row r="12" spans="2:9" ht="12.75">
      <c r="B12" s="61">
        <f>B8-B9+B10+B11</f>
        <v>0</v>
      </c>
      <c r="C12" s="61">
        <f>C8-C9+C10+C11</f>
        <v>0</v>
      </c>
      <c r="D12" s="61">
        <f>D8-D9+D10+D11</f>
        <v>0</v>
      </c>
      <c r="E12" s="62">
        <f>E8-E9+E10+E11</f>
        <v>0</v>
      </c>
      <c r="I12" s="56">
        <f>E12</f>
        <v>0</v>
      </c>
    </row>
    <row r="13" ht="12.75">
      <c r="I13" s="56">
        <f>O22</f>
        <v>1310855.24</v>
      </c>
    </row>
    <row r="14" spans="1:9" ht="12.75">
      <c r="A14" s="1" t="s">
        <v>10</v>
      </c>
      <c r="C14" s="1">
        <f>B12</f>
        <v>0</v>
      </c>
      <c r="D14" s="1">
        <f>C14+C12</f>
        <v>0</v>
      </c>
      <c r="I14" s="56">
        <f>O37</f>
        <v>1966282.86</v>
      </c>
    </row>
    <row r="15" spans="7:14" ht="12.75">
      <c r="G15" s="60"/>
      <c r="H15" s="60"/>
      <c r="I15" s="70">
        <f>SUM(C50:E50)</f>
        <v>491570.71499999997</v>
      </c>
      <c r="J15" s="60"/>
      <c r="K15" s="60"/>
      <c r="L15" s="60"/>
      <c r="M15" s="60"/>
      <c r="N15" s="60"/>
    </row>
    <row r="16" spans="1:17" ht="13.5" thickBot="1">
      <c r="A16" s="6" t="s">
        <v>11</v>
      </c>
      <c r="B16" s="6"/>
      <c r="C16" s="6">
        <f>0.0725/12*C14</f>
        <v>0</v>
      </c>
      <c r="D16" s="6">
        <f>0.0725/12*D14</f>
        <v>0</v>
      </c>
      <c r="E16" s="7">
        <f>SUM(B16:D16)</f>
        <v>0</v>
      </c>
      <c r="I16" s="47">
        <f>SUM(I12:I15)</f>
        <v>3768708.815</v>
      </c>
      <c r="Q16" s="1">
        <f>E16</f>
        <v>0</v>
      </c>
    </row>
    <row r="18" spans="8:9" ht="12.75">
      <c r="H18" s="1" t="s">
        <v>84</v>
      </c>
      <c r="I18" s="71">
        <f>I9-I16</f>
        <v>655427.6199999996</v>
      </c>
    </row>
    <row r="19" spans="2:15" ht="12.75">
      <c r="B19" s="3" t="s">
        <v>24</v>
      </c>
      <c r="C19" s="5" t="s">
        <v>28</v>
      </c>
      <c r="O19" s="2" t="s">
        <v>3</v>
      </c>
    </row>
    <row r="20" spans="2:15" ht="12.75">
      <c r="B20" s="3" t="s">
        <v>4</v>
      </c>
      <c r="C20" s="1" t="s">
        <v>12</v>
      </c>
      <c r="D20" s="1" t="s">
        <v>13</v>
      </c>
      <c r="E20" s="1" t="s">
        <v>14</v>
      </c>
      <c r="F20" s="1" t="s">
        <v>15</v>
      </c>
      <c r="G20" s="1" t="s">
        <v>16</v>
      </c>
      <c r="H20" s="1" t="s">
        <v>17</v>
      </c>
      <c r="I20" s="1" t="s">
        <v>18</v>
      </c>
      <c r="J20" s="1" t="s">
        <v>19</v>
      </c>
      <c r="K20" s="1" t="s">
        <v>20</v>
      </c>
      <c r="L20" s="1" t="s">
        <v>21</v>
      </c>
      <c r="M20" s="1" t="s">
        <v>22</v>
      </c>
      <c r="N20" s="1" t="s">
        <v>23</v>
      </c>
      <c r="O20" s="2" t="s">
        <v>4</v>
      </c>
    </row>
    <row r="22" spans="1:18" ht="12.75">
      <c r="A22" s="1" t="s">
        <v>35</v>
      </c>
      <c r="B22" s="57">
        <f>E8</f>
        <v>0</v>
      </c>
      <c r="C22" s="63">
        <v>0</v>
      </c>
      <c r="D22" s="63">
        <v>0</v>
      </c>
      <c r="E22" s="63">
        <v>0</v>
      </c>
      <c r="F22" s="63">
        <v>0</v>
      </c>
      <c r="G22" s="60">
        <f>K9</f>
        <v>163856.905</v>
      </c>
      <c r="H22" s="60">
        <f>G22</f>
        <v>163856.905</v>
      </c>
      <c r="I22" s="60">
        <f aca="true" t="shared" si="0" ref="I22:N22">H22</f>
        <v>163856.905</v>
      </c>
      <c r="J22" s="60">
        <f t="shared" si="0"/>
        <v>163856.905</v>
      </c>
      <c r="K22" s="60">
        <f t="shared" si="0"/>
        <v>163856.905</v>
      </c>
      <c r="L22" s="60">
        <f t="shared" si="0"/>
        <v>163856.905</v>
      </c>
      <c r="M22" s="60">
        <f t="shared" si="0"/>
        <v>163856.905</v>
      </c>
      <c r="N22" s="60">
        <f t="shared" si="0"/>
        <v>163856.905</v>
      </c>
      <c r="O22" s="53">
        <f>SUM(B22:N22)</f>
        <v>1310855.24</v>
      </c>
      <c r="R22" s="1">
        <f>SUM(C22:N22)</f>
        <v>1310855.24</v>
      </c>
    </row>
    <row r="23" spans="1:19" ht="12.75">
      <c r="A23" s="1" t="s">
        <v>26</v>
      </c>
      <c r="B23" s="57">
        <f>E9</f>
        <v>0</v>
      </c>
      <c r="C23" s="63">
        <v>0</v>
      </c>
      <c r="D23" s="63">
        <v>0</v>
      </c>
      <c r="E23" s="63">
        <v>0</v>
      </c>
      <c r="F23" s="63">
        <v>0</v>
      </c>
      <c r="G23" s="60">
        <v>48665.625</v>
      </c>
      <c r="H23" s="60">
        <v>48665.625</v>
      </c>
      <c r="I23" s="60">
        <v>48665.625</v>
      </c>
      <c r="J23" s="60">
        <v>48665.625</v>
      </c>
      <c r="K23" s="60">
        <v>48665.625</v>
      </c>
      <c r="L23" s="60">
        <v>48665.625</v>
      </c>
      <c r="M23" s="60">
        <v>48665.625</v>
      </c>
      <c r="N23" s="60">
        <v>48665.625</v>
      </c>
      <c r="O23" s="1">
        <f>SUM(B23:N23)</f>
        <v>389325</v>
      </c>
      <c r="S23" s="1">
        <f>O23</f>
        <v>389325</v>
      </c>
    </row>
    <row r="24" spans="1:22" ht="12.75">
      <c r="A24" s="4" t="s">
        <v>25</v>
      </c>
      <c r="B24" s="57">
        <f>E10</f>
        <v>0</v>
      </c>
      <c r="C24" s="63">
        <v>0</v>
      </c>
      <c r="D24" s="63">
        <v>0</v>
      </c>
      <c r="E24" s="63">
        <v>0</v>
      </c>
      <c r="F24" s="63">
        <v>0</v>
      </c>
      <c r="G24" s="60">
        <v>117333.25</v>
      </c>
      <c r="H24" s="60">
        <v>117333.25</v>
      </c>
      <c r="I24" s="60">
        <v>117333.25</v>
      </c>
      <c r="J24" s="60">
        <v>117333.25</v>
      </c>
      <c r="K24" s="60">
        <v>117333.25</v>
      </c>
      <c r="L24" s="60">
        <v>117333.25</v>
      </c>
      <c r="M24" s="60">
        <v>117333.25</v>
      </c>
      <c r="N24" s="60">
        <v>117333.25</v>
      </c>
      <c r="O24" s="1">
        <f>SUM(B24:N24)</f>
        <v>938666</v>
      </c>
      <c r="S24" s="1">
        <f>O24</f>
        <v>938666</v>
      </c>
      <c r="V24" s="1">
        <f>S23+S24</f>
        <v>1327991</v>
      </c>
    </row>
    <row r="25" spans="1:15" ht="12.75">
      <c r="A25" s="1" t="s">
        <v>7</v>
      </c>
      <c r="B25" s="57">
        <f>E10</f>
        <v>0</v>
      </c>
      <c r="C25" s="63">
        <v>0</v>
      </c>
      <c r="D25" s="63">
        <v>0</v>
      </c>
      <c r="E25" s="63">
        <v>0</v>
      </c>
      <c r="F25" s="63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1">
        <f>SUM(B25:N25)</f>
        <v>0</v>
      </c>
    </row>
    <row r="26" spans="1:20" ht="12.75">
      <c r="A26" s="1" t="s">
        <v>31</v>
      </c>
      <c r="B26" s="57">
        <f>E11</f>
        <v>0</v>
      </c>
      <c r="C26" s="63">
        <v>0</v>
      </c>
      <c r="D26" s="63">
        <v>0</v>
      </c>
      <c r="E26" s="63">
        <v>0</v>
      </c>
      <c r="F26" s="63">
        <v>0</v>
      </c>
      <c r="G26" s="60">
        <v>0</v>
      </c>
      <c r="H26" s="72">
        <v>-67309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/>
      <c r="O26" s="1">
        <f>SUM(B26:N26)</f>
        <v>-67309</v>
      </c>
      <c r="T26" s="1">
        <f>O26</f>
        <v>-67309</v>
      </c>
    </row>
    <row r="27" spans="2:15" ht="12.75">
      <c r="B27" s="64">
        <f aca="true" t="shared" si="1" ref="B27:O27">B22-B23-B24+B25+B26</f>
        <v>0</v>
      </c>
      <c r="C27" s="64">
        <f t="shared" si="1"/>
        <v>0</v>
      </c>
      <c r="D27" s="64">
        <f t="shared" si="1"/>
        <v>0</v>
      </c>
      <c r="E27" s="64">
        <f t="shared" si="1"/>
        <v>0</v>
      </c>
      <c r="F27" s="64">
        <f t="shared" si="1"/>
        <v>0</v>
      </c>
      <c r="G27" s="61">
        <f t="shared" si="1"/>
        <v>-2141.970000000001</v>
      </c>
      <c r="H27" s="61">
        <f t="shared" si="1"/>
        <v>-69450.97</v>
      </c>
      <c r="I27" s="61">
        <f t="shared" si="1"/>
        <v>-2141.970000000001</v>
      </c>
      <c r="J27" s="61">
        <f t="shared" si="1"/>
        <v>-2141.970000000001</v>
      </c>
      <c r="K27" s="61">
        <f t="shared" si="1"/>
        <v>-2141.970000000001</v>
      </c>
      <c r="L27" s="61">
        <f t="shared" si="1"/>
        <v>-2141.970000000001</v>
      </c>
      <c r="M27" s="61">
        <f t="shared" si="1"/>
        <v>-2141.970000000001</v>
      </c>
      <c r="N27" s="61">
        <f t="shared" si="1"/>
        <v>-2141.970000000001</v>
      </c>
      <c r="O27" s="61">
        <f t="shared" si="1"/>
        <v>-84444.76000000001</v>
      </c>
    </row>
    <row r="28" spans="2:6" ht="12.75">
      <c r="B28" s="57"/>
      <c r="C28" s="57"/>
      <c r="D28" s="57"/>
      <c r="E28" s="57"/>
      <c r="F28" s="57"/>
    </row>
    <row r="29" spans="1:15" ht="12.75">
      <c r="A29" s="2" t="s">
        <v>10</v>
      </c>
      <c r="B29" s="57"/>
      <c r="C29" s="57">
        <f>B27</f>
        <v>0</v>
      </c>
      <c r="D29" s="57">
        <f aca="true" t="shared" si="2" ref="D29:N29">C29+C27</f>
        <v>0</v>
      </c>
      <c r="E29" s="57">
        <f t="shared" si="2"/>
        <v>0</v>
      </c>
      <c r="F29" s="57">
        <f t="shared" si="2"/>
        <v>0</v>
      </c>
      <c r="G29" s="1">
        <f t="shared" si="2"/>
        <v>0</v>
      </c>
      <c r="H29" s="1">
        <f t="shared" si="2"/>
        <v>-2141.970000000001</v>
      </c>
      <c r="I29" s="1">
        <f t="shared" si="2"/>
        <v>-71592.94</v>
      </c>
      <c r="J29" s="1">
        <f t="shared" si="2"/>
        <v>-73734.91</v>
      </c>
      <c r="K29" s="1">
        <f t="shared" si="2"/>
        <v>-75876.88</v>
      </c>
      <c r="L29" s="1">
        <f t="shared" si="2"/>
        <v>-78018.85</v>
      </c>
      <c r="M29" s="1">
        <f t="shared" si="2"/>
        <v>-80160.82</v>
      </c>
      <c r="N29" s="1">
        <f t="shared" si="2"/>
        <v>-82302.79000000001</v>
      </c>
      <c r="O29" s="1">
        <f>N27+N29</f>
        <v>-84444.76000000001</v>
      </c>
    </row>
    <row r="30" spans="2:6" ht="12.75">
      <c r="B30" s="57"/>
      <c r="C30" s="57"/>
      <c r="D30" s="57"/>
      <c r="E30" s="57"/>
      <c r="F30" s="57"/>
    </row>
    <row r="31" spans="1:31" s="6" customFormat="1" ht="12.75">
      <c r="A31" s="6" t="s">
        <v>11</v>
      </c>
      <c r="B31" s="58"/>
      <c r="C31" s="58">
        <f aca="true" t="shared" si="3" ref="C31:N31">0.0725/12*C29</f>
        <v>0</v>
      </c>
      <c r="D31" s="58">
        <f t="shared" si="3"/>
        <v>0</v>
      </c>
      <c r="E31" s="58">
        <f t="shared" si="3"/>
        <v>0</v>
      </c>
      <c r="F31" s="58">
        <f t="shared" si="3"/>
        <v>0</v>
      </c>
      <c r="G31" s="6">
        <f t="shared" si="3"/>
        <v>0</v>
      </c>
      <c r="H31" s="6">
        <f t="shared" si="3"/>
        <v>-12.941068750000007</v>
      </c>
      <c r="I31" s="6">
        <f t="shared" si="3"/>
        <v>-432.5406791666667</v>
      </c>
      <c r="J31" s="6">
        <f t="shared" si="3"/>
        <v>-445.4817479166667</v>
      </c>
      <c r="K31" s="6">
        <f t="shared" si="3"/>
        <v>-458.4228166666667</v>
      </c>
      <c r="L31" s="6">
        <f t="shared" si="3"/>
        <v>-471.3638854166667</v>
      </c>
      <c r="M31" s="6">
        <f t="shared" si="3"/>
        <v>-484.3049541666667</v>
      </c>
      <c r="N31" s="6">
        <f t="shared" si="3"/>
        <v>-497.24602291666673</v>
      </c>
      <c r="O31" s="2">
        <f>SUM(B31:N31)</f>
        <v>-2802.301175</v>
      </c>
      <c r="P31"/>
      <c r="Q31" s="1">
        <f>O31</f>
        <v>-2802.301175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4" spans="2:15" ht="12.75">
      <c r="B34" s="3" t="s">
        <v>24</v>
      </c>
      <c r="C34" s="5" t="s">
        <v>30</v>
      </c>
      <c r="O34" s="2" t="s">
        <v>3</v>
      </c>
    </row>
    <row r="35" spans="2:15" ht="12.75">
      <c r="B35" s="3" t="s">
        <v>4</v>
      </c>
      <c r="C35" s="1" t="s">
        <v>12</v>
      </c>
      <c r="D35" s="1" t="s">
        <v>13</v>
      </c>
      <c r="E35" s="1" t="s">
        <v>14</v>
      </c>
      <c r="F35" s="1" t="s">
        <v>15</v>
      </c>
      <c r="G35" s="1" t="s">
        <v>16</v>
      </c>
      <c r="H35" s="1" t="s">
        <v>17</v>
      </c>
      <c r="I35" s="1" t="s">
        <v>18</v>
      </c>
      <c r="J35" s="1" t="s">
        <v>19</v>
      </c>
      <c r="K35" s="1" t="s">
        <v>20</v>
      </c>
      <c r="L35" s="1" t="s">
        <v>21</v>
      </c>
      <c r="M35" s="1" t="s">
        <v>22</v>
      </c>
      <c r="N35" s="1" t="s">
        <v>23</v>
      </c>
      <c r="O35" s="2" t="s">
        <v>4</v>
      </c>
    </row>
    <row r="36" spans="1:15" ht="12.75">
      <c r="A36" s="1" t="s">
        <v>33</v>
      </c>
      <c r="B36" s="53">
        <f>O27</f>
        <v>-84444.76000000001</v>
      </c>
      <c r="O36" s="8">
        <f>SUM(B36:N36)</f>
        <v>-84444.76000000001</v>
      </c>
    </row>
    <row r="37" spans="1:18" ht="12.75">
      <c r="A37" s="1" t="s">
        <v>5</v>
      </c>
      <c r="B37" s="1">
        <v>0</v>
      </c>
      <c r="C37" s="1">
        <f>K9</f>
        <v>163856.905</v>
      </c>
      <c r="D37" s="1">
        <f>C37</f>
        <v>163856.905</v>
      </c>
      <c r="E37" s="1">
        <f aca="true" t="shared" si="4" ref="E37:N37">D37</f>
        <v>163856.905</v>
      </c>
      <c r="F37" s="1">
        <f t="shared" si="4"/>
        <v>163856.905</v>
      </c>
      <c r="G37" s="1">
        <f t="shared" si="4"/>
        <v>163856.905</v>
      </c>
      <c r="H37" s="1">
        <f t="shared" si="4"/>
        <v>163856.905</v>
      </c>
      <c r="I37" s="1">
        <f t="shared" si="4"/>
        <v>163856.905</v>
      </c>
      <c r="J37" s="1">
        <f t="shared" si="4"/>
        <v>163856.905</v>
      </c>
      <c r="K37" s="1">
        <f t="shared" si="4"/>
        <v>163856.905</v>
      </c>
      <c r="L37" s="1">
        <f t="shared" si="4"/>
        <v>163856.905</v>
      </c>
      <c r="M37" s="1">
        <f t="shared" si="4"/>
        <v>163856.905</v>
      </c>
      <c r="N37" s="1">
        <f t="shared" si="4"/>
        <v>163856.905</v>
      </c>
      <c r="O37" s="1">
        <f>SUM(B37:N37)</f>
        <v>1966282.86</v>
      </c>
      <c r="R37" s="1">
        <f>O37</f>
        <v>1966282.86</v>
      </c>
    </row>
    <row r="38" spans="1:19" ht="12.75">
      <c r="A38" s="1" t="s">
        <v>29</v>
      </c>
      <c r="B38" s="1">
        <v>0</v>
      </c>
      <c r="C38" s="1">
        <v>169687.33</v>
      </c>
      <c r="D38" s="1">
        <v>169687.33</v>
      </c>
      <c r="E38" s="1">
        <v>169687.33</v>
      </c>
      <c r="F38" s="1">
        <v>169687.33</v>
      </c>
      <c r="G38" s="1">
        <v>169687.33</v>
      </c>
      <c r="H38" s="1">
        <v>169687.33</v>
      </c>
      <c r="I38" s="1">
        <v>169687.33</v>
      </c>
      <c r="J38" s="1">
        <v>169687.33</v>
      </c>
      <c r="K38" s="1">
        <v>169687.33</v>
      </c>
      <c r="L38" s="1">
        <v>169687.33</v>
      </c>
      <c r="M38" s="1">
        <v>169687.33</v>
      </c>
      <c r="N38" s="1">
        <v>169687.33</v>
      </c>
      <c r="O38" s="1">
        <f>SUM(B38:N38)</f>
        <v>2036247.9600000002</v>
      </c>
      <c r="S38" s="1">
        <f>O38</f>
        <v>2036247.9600000002</v>
      </c>
    </row>
    <row r="39" spans="1:15" ht="12.75">
      <c r="A39" s="1" t="s">
        <v>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>SUM(B39:N39)</f>
        <v>0</v>
      </c>
    </row>
    <row r="40" spans="1:20" ht="12.75">
      <c r="A40" s="1" t="s">
        <v>8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65">
        <v>-81929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>SUM(B40:N40)</f>
        <v>-81929</v>
      </c>
      <c r="T40" s="1">
        <f>O40</f>
        <v>-81929</v>
      </c>
    </row>
    <row r="41" spans="2:15" ht="12.75">
      <c r="B41" s="61">
        <f>SUM(B36:B40)</f>
        <v>-84444.76000000001</v>
      </c>
      <c r="C41" s="61">
        <f aca="true" t="shared" si="5" ref="C41:O41">C37-C38+C39+C40</f>
        <v>-5830.424999999988</v>
      </c>
      <c r="D41" s="61">
        <f t="shared" si="5"/>
        <v>-5830.424999999988</v>
      </c>
      <c r="E41" s="61">
        <f t="shared" si="5"/>
        <v>-5830.424999999988</v>
      </c>
      <c r="F41" s="61">
        <f t="shared" si="5"/>
        <v>-5830.424999999988</v>
      </c>
      <c r="G41" s="61">
        <f t="shared" si="5"/>
        <v>-5830.424999999988</v>
      </c>
      <c r="H41" s="61">
        <f t="shared" si="5"/>
        <v>-87759.42499999999</v>
      </c>
      <c r="I41" s="61">
        <f t="shared" si="5"/>
        <v>-5830.424999999988</v>
      </c>
      <c r="J41" s="61">
        <f t="shared" si="5"/>
        <v>-5830.424999999988</v>
      </c>
      <c r="K41" s="61">
        <f t="shared" si="5"/>
        <v>-5830.424999999988</v>
      </c>
      <c r="L41" s="61">
        <f t="shared" si="5"/>
        <v>-5830.424999999988</v>
      </c>
      <c r="M41" s="61">
        <f t="shared" si="5"/>
        <v>-5830.424999999988</v>
      </c>
      <c r="N41" s="61">
        <f t="shared" si="5"/>
        <v>-5830.424999999988</v>
      </c>
      <c r="O41" s="61">
        <f t="shared" si="5"/>
        <v>-151894.1000000001</v>
      </c>
    </row>
    <row r="42" ht="12.75">
      <c r="O42"/>
    </row>
    <row r="43" spans="1:15" ht="12.75">
      <c r="A43" s="2" t="s">
        <v>10</v>
      </c>
      <c r="C43" s="1">
        <f>B41</f>
        <v>-84444.76000000001</v>
      </c>
      <c r="D43" s="1">
        <f aca="true" t="shared" si="6" ref="D43:N43">C43+C41</f>
        <v>-90275.185</v>
      </c>
      <c r="E43" s="1">
        <f t="shared" si="6"/>
        <v>-96105.60999999999</v>
      </c>
      <c r="F43" s="1">
        <f t="shared" si="6"/>
        <v>-101936.03499999997</v>
      </c>
      <c r="G43" s="1">
        <f t="shared" si="6"/>
        <v>-107766.45999999996</v>
      </c>
      <c r="H43" s="1">
        <f t="shared" si="6"/>
        <v>-113596.88499999995</v>
      </c>
      <c r="I43" s="13">
        <f t="shared" si="6"/>
        <v>-201356.30999999994</v>
      </c>
      <c r="J43" s="1">
        <f t="shared" si="6"/>
        <v>-207186.73499999993</v>
      </c>
      <c r="K43" s="1">
        <f t="shared" si="6"/>
        <v>-213017.15999999992</v>
      </c>
      <c r="L43" s="1">
        <f t="shared" si="6"/>
        <v>-218847.5849999999</v>
      </c>
      <c r="M43" s="1">
        <f t="shared" si="6"/>
        <v>-224678.0099999999</v>
      </c>
      <c r="N43" s="1">
        <f t="shared" si="6"/>
        <v>-230508.43499999988</v>
      </c>
      <c r="O43" s="54">
        <f>O36+O41</f>
        <v>-236338.8600000001</v>
      </c>
    </row>
    <row r="45" spans="1:42" s="6" customFormat="1" ht="12.75">
      <c r="A45" s="6" t="s">
        <v>11</v>
      </c>
      <c r="C45" s="6">
        <f aca="true" t="shared" si="7" ref="C45:N45">0.0725/12*C43</f>
        <v>-510.18709166666673</v>
      </c>
      <c r="D45" s="6">
        <f t="shared" si="7"/>
        <v>-545.4125760416666</v>
      </c>
      <c r="E45" s="6">
        <f t="shared" si="7"/>
        <v>-580.6380604166666</v>
      </c>
      <c r="F45" s="6">
        <f t="shared" si="7"/>
        <v>-615.8635447916665</v>
      </c>
      <c r="G45" s="6">
        <f t="shared" si="7"/>
        <v>-651.0890291666665</v>
      </c>
      <c r="H45" s="6">
        <f t="shared" si="7"/>
        <v>-686.3145135416663</v>
      </c>
      <c r="I45" s="6">
        <f t="shared" si="7"/>
        <v>-1216.5277062499997</v>
      </c>
      <c r="J45" s="6">
        <f t="shared" si="7"/>
        <v>-1251.7531906249994</v>
      </c>
      <c r="K45" s="6">
        <f t="shared" si="7"/>
        <v>-1286.9786749999994</v>
      </c>
      <c r="L45" s="6">
        <f t="shared" si="7"/>
        <v>-1322.2041593749993</v>
      </c>
      <c r="M45" s="6">
        <f t="shared" si="7"/>
        <v>-1357.4296437499993</v>
      </c>
      <c r="N45" s="6">
        <f t="shared" si="7"/>
        <v>-1392.6551281249992</v>
      </c>
      <c r="O45" s="2">
        <f>SUM(B45:N45)</f>
        <v>-11417.053318749997</v>
      </c>
      <c r="P45"/>
      <c r="Q45" s="1">
        <f>O45</f>
        <v>-11417.053318749997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7" spans="2:15" ht="12.75">
      <c r="B47" s="3" t="s">
        <v>24</v>
      </c>
      <c r="C47" s="5" t="s">
        <v>32</v>
      </c>
      <c r="O47" s="2" t="s">
        <v>3</v>
      </c>
    </row>
    <row r="48" spans="2:15" ht="12.75">
      <c r="B48" s="3" t="s">
        <v>4</v>
      </c>
      <c r="C48" s="1" t="s">
        <v>12</v>
      </c>
      <c r="D48" s="1" t="s">
        <v>13</v>
      </c>
      <c r="E48" s="1" t="s">
        <v>14</v>
      </c>
      <c r="F48" s="1" t="s">
        <v>15</v>
      </c>
      <c r="G48" s="1" t="s">
        <v>16</v>
      </c>
      <c r="H48" s="1" t="s">
        <v>17</v>
      </c>
      <c r="I48" s="1" t="s">
        <v>18</v>
      </c>
      <c r="J48" s="1" t="s">
        <v>19</v>
      </c>
      <c r="K48" s="1" t="s">
        <v>20</v>
      </c>
      <c r="L48" s="1" t="s">
        <v>21</v>
      </c>
      <c r="M48" s="1" t="s">
        <v>22</v>
      </c>
      <c r="N48" s="1" t="s">
        <v>23</v>
      </c>
      <c r="O48" s="2" t="s">
        <v>4</v>
      </c>
    </row>
    <row r="49" spans="1:15" ht="12.75">
      <c r="A49" s="1" t="s">
        <v>33</v>
      </c>
      <c r="B49" s="53">
        <f>O43</f>
        <v>-236338.8600000001</v>
      </c>
      <c r="O49" s="8">
        <f>SUM(B49:N49)</f>
        <v>-236338.8600000001</v>
      </c>
    </row>
    <row r="50" spans="1:18" ht="12.75">
      <c r="A50" s="1" t="s">
        <v>5</v>
      </c>
      <c r="B50" s="1">
        <v>0</v>
      </c>
      <c r="C50" s="1">
        <f>K9</f>
        <v>163856.905</v>
      </c>
      <c r="D50" s="1">
        <f>C50</f>
        <v>163856.905</v>
      </c>
      <c r="E50" s="1">
        <f>D50</f>
        <v>163856.905</v>
      </c>
      <c r="F50" s="1">
        <v>115817</v>
      </c>
      <c r="G50" s="1">
        <v>115817</v>
      </c>
      <c r="H50" s="1">
        <v>115817</v>
      </c>
      <c r="I50" s="1">
        <v>115817</v>
      </c>
      <c r="J50" s="1">
        <v>115817</v>
      </c>
      <c r="K50" s="1">
        <v>115817</v>
      </c>
      <c r="L50" s="1">
        <v>115817</v>
      </c>
      <c r="M50" s="1">
        <v>115817</v>
      </c>
      <c r="N50" s="1">
        <v>115817</v>
      </c>
      <c r="O50" s="1">
        <f>SUM(B50:N50)</f>
        <v>1533923.7149999999</v>
      </c>
      <c r="R50" s="1">
        <f>O50</f>
        <v>1533923.7149999999</v>
      </c>
    </row>
    <row r="51" spans="1:19" ht="12.75">
      <c r="A51" s="1" t="s">
        <v>29</v>
      </c>
      <c r="B51" s="1">
        <v>0</v>
      </c>
      <c r="C51" s="1">
        <v>185314.33</v>
      </c>
      <c r="D51" s="1">
        <v>185314.33</v>
      </c>
      <c r="E51" s="1">
        <v>185314.33</v>
      </c>
      <c r="F51" s="53">
        <v>4388</v>
      </c>
      <c r="G51" s="53">
        <v>58150.99</v>
      </c>
      <c r="H51" s="1">
        <v>101511.79</v>
      </c>
      <c r="I51" s="1">
        <v>110991.73</v>
      </c>
      <c r="J51" s="1">
        <v>92549.03</v>
      </c>
      <c r="K51" s="1">
        <v>104416.23</v>
      </c>
      <c r="L51" s="1">
        <f>-20640.41+115817</f>
        <v>95176.59</v>
      </c>
      <c r="M51" s="1">
        <f>-14744.39+115817</f>
        <v>101072.61</v>
      </c>
      <c r="N51" s="1">
        <f>2074.33+115817</f>
        <v>117891.33</v>
      </c>
      <c r="O51" s="53">
        <f>SUM(B51:N51)</f>
        <v>1342091.2900000003</v>
      </c>
      <c r="S51" s="1">
        <f>O51</f>
        <v>1342091.2900000003</v>
      </c>
    </row>
    <row r="52" spans="1:15" ht="12.75">
      <c r="A52" s="1" t="s">
        <v>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>SUM(B52:N52)</f>
        <v>0</v>
      </c>
    </row>
    <row r="53" spans="1:20" ht="12.75">
      <c r="A53" s="1" t="s">
        <v>8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56">
        <v>-19220.573023255954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>SUM(B53:N53)</f>
        <v>-19220.573023255954</v>
      </c>
      <c r="T53" s="1">
        <f>O53</f>
        <v>-19220.573023255954</v>
      </c>
    </row>
    <row r="54" spans="2:15" ht="12.75">
      <c r="B54" s="61">
        <f>SUM(B49:B53)</f>
        <v>-236338.8600000001</v>
      </c>
      <c r="C54" s="61">
        <f aca="true" t="shared" si="8" ref="C54:O54">C50-C51+C52+C53</f>
        <v>-21457.42499999999</v>
      </c>
      <c r="D54" s="61">
        <f t="shared" si="8"/>
        <v>-21457.42499999999</v>
      </c>
      <c r="E54" s="61">
        <f t="shared" si="8"/>
        <v>-21457.42499999999</v>
      </c>
      <c r="F54" s="61">
        <f t="shared" si="8"/>
        <v>111429</v>
      </c>
      <c r="G54" s="61">
        <f t="shared" si="8"/>
        <v>57666.01</v>
      </c>
      <c r="H54" s="61">
        <f t="shared" si="8"/>
        <v>-4915.363023255948</v>
      </c>
      <c r="I54" s="61">
        <f t="shared" si="8"/>
        <v>4825.270000000004</v>
      </c>
      <c r="J54" s="61">
        <f t="shared" si="8"/>
        <v>23267.97</v>
      </c>
      <c r="K54" s="61">
        <f t="shared" si="8"/>
        <v>11400.770000000004</v>
      </c>
      <c r="L54" s="61">
        <f t="shared" si="8"/>
        <v>20640.410000000003</v>
      </c>
      <c r="M54" s="61">
        <f t="shared" si="8"/>
        <v>14744.39</v>
      </c>
      <c r="N54" s="61">
        <f t="shared" si="8"/>
        <v>-2074.3300000000017</v>
      </c>
      <c r="O54" s="61">
        <f t="shared" si="8"/>
        <v>172611.85197674364</v>
      </c>
    </row>
    <row r="55" ht="12.75">
      <c r="O55"/>
    </row>
    <row r="56" spans="1:15" ht="12.75">
      <c r="A56" s="2" t="s">
        <v>10</v>
      </c>
      <c r="C56" s="1">
        <f>B54</f>
        <v>-236338.8600000001</v>
      </c>
      <c r="D56" s="1">
        <f aca="true" t="shared" si="9" ref="D56:N56">C56+C54</f>
        <v>-257796.2850000001</v>
      </c>
      <c r="E56" s="1">
        <f t="shared" si="9"/>
        <v>-279253.7100000001</v>
      </c>
      <c r="F56" s="1">
        <f t="shared" si="9"/>
        <v>-300711.13500000007</v>
      </c>
      <c r="G56" s="1">
        <f t="shared" si="9"/>
        <v>-189282.13500000007</v>
      </c>
      <c r="H56" s="1">
        <f t="shared" si="9"/>
        <v>-131616.12500000006</v>
      </c>
      <c r="I56" s="13">
        <f t="shared" si="9"/>
        <v>-136531.488023256</v>
      </c>
      <c r="J56" s="1">
        <f t="shared" si="9"/>
        <v>-131706.218023256</v>
      </c>
      <c r="K56" s="1">
        <f t="shared" si="9"/>
        <v>-108438.24802325599</v>
      </c>
      <c r="L56" s="1">
        <f t="shared" si="9"/>
        <v>-97037.47802325599</v>
      </c>
      <c r="M56" s="1">
        <f t="shared" si="9"/>
        <v>-76397.06802325598</v>
      </c>
      <c r="N56" s="1">
        <f t="shared" si="9"/>
        <v>-61652.67802325598</v>
      </c>
      <c r="O56" s="53">
        <f>O49+O54</f>
        <v>-63727.008023256465</v>
      </c>
    </row>
    <row r="58" spans="1:17" ht="12.75">
      <c r="A58" s="6" t="s">
        <v>11</v>
      </c>
      <c r="B58" s="6"/>
      <c r="C58" s="6">
        <f aca="true" t="shared" si="10" ref="C58:N58">0.0725/12*C56</f>
        <v>-1427.8806125000006</v>
      </c>
      <c r="D58" s="6">
        <f t="shared" si="10"/>
        <v>-1557.5192218750005</v>
      </c>
      <c r="E58" s="6">
        <f t="shared" si="10"/>
        <v>-1687.1578312500005</v>
      </c>
      <c r="F58" s="6">
        <f t="shared" si="10"/>
        <v>-1816.7964406250003</v>
      </c>
      <c r="G58" s="6">
        <f t="shared" si="10"/>
        <v>-1143.5795656250004</v>
      </c>
      <c r="H58" s="6">
        <f t="shared" si="10"/>
        <v>-795.1807552083337</v>
      </c>
      <c r="I58" s="6">
        <f t="shared" si="10"/>
        <v>-824.877740140505</v>
      </c>
      <c r="J58" s="6">
        <f t="shared" si="10"/>
        <v>-795.7250672238382</v>
      </c>
      <c r="K58" s="6">
        <f t="shared" si="10"/>
        <v>-655.1477484738383</v>
      </c>
      <c r="L58" s="6">
        <f t="shared" si="10"/>
        <v>-586.2680963905049</v>
      </c>
      <c r="M58" s="6">
        <f t="shared" si="10"/>
        <v>-461.5656193071716</v>
      </c>
      <c r="N58" s="6">
        <f t="shared" si="10"/>
        <v>-372.4849297238382</v>
      </c>
      <c r="O58" s="2">
        <f>SUM(B58:N58)</f>
        <v>-12124.183628343033</v>
      </c>
      <c r="Q58" s="1">
        <f>O58</f>
        <v>-12124.183628343033</v>
      </c>
    </row>
    <row r="60" spans="10:13" ht="12.75">
      <c r="J60" s="1">
        <f>SUM(I58:K58)</f>
        <v>-2275.7505558381818</v>
      </c>
      <c r="M60" s="1">
        <f>SUM(L58:N58)</f>
        <v>-1420.3186454215145</v>
      </c>
    </row>
    <row r="62" spans="2:15" ht="12.75">
      <c r="B62" s="3" t="s">
        <v>24</v>
      </c>
      <c r="C62" s="9">
        <v>2005</v>
      </c>
      <c r="O62" s="2" t="s">
        <v>3</v>
      </c>
    </row>
    <row r="63" spans="2:15" ht="12.75">
      <c r="B63" s="3" t="s">
        <v>4</v>
      </c>
      <c r="C63" s="1" t="s">
        <v>12</v>
      </c>
      <c r="D63" s="1" t="s">
        <v>13</v>
      </c>
      <c r="E63" s="1" t="s">
        <v>14</v>
      </c>
      <c r="F63" s="1" t="s">
        <v>15</v>
      </c>
      <c r="G63" s="1" t="s">
        <v>16</v>
      </c>
      <c r="H63" s="1" t="s">
        <v>17</v>
      </c>
      <c r="I63" s="1" t="s">
        <v>18</v>
      </c>
      <c r="J63" s="1" t="s">
        <v>19</v>
      </c>
      <c r="K63" s="1" t="s">
        <v>20</v>
      </c>
      <c r="L63" s="1" t="s">
        <v>21</v>
      </c>
      <c r="M63" s="1" t="s">
        <v>22</v>
      </c>
      <c r="N63" s="1" t="s">
        <v>23</v>
      </c>
      <c r="O63" s="2" t="s">
        <v>4</v>
      </c>
    </row>
    <row r="64" spans="1:15" ht="12.75">
      <c r="A64" s="1" t="s">
        <v>33</v>
      </c>
      <c r="B64" s="53">
        <f>O56</f>
        <v>-63727.008023256465</v>
      </c>
      <c r="O64" s="8">
        <f>SUM(B64:N64)</f>
        <v>-63727.008023256465</v>
      </c>
    </row>
    <row r="65" spans="1:18" ht="12.75">
      <c r="A65" s="1" t="s">
        <v>5</v>
      </c>
      <c r="B65" s="1">
        <v>0</v>
      </c>
      <c r="C65" s="1">
        <v>115817</v>
      </c>
      <c r="D65" s="1">
        <v>115817</v>
      </c>
      <c r="E65" s="1">
        <v>115817</v>
      </c>
      <c r="F65" s="1">
        <v>129833</v>
      </c>
      <c r="G65" s="1">
        <f aca="true" t="shared" si="11" ref="G65:N65">1557996/12</f>
        <v>129833</v>
      </c>
      <c r="H65" s="1">
        <f t="shared" si="11"/>
        <v>129833</v>
      </c>
      <c r="I65" s="1">
        <f t="shared" si="11"/>
        <v>129833</v>
      </c>
      <c r="J65" s="1">
        <f t="shared" si="11"/>
        <v>129833</v>
      </c>
      <c r="K65" s="1">
        <f t="shared" si="11"/>
        <v>129833</v>
      </c>
      <c r="L65" s="1">
        <f t="shared" si="11"/>
        <v>129833</v>
      </c>
      <c r="M65" s="1">
        <f t="shared" si="11"/>
        <v>129833</v>
      </c>
      <c r="N65" s="1">
        <f t="shared" si="11"/>
        <v>129833</v>
      </c>
      <c r="O65" s="1">
        <f>SUM(B65:N65)</f>
        <v>1515948</v>
      </c>
      <c r="R65" s="1">
        <f>O65</f>
        <v>1515948</v>
      </c>
    </row>
    <row r="66" spans="1:19" ht="12.75">
      <c r="A66" s="1" t="s">
        <v>34</v>
      </c>
      <c r="B66" s="1">
        <v>0</v>
      </c>
      <c r="C66" s="1">
        <v>126668.55</v>
      </c>
      <c r="D66" s="1">
        <v>131914.61</v>
      </c>
      <c r="E66" s="1">
        <v>177806.7</v>
      </c>
      <c r="F66" s="1">
        <v>117562.46</v>
      </c>
      <c r="G66" s="1">
        <v>139904.48</v>
      </c>
      <c r="H66" s="1">
        <v>111650.26</v>
      </c>
      <c r="I66" s="1">
        <v>114682.46</v>
      </c>
      <c r="J66" s="1">
        <v>115055.35</v>
      </c>
      <c r="K66" s="1">
        <v>122078.96</v>
      </c>
      <c r="L66" s="1">
        <v>103423.81</v>
      </c>
      <c r="M66" s="1">
        <v>127694.88</v>
      </c>
      <c r="N66" s="1">
        <v>116861.73</v>
      </c>
      <c r="O66" s="1">
        <f>SUM(B66:N66)</f>
        <v>1505304.25</v>
      </c>
      <c r="S66" s="1">
        <f>O66</f>
        <v>1505304.25</v>
      </c>
    </row>
    <row r="67" spans="1:15" ht="12.75">
      <c r="A67" s="1" t="s">
        <v>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f>SUM(B67:N67)</f>
        <v>0</v>
      </c>
    </row>
    <row r="68" spans="1:20" ht="12.75">
      <c r="A68" s="1" t="s">
        <v>8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56">
        <v>-361971.9406862303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f>SUM(B68:N68)</f>
        <v>-361971.9406862303</v>
      </c>
      <c r="T68" s="1">
        <f>O68</f>
        <v>-361971.9406862303</v>
      </c>
    </row>
    <row r="70" spans="1:15" ht="12.75">
      <c r="A70" s="1" t="s">
        <v>9</v>
      </c>
      <c r="B70" s="61">
        <f>SUM(B64:B68)</f>
        <v>-63727.008023256465</v>
      </c>
      <c r="C70" s="61">
        <f>C65-C66+C67+C68</f>
        <v>-10851.550000000003</v>
      </c>
      <c r="D70" s="61">
        <f>D65-D66+D67+D68</f>
        <v>-16097.609999999986</v>
      </c>
      <c r="E70" s="61">
        <f>E65-E66+E67+E68</f>
        <v>-61989.70000000001</v>
      </c>
      <c r="F70" s="61">
        <f aca="true" t="shared" si="12" ref="F70:O70">F65-F66+F67+F68+F69</f>
        <v>12270.539999999994</v>
      </c>
      <c r="G70" s="61">
        <f t="shared" si="12"/>
        <v>-10071.48000000001</v>
      </c>
      <c r="H70" s="61">
        <f t="shared" si="12"/>
        <v>-343789.2006862303</v>
      </c>
      <c r="I70" s="61">
        <f t="shared" si="12"/>
        <v>15150.539999999994</v>
      </c>
      <c r="J70" s="61">
        <f t="shared" si="12"/>
        <v>14777.649999999994</v>
      </c>
      <c r="K70" s="61">
        <f t="shared" si="12"/>
        <v>7754.039999999994</v>
      </c>
      <c r="L70" s="61">
        <f t="shared" si="12"/>
        <v>26409.190000000002</v>
      </c>
      <c r="M70" s="61">
        <f t="shared" si="12"/>
        <v>2138.1199999999953</v>
      </c>
      <c r="N70" s="61">
        <f t="shared" si="12"/>
        <v>12971.270000000004</v>
      </c>
      <c r="O70" s="61">
        <f t="shared" si="12"/>
        <v>-351328.1906862303</v>
      </c>
    </row>
    <row r="71" ht="12.75">
      <c r="O71"/>
    </row>
    <row r="72" spans="1:15" ht="12.75">
      <c r="A72" s="2" t="s">
        <v>10</v>
      </c>
      <c r="C72" s="1">
        <f>B70</f>
        <v>-63727.008023256465</v>
      </c>
      <c r="D72" s="1">
        <f aca="true" t="shared" si="13" ref="D72:O72">C72+C70</f>
        <v>-74578.55802325647</v>
      </c>
      <c r="E72" s="1">
        <f t="shared" si="13"/>
        <v>-90676.16802325645</v>
      </c>
      <c r="F72" s="1">
        <f t="shared" si="13"/>
        <v>-152665.86802325648</v>
      </c>
      <c r="G72" s="1">
        <f t="shared" si="13"/>
        <v>-140395.3280232565</v>
      </c>
      <c r="H72" s="1">
        <f t="shared" si="13"/>
        <v>-150466.8080232565</v>
      </c>
      <c r="I72" s="13">
        <f t="shared" si="13"/>
        <v>-494256.0087094868</v>
      </c>
      <c r="J72" s="1">
        <f t="shared" si="13"/>
        <v>-479105.4687094868</v>
      </c>
      <c r="K72" s="1">
        <f t="shared" si="13"/>
        <v>-464327.81870948686</v>
      </c>
      <c r="L72" s="1">
        <f t="shared" si="13"/>
        <v>-456573.7787094869</v>
      </c>
      <c r="M72" s="1">
        <f t="shared" si="13"/>
        <v>-430164.5887094869</v>
      </c>
      <c r="N72" s="1">
        <f t="shared" si="13"/>
        <v>-428026.4687094869</v>
      </c>
      <c r="O72" s="53">
        <f t="shared" si="13"/>
        <v>-415055.19870948687</v>
      </c>
    </row>
    <row r="74" spans="1:17" ht="12.75">
      <c r="A74" s="6" t="s">
        <v>11</v>
      </c>
      <c r="B74" s="6"/>
      <c r="C74" s="6">
        <f aca="true" t="shared" si="14" ref="C74:N74">0.0725/12*C72</f>
        <v>-385.0173401405078</v>
      </c>
      <c r="D74" s="6">
        <f t="shared" si="14"/>
        <v>-450.5787880571745</v>
      </c>
      <c r="E74" s="6">
        <f t="shared" si="14"/>
        <v>-547.8351818071744</v>
      </c>
      <c r="F74" s="6">
        <f t="shared" si="14"/>
        <v>-922.3562859738412</v>
      </c>
      <c r="G74" s="6">
        <f t="shared" si="14"/>
        <v>-848.2217734738414</v>
      </c>
      <c r="H74" s="6">
        <f t="shared" si="14"/>
        <v>-909.0702984738414</v>
      </c>
      <c r="I74" s="6">
        <f t="shared" si="14"/>
        <v>-2986.130052619816</v>
      </c>
      <c r="J74" s="6">
        <f t="shared" si="14"/>
        <v>-2894.595540119816</v>
      </c>
      <c r="K74" s="6">
        <f t="shared" si="14"/>
        <v>-2805.3139047031495</v>
      </c>
      <c r="L74" s="6">
        <f t="shared" si="14"/>
        <v>-2758.46657970315</v>
      </c>
      <c r="M74" s="6">
        <f t="shared" si="14"/>
        <v>-2598.911056786483</v>
      </c>
      <c r="N74" s="6">
        <f t="shared" si="14"/>
        <v>-2585.99324845315</v>
      </c>
      <c r="O74" s="2">
        <f>SUM(B74:N74)</f>
        <v>-20692.490050311946</v>
      </c>
      <c r="Q74" s="1">
        <f>O74</f>
        <v>-20692.490050311946</v>
      </c>
    </row>
    <row r="77" spans="2:15" ht="12.75">
      <c r="B77" s="3" t="s">
        <v>24</v>
      </c>
      <c r="C77" s="9">
        <v>2006</v>
      </c>
      <c r="O77" s="2" t="s">
        <v>3</v>
      </c>
    </row>
    <row r="78" spans="2:15" ht="12.75">
      <c r="B78" s="3" t="s">
        <v>4</v>
      </c>
      <c r="C78" s="1" t="s">
        <v>12</v>
      </c>
      <c r="D78" s="1" t="s">
        <v>13</v>
      </c>
      <c r="E78" s="1" t="s">
        <v>14</v>
      </c>
      <c r="F78" s="1" t="s">
        <v>15</v>
      </c>
      <c r="G78" s="1" t="s">
        <v>16</v>
      </c>
      <c r="H78" s="1" t="s">
        <v>17</v>
      </c>
      <c r="I78" s="1" t="s">
        <v>18</v>
      </c>
      <c r="J78" s="1" t="s">
        <v>19</v>
      </c>
      <c r="K78" s="1" t="s">
        <v>20</v>
      </c>
      <c r="L78" s="1" t="s">
        <v>21</v>
      </c>
      <c r="M78" s="1" t="s">
        <v>22</v>
      </c>
      <c r="N78" s="1" t="s">
        <v>23</v>
      </c>
      <c r="O78" s="2" t="s">
        <v>4</v>
      </c>
    </row>
    <row r="79" spans="1:15" ht="12.75">
      <c r="A79" s="1" t="s">
        <v>33</v>
      </c>
      <c r="B79" s="53">
        <f>O72</f>
        <v>-415055.19870948687</v>
      </c>
      <c r="G79" s="14" t="s">
        <v>37</v>
      </c>
      <c r="O79" s="8">
        <f>SUM(B79:N79)</f>
        <v>-415055.19870948687</v>
      </c>
    </row>
    <row r="80" spans="1:18" ht="12.75">
      <c r="A80" s="1" t="s">
        <v>5</v>
      </c>
      <c r="B80" s="1">
        <v>0</v>
      </c>
      <c r="C80" s="1">
        <f>515121/4</f>
        <v>128780.25</v>
      </c>
      <c r="D80" s="1">
        <v>128780.25</v>
      </c>
      <c r="E80" s="1">
        <v>128780.25</v>
      </c>
      <c r="F80" s="1">
        <v>128780.25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>SUM(B80:N80)</f>
        <v>515121</v>
      </c>
      <c r="R80" s="1">
        <f>O80</f>
        <v>515121</v>
      </c>
    </row>
    <row r="81" spans="1:19" ht="12.75">
      <c r="A81" s="1" t="s">
        <v>34</v>
      </c>
      <c r="B81" s="1">
        <v>0</v>
      </c>
      <c r="C81" s="1">
        <v>170175.02</v>
      </c>
      <c r="D81" s="1">
        <v>128631.76</v>
      </c>
      <c r="E81" s="1">
        <v>156983.31</v>
      </c>
      <c r="F81" s="1">
        <v>115150.41</v>
      </c>
      <c r="G81" s="53">
        <f>141370.16-2518.09-2110.37</f>
        <v>136741.7</v>
      </c>
      <c r="H81" s="53">
        <f>110018.55-32091.14-30492</f>
        <v>47435.41</v>
      </c>
      <c r="I81" s="53">
        <v>5206.25</v>
      </c>
      <c r="J81" s="1">
        <v>0</v>
      </c>
      <c r="K81" s="1">
        <v>0</v>
      </c>
      <c r="L81" s="1">
        <v>0</v>
      </c>
      <c r="M81" s="1">
        <v>-616.57</v>
      </c>
      <c r="N81" s="1">
        <v>0</v>
      </c>
      <c r="O81" s="1">
        <f>SUM(B81:N81)</f>
        <v>759707.29</v>
      </c>
      <c r="S81" s="1">
        <f>O81</f>
        <v>759707.29</v>
      </c>
    </row>
    <row r="82" spans="1:15" ht="12.75">
      <c r="A82" s="1" t="s">
        <v>7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>SUM(B82:N82)</f>
        <v>0</v>
      </c>
    </row>
    <row r="83" spans="1:20" ht="12.75">
      <c r="A83" s="1" t="s">
        <v>8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56">
        <v>29260.42276923078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f>SUM(B83:N83)</f>
        <v>29260.42276923078</v>
      </c>
      <c r="T83" s="1">
        <f>O83</f>
        <v>29260.42276923078</v>
      </c>
    </row>
    <row r="85" spans="1:15" ht="12.75">
      <c r="A85" s="1" t="s">
        <v>9</v>
      </c>
      <c r="B85" s="61">
        <f>SUM(B79:B83)</f>
        <v>-415055.19870948687</v>
      </c>
      <c r="C85" s="61">
        <f>C80-C81+C82+C83</f>
        <v>-41394.76999999999</v>
      </c>
      <c r="D85" s="61">
        <f>D80-D81+D82+D83</f>
        <v>148.49000000000524</v>
      </c>
      <c r="E85" s="61">
        <f>E80-E81+E82+E83</f>
        <v>-28203.059999999998</v>
      </c>
      <c r="F85" s="61">
        <f aca="true" t="shared" si="15" ref="F85:O85">F80-F81+F82+F83+F84</f>
        <v>13629.839999999997</v>
      </c>
      <c r="G85" s="61">
        <f t="shared" si="15"/>
        <v>-136741.7</v>
      </c>
      <c r="H85" s="61">
        <f t="shared" si="15"/>
        <v>-18174.987230769224</v>
      </c>
      <c r="I85" s="61">
        <f t="shared" si="15"/>
        <v>-5206.25</v>
      </c>
      <c r="J85" s="61">
        <f t="shared" si="15"/>
        <v>0</v>
      </c>
      <c r="K85" s="61">
        <f t="shared" si="15"/>
        <v>0</v>
      </c>
      <c r="L85" s="61">
        <f t="shared" si="15"/>
        <v>0</v>
      </c>
      <c r="M85" s="61">
        <f t="shared" si="15"/>
        <v>616.57</v>
      </c>
      <c r="N85" s="61">
        <f t="shared" si="15"/>
        <v>0</v>
      </c>
      <c r="O85" s="61">
        <f t="shared" si="15"/>
        <v>-215325.86723076925</v>
      </c>
    </row>
    <row r="86" ht="12.75">
      <c r="O86"/>
    </row>
    <row r="87" spans="1:15" ht="12.75">
      <c r="A87" s="2" t="s">
        <v>10</v>
      </c>
      <c r="C87" s="1">
        <f>B85</f>
        <v>-415055.19870948687</v>
      </c>
      <c r="D87" s="1">
        <f aca="true" t="shared" si="16" ref="D87:O87">C87+C85</f>
        <v>-456449.9687094869</v>
      </c>
      <c r="E87" s="1">
        <f t="shared" si="16"/>
        <v>-456301.4787094869</v>
      </c>
      <c r="F87" s="1">
        <f t="shared" si="16"/>
        <v>-484504.5387094869</v>
      </c>
      <c r="G87" s="1">
        <f t="shared" si="16"/>
        <v>-470874.69870948687</v>
      </c>
      <c r="H87" s="1">
        <f t="shared" si="16"/>
        <v>-607616.3987094869</v>
      </c>
      <c r="I87" s="13">
        <f t="shared" si="16"/>
        <v>-625791.3859402562</v>
      </c>
      <c r="J87" s="1">
        <f t="shared" si="16"/>
        <v>-630997.6359402562</v>
      </c>
      <c r="K87" s="1">
        <f t="shared" si="16"/>
        <v>-630997.6359402562</v>
      </c>
      <c r="L87" s="1">
        <f t="shared" si="16"/>
        <v>-630997.6359402562</v>
      </c>
      <c r="M87" s="1">
        <f t="shared" si="16"/>
        <v>-630997.6359402562</v>
      </c>
      <c r="N87" s="1">
        <f t="shared" si="16"/>
        <v>-630381.0659402562</v>
      </c>
      <c r="O87" s="56">
        <f t="shared" si="16"/>
        <v>-630381.0659402562</v>
      </c>
    </row>
    <row r="88" ht="12.75">
      <c r="O88" s="56"/>
    </row>
    <row r="89" spans="1:17" ht="12.75">
      <c r="A89" s="6" t="s">
        <v>11</v>
      </c>
      <c r="B89" s="6"/>
      <c r="C89" s="6">
        <f>0.0725/12*C87</f>
        <v>-2507.6251588698165</v>
      </c>
      <c r="D89" s="6">
        <f>0.0725/12*D87</f>
        <v>-2757.71856095315</v>
      </c>
      <c r="E89" s="6">
        <f>0.0725/12*E87</f>
        <v>-2756.8214338698167</v>
      </c>
      <c r="F89" s="6">
        <f>0.0725/12*F87</f>
        <v>-2927.2149213698167</v>
      </c>
      <c r="G89" s="6">
        <f>0.0414/12*G87</f>
        <v>-1624.5177105477296</v>
      </c>
      <c r="H89" s="6">
        <f>0.0414/12*H87</f>
        <v>-2096.27657554773</v>
      </c>
      <c r="I89" s="6">
        <f aca="true" t="shared" si="17" ref="I89:N89">0.0459/12*I87</f>
        <v>-2393.65205122148</v>
      </c>
      <c r="J89" s="6">
        <f t="shared" si="17"/>
        <v>-2413.56595747148</v>
      </c>
      <c r="K89" s="6">
        <f t="shared" si="17"/>
        <v>-2413.56595747148</v>
      </c>
      <c r="L89" s="6">
        <f t="shared" si="17"/>
        <v>-2413.56595747148</v>
      </c>
      <c r="M89" s="6">
        <f t="shared" si="17"/>
        <v>-2413.56595747148</v>
      </c>
      <c r="N89" s="6">
        <f t="shared" si="17"/>
        <v>-2411.2075772214803</v>
      </c>
      <c r="O89" s="65">
        <f>SUM(B89:N89)</f>
        <v>-29129.297819486947</v>
      </c>
      <c r="Q89" s="1">
        <f>O89</f>
        <v>-29129.297819486947</v>
      </c>
    </row>
    <row r="91" spans="4:14" ht="12.75">
      <c r="D91" s="11"/>
      <c r="E91" s="11"/>
      <c r="F91" s="11"/>
      <c r="G91" s="11"/>
      <c r="H91" s="12"/>
      <c r="I91" s="11"/>
      <c r="J91" s="11"/>
      <c r="K91" s="12"/>
      <c r="L91" s="11"/>
      <c r="M91" s="11"/>
      <c r="N91" s="12"/>
    </row>
    <row r="92" spans="17:20" ht="13.5" thickBot="1">
      <c r="Q92" s="47">
        <f>SUM(Q8:Q89)</f>
        <v>-76165.32599189192</v>
      </c>
      <c r="R92" s="47">
        <f>SUM(R8:R89)</f>
        <v>6842130.8149999995</v>
      </c>
      <c r="S92" s="47">
        <f>SUM(S8:S89)</f>
        <v>6971341.79</v>
      </c>
      <c r="T92" s="47">
        <f>SUM(T8:T89)</f>
        <v>-501170.09094025544</v>
      </c>
    </row>
    <row r="93" spans="13:15" ht="12.75">
      <c r="M93" s="76" t="s">
        <v>36</v>
      </c>
      <c r="N93" s="77"/>
      <c r="O93" s="73">
        <f>E16+O31+O45+O58+O74+O89+O87</f>
        <v>-706546.3919321481</v>
      </c>
    </row>
    <row r="94" spans="13:15" ht="13.5" thickBot="1">
      <c r="M94" s="78"/>
      <c r="N94" s="79"/>
      <c r="O94" s="10"/>
    </row>
    <row r="95" spans="15:18" ht="12.75">
      <c r="O95" s="67"/>
      <c r="Q95" s="65" t="s">
        <v>73</v>
      </c>
      <c r="R95" s="65">
        <f>Q92+R92-S92+T92</f>
        <v>-706546.3919321483</v>
      </c>
    </row>
    <row r="96" ht="12.75">
      <c r="O96" s="67"/>
    </row>
    <row r="97" spans="15:19" ht="12.75">
      <c r="O97" s="67"/>
      <c r="Q97" s="65" t="s">
        <v>85</v>
      </c>
      <c r="S97" s="65">
        <f>R92-S92+T92</f>
        <v>-630381.065940256</v>
      </c>
    </row>
    <row r="98" ht="12.75">
      <c r="O98" s="67"/>
    </row>
    <row r="99" spans="13:15" ht="12.75">
      <c r="M99" s="80" t="s">
        <v>86</v>
      </c>
      <c r="N99" s="80"/>
      <c r="O99" s="74">
        <v>-79444</v>
      </c>
    </row>
    <row r="100" ht="12.75">
      <c r="O100" s="67"/>
    </row>
    <row r="101" ht="13.5" thickBot="1">
      <c r="O101" s="75">
        <f>O93+O99</f>
        <v>-785990.3919321481</v>
      </c>
    </row>
    <row r="102" ht="12.75">
      <c r="O102" s="67"/>
    </row>
    <row r="103" ht="12.75">
      <c r="O103" s="67"/>
    </row>
    <row r="104" ht="12.75">
      <c r="O104" s="67"/>
    </row>
    <row r="105" ht="12.75">
      <c r="O105" s="67"/>
    </row>
    <row r="106" ht="12.75">
      <c r="O106" s="67"/>
    </row>
    <row r="107" ht="12.75">
      <c r="O107" s="67"/>
    </row>
    <row r="108" ht="12.75">
      <c r="O108" s="67"/>
    </row>
  </sheetData>
  <sheetProtection/>
  <mergeCells count="3">
    <mergeCell ref="M93:N94"/>
    <mergeCell ref="M99:N99"/>
    <mergeCell ref="A3:D3"/>
  </mergeCells>
  <printOptions/>
  <pageMargins left="0.1968503937007874" right="0.1968503937007874" top="0.5118110236220472" bottom="0.3937007874015748" header="0.2755905511811024" footer="0.5118110236220472"/>
  <pageSetup cellComments="asDisplayed" fitToHeight="2" fitToWidth="1" horizontalDpi="600" verticalDpi="600" orientation="landscape" paperSize="5" scale="61" r:id="rId1"/>
  <headerFooter alignWithMargins="0">
    <oddHeader>&amp;L&amp;Z&amp;F&amp;R&amp;"Arial,Bold"&amp;12APPENDIX H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workbookViewId="0" topLeftCell="A1">
      <selection activeCell="H16" sqref="H16"/>
    </sheetView>
  </sheetViews>
  <sheetFormatPr defaultColWidth="9.140625" defaultRowHeight="12.75"/>
  <cols>
    <col min="1" max="1" width="15.421875" style="0" bestFit="1" customWidth="1"/>
    <col min="2" max="2" width="18.8515625" style="0" bestFit="1" customWidth="1"/>
    <col min="3" max="24" width="11.7109375" style="0" customWidth="1"/>
    <col min="25" max="25" width="14.8515625" style="0" customWidth="1"/>
    <col min="26" max="31" width="11.7109375" style="0" customWidth="1"/>
  </cols>
  <sheetData>
    <row r="1" spans="1:4" ht="15.75">
      <c r="A1" s="15" t="s">
        <v>38</v>
      </c>
      <c r="B1" s="1"/>
      <c r="C1" s="1"/>
      <c r="D1" s="1"/>
    </row>
    <row r="2" spans="1:4" ht="12.75">
      <c r="A2" s="84" t="s">
        <v>88</v>
      </c>
      <c r="B2" s="84"/>
      <c r="C2" s="1"/>
      <c r="D2" s="1"/>
    </row>
    <row r="3" spans="1:6" ht="12.75">
      <c r="A3" s="83" t="s">
        <v>87</v>
      </c>
      <c r="B3" s="83"/>
      <c r="C3" s="83"/>
      <c r="D3" s="83"/>
      <c r="E3" s="83"/>
      <c r="F3" s="83"/>
    </row>
    <row r="5" ht="25.5">
      <c r="B5" s="30" t="s">
        <v>74</v>
      </c>
    </row>
    <row r="6" spans="3:26" s="26" customFormat="1" ht="12.75">
      <c r="C6" s="27" t="s">
        <v>40</v>
      </c>
      <c r="D6" s="27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  <c r="J6" s="27" t="s">
        <v>47</v>
      </c>
      <c r="K6" s="27" t="s">
        <v>48</v>
      </c>
      <c r="L6" s="27" t="s">
        <v>49</v>
      </c>
      <c r="M6" s="27" t="s">
        <v>50</v>
      </c>
      <c r="N6" s="27" t="s">
        <v>51</v>
      </c>
      <c r="O6" s="27" t="s">
        <v>52</v>
      </c>
      <c r="P6" s="27" t="s">
        <v>53</v>
      </c>
      <c r="Q6" s="27" t="s">
        <v>54</v>
      </c>
      <c r="R6" s="27" t="s">
        <v>55</v>
      </c>
      <c r="S6" s="27" t="s">
        <v>56</v>
      </c>
      <c r="T6" s="27" t="s">
        <v>57</v>
      </c>
      <c r="U6" s="27" t="s">
        <v>58</v>
      </c>
      <c r="V6" s="27" t="s">
        <v>59</v>
      </c>
      <c r="W6" s="27" t="s">
        <v>60</v>
      </c>
      <c r="X6" s="28">
        <v>41000</v>
      </c>
      <c r="Y6" s="85" t="s">
        <v>72</v>
      </c>
      <c r="Z6" s="27"/>
    </row>
    <row r="7" spans="3:26" s="26" customFormat="1" ht="12.75">
      <c r="C7" s="29">
        <f>+C17</f>
        <v>0.0459</v>
      </c>
      <c r="D7" s="29">
        <f>C17</f>
        <v>0.0459</v>
      </c>
      <c r="E7" s="29">
        <f>C17</f>
        <v>0.0459</v>
      </c>
      <c r="F7" s="29">
        <f>+C18</f>
        <v>0.0514</v>
      </c>
      <c r="G7" s="29">
        <f>+C18</f>
        <v>0.0514</v>
      </c>
      <c r="H7" s="29">
        <f>C19</f>
        <v>0.0408</v>
      </c>
      <c r="I7" s="29">
        <f>+C20</f>
        <v>0.0335</v>
      </c>
      <c r="J7" s="29">
        <f>+C20</f>
        <v>0.0335</v>
      </c>
      <c r="K7" s="29">
        <f>+C21</f>
        <v>0.0245</v>
      </c>
      <c r="L7" s="29">
        <f>+C22</f>
        <v>0.01</v>
      </c>
      <c r="M7" s="29">
        <f>+C23</f>
        <v>0.0055</v>
      </c>
      <c r="N7" s="29">
        <f>+C23</f>
        <v>0.0055</v>
      </c>
      <c r="O7" s="29">
        <f>+C23</f>
        <v>0.0055</v>
      </c>
      <c r="P7" s="29">
        <f>+C23</f>
        <v>0.0055</v>
      </c>
      <c r="Q7" s="29">
        <f>+C24</f>
        <v>0.0089</v>
      </c>
      <c r="R7" s="29">
        <f>+C25</f>
        <v>0.012</v>
      </c>
      <c r="S7" s="29">
        <f aca="true" t="shared" si="0" ref="S7:X7">+$C$26</f>
        <v>0.0147</v>
      </c>
      <c r="T7" s="29">
        <f t="shared" si="0"/>
        <v>0.0147</v>
      </c>
      <c r="U7" s="29">
        <f t="shared" si="0"/>
        <v>0.0147</v>
      </c>
      <c r="V7" s="29">
        <f t="shared" si="0"/>
        <v>0.0147</v>
      </c>
      <c r="W7" s="29">
        <f t="shared" si="0"/>
        <v>0.0147</v>
      </c>
      <c r="X7" s="29">
        <f t="shared" si="0"/>
        <v>0.0147</v>
      </c>
      <c r="Y7" s="85"/>
      <c r="Z7" s="27"/>
    </row>
    <row r="8" spans="3:26" ht="12.75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6"/>
      <c r="Z8" s="18"/>
    </row>
    <row r="9" spans="1:25" ht="12.75">
      <c r="A9" s="18" t="s">
        <v>85</v>
      </c>
      <c r="B9" s="48">
        <f>'STAFF OEB 1562'!O87</f>
        <v>-630381.0659402562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87">
        <f>SUM(B9:X9)</f>
        <v>-630381.0659402562</v>
      </c>
    </row>
    <row r="10" spans="1:25" ht="12.75">
      <c r="A10" s="18" t="s">
        <v>39</v>
      </c>
      <c r="B10" s="48">
        <f>'STAFF OEB 1562'!Q92</f>
        <v>-76165.32599189192</v>
      </c>
      <c r="C10" s="19">
        <f aca="true" t="shared" si="1" ref="C10:W10">$B$9*C7/12*3</f>
        <v>-7233.622731664441</v>
      </c>
      <c r="D10" s="19">
        <f t="shared" si="1"/>
        <v>-7233.622731664441</v>
      </c>
      <c r="E10" s="19">
        <f t="shared" si="1"/>
        <v>-7233.622731664441</v>
      </c>
      <c r="F10" s="19">
        <f t="shared" si="1"/>
        <v>-8100.396697332293</v>
      </c>
      <c r="G10" s="19">
        <f t="shared" si="1"/>
        <v>-8100.396697332293</v>
      </c>
      <c r="H10" s="19">
        <f t="shared" si="1"/>
        <v>-6429.886872590614</v>
      </c>
      <c r="I10" s="19">
        <f t="shared" si="1"/>
        <v>-5279.441427249646</v>
      </c>
      <c r="J10" s="19">
        <f t="shared" si="1"/>
        <v>-5279.441427249646</v>
      </c>
      <c r="K10" s="19">
        <f t="shared" si="1"/>
        <v>-3861.08402888407</v>
      </c>
      <c r="L10" s="19">
        <f t="shared" si="1"/>
        <v>-1575.9526648506408</v>
      </c>
      <c r="M10" s="19">
        <f t="shared" si="1"/>
        <v>-866.7739656678523</v>
      </c>
      <c r="N10" s="19">
        <f t="shared" si="1"/>
        <v>-866.7739656678523</v>
      </c>
      <c r="O10" s="19">
        <f t="shared" si="1"/>
        <v>-866.7739656678523</v>
      </c>
      <c r="P10" s="19">
        <f t="shared" si="1"/>
        <v>-866.7739656678523</v>
      </c>
      <c r="Q10" s="19">
        <f t="shared" si="1"/>
        <v>-1402.5978717170701</v>
      </c>
      <c r="R10" s="19">
        <f t="shared" si="1"/>
        <v>-1891.1431978207688</v>
      </c>
      <c r="S10" s="19">
        <f t="shared" si="1"/>
        <v>-2316.6504173304415</v>
      </c>
      <c r="T10" s="19">
        <f t="shared" si="1"/>
        <v>-2316.6504173304415</v>
      </c>
      <c r="U10" s="19">
        <f t="shared" si="1"/>
        <v>-2316.6504173304415</v>
      </c>
      <c r="V10" s="19">
        <f t="shared" si="1"/>
        <v>-2316.6504173304415</v>
      </c>
      <c r="W10" s="19">
        <f t="shared" si="1"/>
        <v>-2316.6504173304415</v>
      </c>
      <c r="X10" s="19">
        <f>$B$9*X7/12</f>
        <v>-772.2168057768139</v>
      </c>
      <c r="Y10" s="87">
        <f>SUM(B10:X10)</f>
        <v>-155609.09982701266</v>
      </c>
    </row>
    <row r="11" spans="2:25" ht="12.75">
      <c r="B11" s="48"/>
      <c r="F11" s="19">
        <f>SUM(C10:F10)</f>
        <v>-29801.264892325617</v>
      </c>
      <c r="J11" s="19">
        <f>SUM(G10:J10)</f>
        <v>-25089.1664244222</v>
      </c>
      <c r="N11" s="19">
        <f>SUM(K10:N10)</f>
        <v>-7170.584625070415</v>
      </c>
      <c r="R11" s="19">
        <f>SUM(O10:R10)</f>
        <v>-5027.289000873543</v>
      </c>
      <c r="V11" s="19">
        <f>SUM(S10:V10)</f>
        <v>-9266.601669321766</v>
      </c>
      <c r="X11" s="19">
        <f>W10+X10</f>
        <v>-3088.8672231072555</v>
      </c>
      <c r="Y11" s="86"/>
    </row>
    <row r="12" spans="1:25" ht="13.5" thickBot="1">
      <c r="A12" s="18" t="s">
        <v>73</v>
      </c>
      <c r="B12" s="49">
        <f>SUM(B9:B11)</f>
        <v>-706546.3919321481</v>
      </c>
      <c r="Y12" s="88">
        <f>SUM(Y9:Y11)</f>
        <v>-785990.1657672689</v>
      </c>
    </row>
    <row r="15" spans="1:6" ht="12.75">
      <c r="A15" s="31" t="s">
        <v>61</v>
      </c>
      <c r="B15" s="32"/>
      <c r="C15" s="33"/>
      <c r="E15" s="41">
        <v>2007</v>
      </c>
      <c r="F15" s="42">
        <f>F11</f>
        <v>-29801.264892325617</v>
      </c>
    </row>
    <row r="16" spans="1:6" ht="12.75">
      <c r="A16" s="34"/>
      <c r="B16" s="21"/>
      <c r="C16" s="35"/>
      <c r="D16" s="22"/>
      <c r="E16" s="41">
        <v>2008</v>
      </c>
      <c r="F16" s="42">
        <f>J11</f>
        <v>-25089.1664244222</v>
      </c>
    </row>
    <row r="17" spans="1:6" ht="12.75">
      <c r="A17" s="36" t="s">
        <v>62</v>
      </c>
      <c r="B17" s="16"/>
      <c r="C17" s="37">
        <v>0.0459</v>
      </c>
      <c r="D17" s="23"/>
      <c r="E17" s="43">
        <v>2009</v>
      </c>
      <c r="F17" s="44">
        <f>N11</f>
        <v>-7170.584625070415</v>
      </c>
    </row>
    <row r="18" spans="1:6" ht="12.75">
      <c r="A18" s="36" t="s">
        <v>63</v>
      </c>
      <c r="B18" s="16"/>
      <c r="C18" s="37">
        <v>0.0514</v>
      </c>
      <c r="D18" s="23"/>
      <c r="E18" s="43">
        <v>2010</v>
      </c>
      <c r="F18" s="44">
        <f>R11</f>
        <v>-5027.289000873543</v>
      </c>
    </row>
    <row r="19" spans="1:6" ht="12.75">
      <c r="A19" s="36" t="s">
        <v>64</v>
      </c>
      <c r="B19" s="16"/>
      <c r="C19" s="37">
        <v>0.0408</v>
      </c>
      <c r="D19" s="23"/>
      <c r="E19" s="43">
        <v>2011</v>
      </c>
      <c r="F19" s="44">
        <f>V11</f>
        <v>-9266.601669321766</v>
      </c>
    </row>
    <row r="20" spans="1:6" ht="12.75">
      <c r="A20" s="36" t="s">
        <v>65</v>
      </c>
      <c r="B20" s="17"/>
      <c r="C20" s="37">
        <v>0.0335</v>
      </c>
      <c r="D20" s="24"/>
      <c r="E20" s="50">
        <v>2012</v>
      </c>
      <c r="F20" s="45">
        <f>X11</f>
        <v>-3088.8672231072555</v>
      </c>
    </row>
    <row r="21" spans="1:6" ht="12.75">
      <c r="A21" s="36" t="s">
        <v>66</v>
      </c>
      <c r="B21" s="17"/>
      <c r="C21" s="37">
        <v>0.0245</v>
      </c>
      <c r="D21" s="24"/>
      <c r="E21" s="45"/>
      <c r="F21" s="45"/>
    </row>
    <row r="22" spans="1:6" ht="13.5" thickBot="1">
      <c r="A22" s="36" t="s">
        <v>67</v>
      </c>
      <c r="B22" s="17"/>
      <c r="C22" s="37">
        <v>0.01</v>
      </c>
      <c r="D22" s="24"/>
      <c r="E22" s="45"/>
      <c r="F22" s="46">
        <f>SUM(F15:F21)</f>
        <v>-79443.7738351208</v>
      </c>
    </row>
    <row r="23" spans="1:6" ht="12.75">
      <c r="A23" s="36" t="s">
        <v>68</v>
      </c>
      <c r="B23" s="17"/>
      <c r="C23" s="37">
        <v>0.0055</v>
      </c>
      <c r="D23" s="24"/>
      <c r="E23" s="45"/>
      <c r="F23" s="45"/>
    </row>
    <row r="24" spans="1:6" ht="12.75">
      <c r="A24" s="36" t="s">
        <v>69</v>
      </c>
      <c r="B24" s="17"/>
      <c r="C24" s="37">
        <v>0.0089</v>
      </c>
      <c r="D24" s="24"/>
      <c r="E24" s="45"/>
      <c r="F24" s="45"/>
    </row>
    <row r="25" spans="1:6" ht="12.75">
      <c r="A25" s="36" t="s">
        <v>70</v>
      </c>
      <c r="B25" s="17"/>
      <c r="C25" s="37">
        <v>0.012</v>
      </c>
      <c r="D25" s="24"/>
      <c r="E25" s="45" t="s">
        <v>75</v>
      </c>
      <c r="F25" s="45">
        <f>B10</f>
        <v>-76165.32599189192</v>
      </c>
    </row>
    <row r="26" spans="1:6" ht="12.75">
      <c r="A26" s="38" t="s">
        <v>71</v>
      </c>
      <c r="B26" s="39"/>
      <c r="C26" s="40">
        <v>0.0147</v>
      </c>
      <c r="D26" s="24"/>
      <c r="E26" s="45"/>
      <c r="F26" s="45"/>
    </row>
    <row r="27" spans="1:6" ht="13.5" thickBot="1">
      <c r="A27" s="21"/>
      <c r="B27" s="21"/>
      <c r="C27" s="21"/>
      <c r="D27" s="21"/>
      <c r="E27" s="51"/>
      <c r="F27" s="52">
        <f>F22+F25</f>
        <v>-155609.09982701272</v>
      </c>
    </row>
  </sheetData>
  <sheetProtection/>
  <mergeCells count="2">
    <mergeCell ref="A2:B2"/>
    <mergeCell ref="A3:F3"/>
  </mergeCells>
  <printOptions/>
  <pageMargins left="0.1968503937007874" right="0.1968503937007874" top="0.5118110236220472" bottom="0.3937007874015748" header="0.2755905511811024" footer="0.5118110236220472"/>
  <pageSetup cellComments="asDisplayed" fitToHeight="1" fitToWidth="1" horizontalDpi="600" verticalDpi="600" orientation="landscape" paperSize="5" scale="57" r:id="rId1"/>
  <headerFooter alignWithMargins="0">
    <oddHeader>&amp;L&amp;Z&amp;F&amp;R&amp;"Arial,Bold"&amp;12APPENDIX H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 Bay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Speziale</dc:creator>
  <cp:keywords/>
  <dc:description/>
  <cp:lastModifiedBy>skinnedu</cp:lastModifiedBy>
  <cp:lastPrinted>2012-04-02T19:24:56Z</cp:lastPrinted>
  <dcterms:created xsi:type="dcterms:W3CDTF">2003-07-30T16:46:22Z</dcterms:created>
  <dcterms:modified xsi:type="dcterms:W3CDTF">2012-04-02T20:18:25Z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