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9320" windowHeight="11760" activeTab="0"/>
  </bookViews>
  <sheets>
    <sheet name="Updated Classes RC Calc" sheetId="1" r:id="rId1"/>
    <sheet name="Existing Classes RC Calc" sheetId="2" r:id="rId2"/>
  </sheets>
  <externalReferences>
    <externalReference r:id="rId5"/>
  </externalReferences>
  <definedNames>
    <definedName name="_xlnm.Print_Area" localSheetId="0">'Updated Classes RC Calc'!$A$1:$K$60</definedName>
  </definedNames>
  <calcPr fullCalcOnLoad="1"/>
</workbook>
</file>

<file path=xl/sharedStrings.xml><?xml version="1.0" encoding="utf-8"?>
<sst xmlns="http://schemas.openxmlformats.org/spreadsheetml/2006/main" count="157" uniqueCount="54">
  <si>
    <t>Board Staff Min RC%</t>
  </si>
  <si>
    <t>Board Staff Max RC%</t>
  </si>
  <si>
    <t>Residential</t>
  </si>
  <si>
    <t>GS &lt; 50</t>
  </si>
  <si>
    <t>Street Light</t>
  </si>
  <si>
    <t>Unmetered</t>
  </si>
  <si>
    <t>Min Adjustment</t>
  </si>
  <si>
    <t>Minimum Adjustment</t>
  </si>
  <si>
    <t>100% DRR Adjustment</t>
  </si>
  <si>
    <t>New BRR%</t>
  </si>
  <si>
    <t>New BRR %</t>
  </si>
  <si>
    <t>Class Specific DRR %</t>
  </si>
  <si>
    <t>Rate Design - Revenue to Cost Ratios</t>
  </si>
  <si>
    <t>2006 Total Revenue</t>
  </si>
  <si>
    <t>Current RC%</t>
  </si>
  <si>
    <t>Min RC%</t>
  </si>
  <si>
    <t>Max RC%</t>
  </si>
  <si>
    <t>2006 Adjusted Total Revenue</t>
  </si>
  <si>
    <t>Allocation of Balance</t>
  </si>
  <si>
    <t>2006 Min Adjusted Total Revenue</t>
  </si>
  <si>
    <t>2006 Total Revenue %</t>
  </si>
  <si>
    <t>Applied for Rate Design (Street Light @ 70% RC, everyone else @ 100% RC plus subsidization)</t>
  </si>
  <si>
    <t>Subdization</t>
  </si>
  <si>
    <t>Alloction of Subsidization</t>
  </si>
  <si>
    <t>2006 Adjusted total Revenue</t>
  </si>
  <si>
    <t>2006 Adjusted Total Revenue %</t>
  </si>
  <si>
    <t>Verson 1</t>
  </si>
  <si>
    <t>less: 2009 Misc. Rev. Projection</t>
  </si>
  <si>
    <t>2009 Total Revenue</t>
  </si>
  <si>
    <t>2009 100% RC BRR</t>
  </si>
  <si>
    <t>2006 Total Revenue @ 100% RC</t>
  </si>
  <si>
    <t>Actual Applied for RC</t>
  </si>
  <si>
    <t>2009 Min Adustment BRR</t>
  </si>
  <si>
    <t>One Half of 100% DRR Adjustment</t>
  </si>
  <si>
    <t>Street Light @ 70% RC, everyone else @ 50% RC plus subsidization</t>
  </si>
  <si>
    <t>Erie Thames Powerlines</t>
  </si>
  <si>
    <t>2012 CA Revenue to Cost %</t>
  </si>
  <si>
    <t>Large Use</t>
  </si>
  <si>
    <t>Sentinel Lighting</t>
  </si>
  <si>
    <t>GS&gt;50 to 999 kW</t>
  </si>
  <si>
    <t>Embedded</t>
  </si>
  <si>
    <t>2012 Misc. Revenue</t>
  </si>
  <si>
    <t>2012 Total Revenue</t>
  </si>
  <si>
    <t>2012 DRR Current Rates</t>
  </si>
  <si>
    <t>2012 Total Revenue Current Rates</t>
  </si>
  <si>
    <t>2012 Total Revenue @ 100% RC</t>
  </si>
  <si>
    <t>2012 Current Rates Total Revenue %</t>
  </si>
  <si>
    <t>2012 100% RC BRR</t>
  </si>
  <si>
    <t>Actual Applied for RC Ratio</t>
  </si>
  <si>
    <t>Applied for Rate Design (Mitigate Residential Impacts across other classes)</t>
  </si>
  <si>
    <t>GS&gt;1000 to 4999 kW</t>
  </si>
  <si>
    <t>Rate Design - Revenue to Cost Ratios Existing Rate Classes</t>
  </si>
  <si>
    <t>GS&gt;1000 to 2999 kW</t>
  </si>
  <si>
    <t>GS&gt;3000 kW to 4999 kW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</si>
</sst>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0_);_(* \(#,##0.0000\);_(* &quot;-&quot;??_);_(@_)"/>
    <numFmt numFmtId="177" formatCode="0.000%"/>
    <numFmt numFmtId="178" formatCode="0.0000%"/>
    <numFmt numFmtId="179" formatCode="_(* #,##0.0000_);_(* \(#,##0.0000\);_(* &quot;-&quot;????_);_(@_)"/>
    <numFmt numFmtId="180" formatCode="_(* #,##0.00000000_);_(* \(#,##0.00000000\);_(* &quot;-&quot;????????_);_(@_)"/>
    <numFmt numFmtId="181" formatCode="0.0000000000000%"/>
    <numFmt numFmtId="182" formatCode="_(* #,##0.0000000000000_);_(* \(#,##0.0000000000000\);_(* &quot;-&quot;?????????????_);_(@_)"/>
    <numFmt numFmtId="183" formatCode="[$-1009]mmmm\ d\,\ yyyy"/>
    <numFmt numFmtId="184" formatCode="[$-F800]dddd\,\ mmmm\ dd\,\ yyyy"/>
    <numFmt numFmtId="185" formatCode="[$-409]dddd\,\ mmmm\ dd\,\ yyyy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74" fontId="1" fillId="0" borderId="0" xfId="0" applyNumberFormat="1" applyFont="1" applyAlignment="1">
      <alignment horizontal="center"/>
    </xf>
    <xf numFmtId="10" fontId="0" fillId="0" borderId="0" xfId="59" applyNumberFormat="1" applyFont="1" applyAlignment="1">
      <alignment horizontal="center"/>
    </xf>
    <xf numFmtId="174" fontId="0" fillId="0" borderId="0" xfId="42" applyNumberFormat="1" applyFont="1" applyAlignment="1">
      <alignment horizontal="center"/>
    </xf>
    <xf numFmtId="174" fontId="0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0" fontId="0" fillId="0" borderId="0" xfId="59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3" xfId="0" applyFont="1" applyFill="1" applyBorder="1" applyAlignment="1">
      <alignment horizontal="center"/>
    </xf>
    <xf numFmtId="43" fontId="0" fillId="0" borderId="0" xfId="0" applyNumberFormat="1" applyFont="1" applyBorder="1" applyAlignment="1">
      <alignment horizontal="center"/>
    </xf>
    <xf numFmtId="174" fontId="0" fillId="0" borderId="0" xfId="0" applyNumberFormat="1" applyFont="1" applyBorder="1" applyAlignment="1">
      <alignment horizontal="center"/>
    </xf>
    <xf numFmtId="43" fontId="0" fillId="0" borderId="11" xfId="0" applyNumberFormat="1" applyFont="1" applyBorder="1" applyAlignment="1">
      <alignment horizontal="center"/>
    </xf>
    <xf numFmtId="174" fontId="0" fillId="0" borderId="11" xfId="0" applyNumberFormat="1" applyFont="1" applyBorder="1" applyAlignment="1">
      <alignment horizontal="center"/>
    </xf>
    <xf numFmtId="9" fontId="0" fillId="0" borderId="0" xfId="59" applyFont="1" applyBorder="1" applyAlignment="1">
      <alignment horizontal="center"/>
    </xf>
    <xf numFmtId="0" fontId="1" fillId="33" borderId="15" xfId="0" applyFont="1" applyFill="1" applyBorder="1" applyAlignment="1">
      <alignment/>
    </xf>
    <xf numFmtId="10" fontId="1" fillId="33" borderId="16" xfId="59" applyNumberFormat="1" applyFont="1" applyFill="1" applyBorder="1" applyAlignment="1">
      <alignment horizontal="center"/>
    </xf>
    <xf numFmtId="176" fontId="0" fillId="0" borderId="0" xfId="0" applyNumberFormat="1" applyFont="1" applyBorder="1" applyAlignment="1">
      <alignment horizontal="center"/>
    </xf>
    <xf numFmtId="10" fontId="0" fillId="0" borderId="11" xfId="59" applyNumberFormat="1" applyFont="1" applyBorder="1" applyAlignment="1">
      <alignment horizontal="center"/>
    </xf>
    <xf numFmtId="10" fontId="1" fillId="33" borderId="17" xfId="59" applyNumberFormat="1" applyFont="1" applyFill="1" applyBorder="1" applyAlignment="1">
      <alignment horizontal="center"/>
    </xf>
    <xf numFmtId="9" fontId="0" fillId="0" borderId="11" xfId="59" applyFont="1" applyBorder="1" applyAlignment="1">
      <alignment horizontal="center"/>
    </xf>
    <xf numFmtId="174" fontId="0" fillId="0" borderId="0" xfId="42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174" fontId="0" fillId="0" borderId="11" xfId="42" applyNumberFormat="1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43" fontId="0" fillId="0" borderId="0" xfId="0" applyNumberFormat="1" applyAlignment="1">
      <alignment/>
    </xf>
    <xf numFmtId="9" fontId="0" fillId="0" borderId="0" xfId="59" applyFont="1" applyFill="1" applyBorder="1" applyAlignment="1">
      <alignment horizontal="center"/>
    </xf>
    <xf numFmtId="0" fontId="0" fillId="33" borderId="0" xfId="0" applyFill="1" applyAlignment="1">
      <alignment/>
    </xf>
    <xf numFmtId="174" fontId="0" fillId="33" borderId="0" xfId="42" applyNumberFormat="1" applyFont="1" applyFill="1" applyAlignment="1">
      <alignment horizontal="center"/>
    </xf>
    <xf numFmtId="10" fontId="0" fillId="0" borderId="0" xfId="59" applyNumberFormat="1" applyFont="1" applyFill="1" applyBorder="1" applyAlignment="1">
      <alignment horizontal="center"/>
    </xf>
    <xf numFmtId="10" fontId="0" fillId="0" borderId="11" xfId="59" applyNumberFormat="1" applyFont="1" applyFill="1" applyBorder="1" applyAlignment="1">
      <alignment horizontal="center"/>
    </xf>
    <xf numFmtId="0" fontId="0" fillId="0" borderId="10" xfId="0" applyBorder="1" applyAlignment="1">
      <alignment wrapText="1"/>
    </xf>
    <xf numFmtId="174" fontId="0" fillId="0" borderId="0" xfId="59" applyNumberFormat="1" applyFont="1" applyBorder="1" applyAlignment="1">
      <alignment horizontal="center"/>
    </xf>
    <xf numFmtId="174" fontId="0" fillId="0" borderId="0" xfId="0" applyNumberFormat="1" applyFont="1" applyBorder="1" applyAlignment="1">
      <alignment horizontal="left" wrapText="1"/>
    </xf>
    <xf numFmtId="174" fontId="0" fillId="0" borderId="11" xfId="59" applyNumberFormat="1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/>
    </xf>
    <xf numFmtId="43" fontId="0" fillId="0" borderId="0" xfId="0" applyNumberFormat="1" applyFont="1" applyAlignment="1">
      <alignment horizontal="center"/>
    </xf>
    <xf numFmtId="181" fontId="0" fillId="0" borderId="0" xfId="0" applyNumberFormat="1" applyAlignment="1">
      <alignment/>
    </xf>
    <xf numFmtId="10" fontId="1" fillId="0" borderId="0" xfId="59" applyNumberFormat="1" applyFont="1" applyAlignment="1">
      <alignment horizontal="center"/>
    </xf>
    <xf numFmtId="9" fontId="0" fillId="0" borderId="0" xfId="59" applyFont="1" applyBorder="1" applyAlignment="1">
      <alignment horizontal="right" wrapText="1"/>
    </xf>
    <xf numFmtId="0" fontId="0" fillId="0" borderId="0" xfId="0" applyFill="1" applyAlignment="1">
      <alignment/>
    </xf>
    <xf numFmtId="174" fontId="1" fillId="0" borderId="0" xfId="0" applyNumberFormat="1" applyFont="1" applyFill="1" applyAlignment="1">
      <alignment horizontal="center"/>
    </xf>
    <xf numFmtId="10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84" fontId="5" fillId="0" borderId="0" xfId="0" applyNumberFormat="1" applyFont="1" applyAlignment="1">
      <alignment horizontal="center"/>
    </xf>
    <xf numFmtId="184" fontId="5" fillId="0" borderId="0" xfId="0" applyNumberFormat="1" applyFont="1" applyAlignment="1" quotePrefix="1">
      <alignment horizontal="center"/>
    </xf>
    <xf numFmtId="0" fontId="5" fillId="0" borderId="0" xfId="0" applyFont="1" applyAlignment="1" quotePrefix="1">
      <alignment horizontal="center"/>
    </xf>
    <xf numFmtId="174" fontId="0" fillId="0" borderId="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raigp\My%20Documents\2012%20Cost%20of%20Service\Written%20Exibits\Updated%20Models%20March%202012\ETPL%202012%20Revenue%20Requirement%20Model%20March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Entry"/>
      <sheetName val="OM&amp;A TEST"/>
      <sheetName val="Capital Test"/>
      <sheetName val="Rate Base Summary"/>
      <sheetName val="Materiality Threshold"/>
      <sheetName val="Customer Count Forecast"/>
      <sheetName val="Customer-Load Forecast"/>
      <sheetName val="COP Projections"/>
      <sheetName val="Distribution Revenue Data"/>
      <sheetName val="Other Revenue"/>
      <sheetName val="Summary of Revenue"/>
      <sheetName val="Sheet1"/>
      <sheetName val="WCA by Account"/>
      <sheetName val="REV REQ"/>
      <sheetName val="Summary of Op Costs"/>
      <sheetName val="OM&amp;A Costs"/>
      <sheetName val="DepAmortDepletion"/>
      <sheetName val="Loss Factor"/>
      <sheetName val="Income Tax"/>
      <sheetName val="CCA"/>
      <sheetName val="Interest Expense"/>
      <sheetName val="Capital Structure"/>
      <sheetName val="Debt Details"/>
      <sheetName val="Return on Equity"/>
      <sheetName val="Rev Def or Suf"/>
      <sheetName val="Regulated Return"/>
      <sheetName val="2011 Proforma"/>
      <sheetName val="2012 Proforma"/>
    </sheetNames>
    <sheetDataSet>
      <sheetData sheetId="9">
        <row r="21">
          <cell r="S21">
            <v>933058.10875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6"/>
  <sheetViews>
    <sheetView tabSelected="1" zoomScale="85" zoomScaleNormal="85" zoomScalePageLayoutView="0" workbookViewId="0" topLeftCell="A1">
      <selection activeCell="B37" sqref="B37"/>
    </sheetView>
  </sheetViews>
  <sheetFormatPr defaultColWidth="9.140625" defaultRowHeight="12.75"/>
  <cols>
    <col min="1" max="1" width="30.7109375" style="0" customWidth="1"/>
    <col min="2" max="10" width="21.57421875" style="1" customWidth="1"/>
    <col min="11" max="11" width="17.7109375" style="1" customWidth="1"/>
    <col min="12" max="12" width="10.7109375" style="0" customWidth="1"/>
    <col min="13" max="13" width="12.28125" style="0" bestFit="1" customWidth="1"/>
    <col min="14" max="14" width="19.8515625" style="0" bestFit="1" customWidth="1"/>
  </cols>
  <sheetData>
    <row r="1" spans="1:10" ht="18">
      <c r="A1" s="50" t="s">
        <v>35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18">
      <c r="A2" s="50" t="s">
        <v>12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18">
      <c r="A3" s="51">
        <f ca="1">TODAY()</f>
        <v>41011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18">
      <c r="A4" s="50" t="s">
        <v>26</v>
      </c>
      <c r="B4" s="53"/>
      <c r="C4" s="53"/>
      <c r="D4" s="53"/>
      <c r="E4" s="53"/>
      <c r="F4" s="53"/>
      <c r="G4" s="53"/>
      <c r="H4" s="53"/>
      <c r="I4" s="53"/>
      <c r="J4" s="53"/>
    </row>
    <row r="6" spans="2:10" ht="12.75">
      <c r="B6" s="1" t="s">
        <v>2</v>
      </c>
      <c r="C6" s="1" t="s">
        <v>3</v>
      </c>
      <c r="D6" s="1" t="s">
        <v>39</v>
      </c>
      <c r="E6" s="1" t="s">
        <v>50</v>
      </c>
      <c r="F6" s="1" t="s">
        <v>37</v>
      </c>
      <c r="G6" s="1" t="s">
        <v>38</v>
      </c>
      <c r="H6" s="1" t="s">
        <v>4</v>
      </c>
      <c r="I6" s="1" t="s">
        <v>40</v>
      </c>
      <c r="J6" s="1" t="s">
        <v>5</v>
      </c>
    </row>
    <row r="7" spans="1:10" ht="12.75">
      <c r="A7" t="s">
        <v>36</v>
      </c>
      <c r="B7" s="3">
        <v>1.0556201823084093</v>
      </c>
      <c r="C7" s="3">
        <v>0.9376967008022015</v>
      </c>
      <c r="D7" s="3">
        <v>0.8545476286364422</v>
      </c>
      <c r="E7" s="3">
        <v>0.8545476286364422</v>
      </c>
      <c r="F7" s="3">
        <v>1.0338426048306004</v>
      </c>
      <c r="G7" s="3">
        <v>0.7436276952696492</v>
      </c>
      <c r="H7" s="3">
        <v>1.0385465745382805</v>
      </c>
      <c r="I7" s="3">
        <v>0.6956553818560769</v>
      </c>
      <c r="J7" s="3">
        <v>0.286963837760738</v>
      </c>
    </row>
    <row r="8" spans="1:10" ht="12.75">
      <c r="A8" t="s">
        <v>0</v>
      </c>
      <c r="B8" s="3">
        <v>0.85</v>
      </c>
      <c r="C8" s="3">
        <v>0.8</v>
      </c>
      <c r="D8" s="3">
        <v>0.8</v>
      </c>
      <c r="E8" s="3">
        <v>0.8</v>
      </c>
      <c r="F8" s="3">
        <v>0.8</v>
      </c>
      <c r="G8" s="3">
        <v>0.7</v>
      </c>
      <c r="H8" s="3">
        <v>0.7</v>
      </c>
      <c r="I8" s="3">
        <v>0.7</v>
      </c>
      <c r="J8" s="3">
        <v>0.8</v>
      </c>
    </row>
    <row r="9" spans="1:10" ht="12.75">
      <c r="A9" t="s">
        <v>1</v>
      </c>
      <c r="B9" s="3">
        <v>1.15</v>
      </c>
      <c r="C9" s="3">
        <v>1.2</v>
      </c>
      <c r="D9" s="3">
        <v>1.8</v>
      </c>
      <c r="E9" s="3">
        <v>1.8</v>
      </c>
      <c r="F9" s="3">
        <v>1.8</v>
      </c>
      <c r="G9" s="3">
        <v>1.2</v>
      </c>
      <c r="H9" s="3">
        <v>1.2</v>
      </c>
      <c r="I9" s="3">
        <v>1.8</v>
      </c>
      <c r="J9" s="3">
        <v>1.2</v>
      </c>
    </row>
    <row r="10" spans="1:11" ht="12.75">
      <c r="A10" t="s">
        <v>43</v>
      </c>
      <c r="B10" s="4">
        <v>4868699</v>
      </c>
      <c r="C10" s="4">
        <v>1016184</v>
      </c>
      <c r="D10" s="4">
        <v>926213</v>
      </c>
      <c r="E10" s="4">
        <v>444668</v>
      </c>
      <c r="F10" s="4">
        <v>349473</v>
      </c>
      <c r="G10" s="4">
        <v>20837</v>
      </c>
      <c r="H10" s="4">
        <v>385197</v>
      </c>
      <c r="I10" s="4">
        <v>114965</v>
      </c>
      <c r="J10" s="4">
        <v>13889</v>
      </c>
      <c r="K10" s="2">
        <f>SUM(B10:J10)</f>
        <v>8140125</v>
      </c>
    </row>
    <row r="11" spans="1:11" ht="12.75">
      <c r="A11" t="s">
        <v>41</v>
      </c>
      <c r="B11" s="4">
        <v>597067</v>
      </c>
      <c r="C11" s="4">
        <v>130812</v>
      </c>
      <c r="D11" s="4">
        <v>98451</v>
      </c>
      <c r="E11" s="4">
        <v>35404</v>
      </c>
      <c r="F11" s="4">
        <v>17262</v>
      </c>
      <c r="G11" s="4">
        <v>2742</v>
      </c>
      <c r="H11" s="4">
        <v>31623</v>
      </c>
      <c r="I11" s="4">
        <v>4399</v>
      </c>
      <c r="J11" s="4">
        <v>11941</v>
      </c>
      <c r="K11" s="2">
        <f>SUM(B11:J11)</f>
        <v>929701</v>
      </c>
    </row>
    <row r="12" spans="1:11" s="47" customFormat="1" ht="12.75">
      <c r="A12" s="33" t="s">
        <v>44</v>
      </c>
      <c r="B12" s="34">
        <f aca="true" t="shared" si="0" ref="B12:J12">B10+B11</f>
        <v>5465766</v>
      </c>
      <c r="C12" s="34">
        <f t="shared" si="0"/>
        <v>1146996</v>
      </c>
      <c r="D12" s="34">
        <f t="shared" si="0"/>
        <v>1024664</v>
      </c>
      <c r="E12" s="34">
        <f>E10+E11</f>
        <v>480072</v>
      </c>
      <c r="F12" s="34">
        <f t="shared" si="0"/>
        <v>366735</v>
      </c>
      <c r="G12" s="34">
        <f t="shared" si="0"/>
        <v>23579</v>
      </c>
      <c r="H12" s="34">
        <f t="shared" si="0"/>
        <v>416820</v>
      </c>
      <c r="I12" s="34">
        <f>I10+I11</f>
        <v>119364</v>
      </c>
      <c r="J12" s="34">
        <f t="shared" si="0"/>
        <v>25830</v>
      </c>
      <c r="K12" s="48">
        <f>SUM(B12:J12)</f>
        <v>9069826</v>
      </c>
    </row>
    <row r="13" spans="2:10" ht="13.5" thickBot="1">
      <c r="B13" s="49">
        <f>C13</f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f>J8-J7</f>
        <v>0.5130361622392621</v>
      </c>
    </row>
    <row r="14" spans="1:11" ht="12.75">
      <c r="A14" s="10" t="s">
        <v>7</v>
      </c>
      <c r="B14" s="11"/>
      <c r="C14" s="11"/>
      <c r="D14" s="11"/>
      <c r="E14" s="11"/>
      <c r="F14" s="11"/>
      <c r="G14" s="11"/>
      <c r="H14" s="11"/>
      <c r="I14" s="11"/>
      <c r="J14" s="12"/>
      <c r="K14" s="7"/>
    </row>
    <row r="15" spans="1:11" ht="12.75">
      <c r="A15" s="13"/>
      <c r="B15" s="7"/>
      <c r="C15" s="7"/>
      <c r="D15" s="7"/>
      <c r="E15" s="7"/>
      <c r="F15" s="7"/>
      <c r="G15" s="7"/>
      <c r="H15" s="7"/>
      <c r="I15" s="7"/>
      <c r="J15" s="8"/>
      <c r="K15" s="7"/>
    </row>
    <row r="16" spans="1:11" ht="12.75">
      <c r="A16" s="14" t="s">
        <v>14</v>
      </c>
      <c r="B16" s="35">
        <f aca="true" t="shared" si="1" ref="B16:J18">B7</f>
        <v>1.0556201823084093</v>
      </c>
      <c r="C16" s="35">
        <f t="shared" si="1"/>
        <v>0.9376967008022015</v>
      </c>
      <c r="D16" s="35">
        <f t="shared" si="1"/>
        <v>0.8545476286364422</v>
      </c>
      <c r="E16" s="35">
        <f>E7</f>
        <v>0.8545476286364422</v>
      </c>
      <c r="F16" s="35">
        <f t="shared" si="1"/>
        <v>1.0338426048306004</v>
      </c>
      <c r="G16" s="35">
        <f t="shared" si="1"/>
        <v>0.7436276952696492</v>
      </c>
      <c r="H16" s="35">
        <f t="shared" si="1"/>
        <v>1.0385465745382805</v>
      </c>
      <c r="I16" s="35">
        <f>I7</f>
        <v>0.6956553818560769</v>
      </c>
      <c r="J16" s="36">
        <f t="shared" si="1"/>
        <v>0.286963837760738</v>
      </c>
      <c r="K16" s="17"/>
    </row>
    <row r="17" spans="1:11" ht="12.75">
      <c r="A17" s="28" t="s">
        <v>15</v>
      </c>
      <c r="B17" s="35">
        <f t="shared" si="1"/>
        <v>0.85</v>
      </c>
      <c r="C17" s="35">
        <f t="shared" si="1"/>
        <v>0.8</v>
      </c>
      <c r="D17" s="35">
        <f t="shared" si="1"/>
        <v>0.8</v>
      </c>
      <c r="E17" s="35">
        <f>E8</f>
        <v>0.8</v>
      </c>
      <c r="F17" s="35">
        <f>F8</f>
        <v>0.8</v>
      </c>
      <c r="G17" s="35">
        <f>G8</f>
        <v>0.7</v>
      </c>
      <c r="H17" s="35">
        <f t="shared" si="1"/>
        <v>0.7</v>
      </c>
      <c r="I17" s="35">
        <f>I8</f>
        <v>0.7</v>
      </c>
      <c r="J17" s="36">
        <f t="shared" si="1"/>
        <v>0.8</v>
      </c>
      <c r="K17" s="17"/>
    </row>
    <row r="18" spans="1:11" ht="12.75">
      <c r="A18" s="28" t="s">
        <v>16</v>
      </c>
      <c r="B18" s="9">
        <f t="shared" si="1"/>
        <v>1.15</v>
      </c>
      <c r="C18" s="9">
        <f t="shared" si="1"/>
        <v>1.2</v>
      </c>
      <c r="D18" s="9">
        <f t="shared" si="1"/>
        <v>1.8</v>
      </c>
      <c r="E18" s="9">
        <f>E9</f>
        <v>1.8</v>
      </c>
      <c r="F18" s="9">
        <f>F9</f>
        <v>1.8</v>
      </c>
      <c r="G18" s="9">
        <f>G9</f>
        <v>1.2</v>
      </c>
      <c r="H18" s="9">
        <f t="shared" si="1"/>
        <v>1.2</v>
      </c>
      <c r="I18" s="9">
        <f>I9</f>
        <v>1.8</v>
      </c>
      <c r="J18" s="24">
        <f t="shared" si="1"/>
        <v>1.2</v>
      </c>
      <c r="K18" s="17"/>
    </row>
    <row r="19" spans="1:11" ht="12.75">
      <c r="A19" s="6"/>
      <c r="B19" s="9"/>
      <c r="C19" s="9"/>
      <c r="D19" s="9"/>
      <c r="E19" s="9"/>
      <c r="F19" s="9"/>
      <c r="G19" s="9"/>
      <c r="H19" s="9"/>
      <c r="I19" s="9"/>
      <c r="J19" s="24"/>
      <c r="K19" s="17"/>
    </row>
    <row r="20" spans="1:11" ht="12.75">
      <c r="A20" s="28" t="s">
        <v>13</v>
      </c>
      <c r="B20" s="27">
        <f aca="true" t="shared" si="2" ref="B20:J20">B12</f>
        <v>5465766</v>
      </c>
      <c r="C20" s="27">
        <f t="shared" si="2"/>
        <v>1146996</v>
      </c>
      <c r="D20" s="27">
        <f t="shared" si="2"/>
        <v>1024664</v>
      </c>
      <c r="E20" s="27">
        <f>E12</f>
        <v>480072</v>
      </c>
      <c r="F20" s="27">
        <f t="shared" si="2"/>
        <v>366735</v>
      </c>
      <c r="G20" s="27">
        <f t="shared" si="2"/>
        <v>23579</v>
      </c>
      <c r="H20" s="27">
        <f t="shared" si="2"/>
        <v>416820</v>
      </c>
      <c r="I20" s="27">
        <f>I12</f>
        <v>119364</v>
      </c>
      <c r="J20" s="29">
        <f t="shared" si="2"/>
        <v>25830</v>
      </c>
      <c r="K20" s="17">
        <f>SUM(B20:J20)</f>
        <v>9069826</v>
      </c>
    </row>
    <row r="21" spans="1:11" ht="12.75">
      <c r="A21" s="28" t="s">
        <v>6</v>
      </c>
      <c r="B21" s="27">
        <v>0</v>
      </c>
      <c r="C21" s="27">
        <v>0</v>
      </c>
      <c r="D21" s="27">
        <v>0</v>
      </c>
      <c r="E21" s="27">
        <v>0</v>
      </c>
      <c r="F21" s="27"/>
      <c r="G21" s="27"/>
      <c r="H21" s="27">
        <v>0</v>
      </c>
      <c r="I21" s="27">
        <v>0</v>
      </c>
      <c r="J21" s="29">
        <f>-J20+J20/J16*J18</f>
        <v>82183.60980488262</v>
      </c>
      <c r="K21" s="17"/>
    </row>
    <row r="22" spans="1:14" ht="12.75">
      <c r="A22" s="28" t="s">
        <v>19</v>
      </c>
      <c r="B22" s="27">
        <f aca="true" t="shared" si="3" ref="B22:J22">B20+B21</f>
        <v>5465766</v>
      </c>
      <c r="C22" s="27">
        <f t="shared" si="3"/>
        <v>1146996</v>
      </c>
      <c r="D22" s="27">
        <f t="shared" si="3"/>
        <v>1024664</v>
      </c>
      <c r="E22" s="27">
        <f>E20+E21</f>
        <v>480072</v>
      </c>
      <c r="F22" s="27">
        <f t="shared" si="3"/>
        <v>366735</v>
      </c>
      <c r="G22" s="27">
        <f t="shared" si="3"/>
        <v>23579</v>
      </c>
      <c r="H22" s="27">
        <f t="shared" si="3"/>
        <v>416820</v>
      </c>
      <c r="I22" s="27">
        <f>I20+I21</f>
        <v>119364</v>
      </c>
      <c r="J22" s="29">
        <f t="shared" si="3"/>
        <v>108013.60980488262</v>
      </c>
      <c r="K22" s="17">
        <f>SUM(B22:J22)</f>
        <v>9152009.609804882</v>
      </c>
      <c r="L22" s="17">
        <f>K20-K22</f>
        <v>-82183.60980488174</v>
      </c>
      <c r="N22" s="44"/>
    </row>
    <row r="23" spans="1:14" ht="12.75">
      <c r="A23" s="6" t="s">
        <v>18</v>
      </c>
      <c r="B23" s="27">
        <f aca="true" t="shared" si="4" ref="B23:I23">B22/($B$22+$C$22+$D$22+$F$22+$E$22+$G$22+$H$22+$I$22)*$L$22</f>
        <v>-49667.91009513817</v>
      </c>
      <c r="C23" s="27">
        <f t="shared" si="4"/>
        <v>-10422.856413443807</v>
      </c>
      <c r="D23" s="27">
        <f t="shared" si="4"/>
        <v>-9311.21446284467</v>
      </c>
      <c r="E23" s="27">
        <f t="shared" si="4"/>
        <v>-4362.457693065011</v>
      </c>
      <c r="F23" s="27">
        <f t="shared" si="4"/>
        <v>-3332.554121186399</v>
      </c>
      <c r="G23" s="27">
        <f t="shared" si="4"/>
        <v>-214.26450604238505</v>
      </c>
      <c r="H23" s="27">
        <f t="shared" si="4"/>
        <v>-3787.68104705827</v>
      </c>
      <c r="I23" s="27">
        <f t="shared" si="4"/>
        <v>-1084.671466103026</v>
      </c>
      <c r="J23" s="29"/>
      <c r="K23" s="2">
        <f>SUM(B23:J23)</f>
        <v>-82183.60980488174</v>
      </c>
      <c r="N23" s="31"/>
    </row>
    <row r="24" spans="1:11" ht="12.75">
      <c r="A24" s="6" t="s">
        <v>17</v>
      </c>
      <c r="B24" s="17">
        <f aca="true" t="shared" si="5" ref="B24:J24">B22+B23</f>
        <v>5416098.0899048615</v>
      </c>
      <c r="C24" s="17">
        <f t="shared" si="5"/>
        <v>1136573.1435865562</v>
      </c>
      <c r="D24" s="17">
        <f t="shared" si="5"/>
        <v>1015352.7855371553</v>
      </c>
      <c r="E24" s="17">
        <f>E22+E23</f>
        <v>475709.542306935</v>
      </c>
      <c r="F24" s="17">
        <f t="shared" si="5"/>
        <v>363402.4458788136</v>
      </c>
      <c r="G24" s="17">
        <f t="shared" si="5"/>
        <v>23364.735493957614</v>
      </c>
      <c r="H24" s="17">
        <f t="shared" si="5"/>
        <v>413032.31895294174</v>
      </c>
      <c r="I24" s="17">
        <f>I22+I23</f>
        <v>118279.32853389697</v>
      </c>
      <c r="J24" s="19">
        <f t="shared" si="5"/>
        <v>108013.60980488262</v>
      </c>
      <c r="K24" s="17">
        <f>SUM(B24:J24)</f>
        <v>9069826.000000002</v>
      </c>
    </row>
    <row r="25" spans="1:11" ht="12.75">
      <c r="A25" s="6"/>
      <c r="B25" s="17"/>
      <c r="C25" s="17"/>
      <c r="D25" s="17"/>
      <c r="E25" s="17"/>
      <c r="F25" s="17"/>
      <c r="G25" s="17"/>
      <c r="H25" s="17"/>
      <c r="I25" s="17"/>
      <c r="J25" s="19"/>
      <c r="K25" s="17"/>
    </row>
    <row r="26" spans="1:11" ht="12.75">
      <c r="A26" s="6" t="s">
        <v>20</v>
      </c>
      <c r="B26" s="9">
        <f aca="true" t="shared" si="6" ref="B26:J26">B24/$K24</f>
        <v>0.5971556775074693</v>
      </c>
      <c r="C26" s="9">
        <f t="shared" si="6"/>
        <v>0.1253136657292605</v>
      </c>
      <c r="D26" s="9">
        <f t="shared" si="6"/>
        <v>0.1119484304921787</v>
      </c>
      <c r="E26" s="9">
        <f t="shared" si="6"/>
        <v>0.052449687822780165</v>
      </c>
      <c r="F26" s="9">
        <f t="shared" si="6"/>
        <v>0.04006719047077789</v>
      </c>
      <c r="G26" s="9">
        <f t="shared" si="6"/>
        <v>0.0025760952298266374</v>
      </c>
      <c r="H26" s="9">
        <f t="shared" si="6"/>
        <v>0.04553916678808851</v>
      </c>
      <c r="I26" s="9">
        <f t="shared" si="6"/>
        <v>0.01304096997383378</v>
      </c>
      <c r="J26" s="24">
        <f t="shared" si="6"/>
        <v>0.011909115985784358</v>
      </c>
      <c r="K26" s="17"/>
    </row>
    <row r="27" spans="1:11" ht="12.75">
      <c r="A27" s="6"/>
      <c r="B27" s="17"/>
      <c r="C27" s="17"/>
      <c r="D27" s="17"/>
      <c r="E27" s="17"/>
      <c r="F27" s="17"/>
      <c r="G27" s="17"/>
      <c r="H27" s="17"/>
      <c r="I27" s="17"/>
      <c r="J27" s="19"/>
      <c r="K27" s="17"/>
    </row>
    <row r="28" spans="1:11" ht="12.75">
      <c r="A28" s="6" t="s">
        <v>42</v>
      </c>
      <c r="B28" s="17">
        <f aca="true" t="shared" si="7" ref="B28:J28">B26*$K28</f>
        <v>6035481.662222947</v>
      </c>
      <c r="C28" s="17">
        <f t="shared" si="7"/>
        <v>1266551.3533954932</v>
      </c>
      <c r="D28" s="17">
        <f t="shared" si="7"/>
        <v>1131468.2666510083</v>
      </c>
      <c r="E28" s="17">
        <f t="shared" si="7"/>
        <v>530111.5621390844</v>
      </c>
      <c r="F28" s="17">
        <f t="shared" si="7"/>
        <v>404961.055302282</v>
      </c>
      <c r="G28" s="17">
        <f t="shared" si="7"/>
        <v>26036.720582907295</v>
      </c>
      <c r="H28" s="17">
        <f t="shared" si="7"/>
        <v>460266.58778435976</v>
      </c>
      <c r="I28" s="17">
        <f t="shared" si="7"/>
        <v>131805.7218566583</v>
      </c>
      <c r="J28" s="19">
        <f t="shared" si="7"/>
        <v>120366.01819730432</v>
      </c>
      <c r="K28" s="17">
        <v>10107048.948132046</v>
      </c>
    </row>
    <row r="29" spans="1:11" ht="12.75">
      <c r="A29" s="6" t="s">
        <v>27</v>
      </c>
      <c r="B29" s="17">
        <f aca="true" t="shared" si="8" ref="B29:J29">B26*$K$29</f>
        <v>557180.9470844442</v>
      </c>
      <c r="C29" s="17">
        <f t="shared" si="8"/>
        <v>116924.9319458735</v>
      </c>
      <c r="D29" s="17">
        <f t="shared" si="8"/>
        <v>104454.39083256309</v>
      </c>
      <c r="E29" s="17">
        <f t="shared" si="8"/>
        <v>48938.60652445117</v>
      </c>
      <c r="F29" s="17">
        <f t="shared" si="8"/>
        <v>37385.016963590046</v>
      </c>
      <c r="G29" s="17">
        <f t="shared" si="8"/>
        <v>2403.6465431019387</v>
      </c>
      <c r="H29" s="17">
        <f t="shared" si="8"/>
        <v>42490.68883734468</v>
      </c>
      <c r="I29" s="17">
        <f t="shared" si="8"/>
        <v>12167.982780050885</v>
      </c>
      <c r="J29" s="19">
        <f t="shared" si="8"/>
        <v>11111.897238580344</v>
      </c>
      <c r="K29" s="17">
        <f>'[1]Other Revenue'!$S$21</f>
        <v>933058.10875</v>
      </c>
    </row>
    <row r="30" spans="1:11" ht="12.75">
      <c r="A30" s="6" t="s">
        <v>32</v>
      </c>
      <c r="B30" s="17">
        <f>B28-B29</f>
        <v>5478300.715138502</v>
      </c>
      <c r="C30" s="17">
        <f aca="true" t="shared" si="9" ref="C30:J30">C28-C29</f>
        <v>1149626.4214496198</v>
      </c>
      <c r="D30" s="17">
        <f t="shared" si="9"/>
        <v>1027013.8758184452</v>
      </c>
      <c r="E30" s="17">
        <f>E28-E29</f>
        <v>481172.9556146333</v>
      </c>
      <c r="F30" s="17">
        <f t="shared" si="9"/>
        <v>367576.0383386919</v>
      </c>
      <c r="G30" s="17">
        <f t="shared" si="9"/>
        <v>23633.074039805357</v>
      </c>
      <c r="H30" s="17">
        <f t="shared" si="9"/>
        <v>417775.89894701506</v>
      </c>
      <c r="I30" s="17">
        <f>I28-I29</f>
        <v>119637.73907660741</v>
      </c>
      <c r="J30" s="19">
        <f t="shared" si="9"/>
        <v>109254.12095872397</v>
      </c>
      <c r="K30" s="17">
        <f>SUM(B30:J30)</f>
        <v>9173990.839382045</v>
      </c>
    </row>
    <row r="31" spans="1:11" ht="13.5" thickBot="1">
      <c r="A31" s="21" t="s">
        <v>9</v>
      </c>
      <c r="B31" s="22">
        <f aca="true" t="shared" si="10" ref="B31:J31">B30/$K30</f>
        <v>0.5971556775074693</v>
      </c>
      <c r="C31" s="22">
        <f t="shared" si="10"/>
        <v>0.12531366572926053</v>
      </c>
      <c r="D31" s="22">
        <f t="shared" si="10"/>
        <v>0.11194843049217873</v>
      </c>
      <c r="E31" s="22">
        <f t="shared" si="10"/>
        <v>0.05244968782278017</v>
      </c>
      <c r="F31" s="22">
        <f t="shared" si="10"/>
        <v>0.04006719047077789</v>
      </c>
      <c r="G31" s="22">
        <f t="shared" si="10"/>
        <v>0.0025760952298266374</v>
      </c>
      <c r="H31" s="22">
        <f t="shared" si="10"/>
        <v>0.04553916678808851</v>
      </c>
      <c r="I31" s="22">
        <f t="shared" si="10"/>
        <v>0.01304096997383378</v>
      </c>
      <c r="J31" s="25">
        <f t="shared" si="10"/>
        <v>0.011909115985784358</v>
      </c>
      <c r="K31" s="20"/>
    </row>
    <row r="32" spans="2:10" ht="13.5" thickBot="1">
      <c r="B32" s="49"/>
      <c r="C32" s="49"/>
      <c r="D32" s="49"/>
      <c r="E32" s="49"/>
      <c r="F32" s="49"/>
      <c r="G32" s="49"/>
      <c r="H32" s="49"/>
      <c r="I32" s="49"/>
      <c r="J32" s="49"/>
    </row>
    <row r="33" spans="1:11" ht="12.75">
      <c r="A33" s="10" t="s">
        <v>8</v>
      </c>
      <c r="B33" s="15"/>
      <c r="C33" s="11"/>
      <c r="D33" s="11"/>
      <c r="E33" s="11"/>
      <c r="F33" s="11"/>
      <c r="G33" s="11"/>
      <c r="H33" s="11"/>
      <c r="I33" s="11"/>
      <c r="J33" s="12"/>
      <c r="K33" s="7"/>
    </row>
    <row r="34" spans="1:11" ht="12.75">
      <c r="A34" s="6"/>
      <c r="B34" s="7"/>
      <c r="C34" s="7"/>
      <c r="D34" s="7"/>
      <c r="E34" s="7"/>
      <c r="F34" s="7"/>
      <c r="G34" s="7"/>
      <c r="H34" s="7"/>
      <c r="I34" s="7"/>
      <c r="J34" s="8"/>
      <c r="K34" s="7"/>
    </row>
    <row r="35" spans="1:11" ht="12.75">
      <c r="A35" s="6" t="s">
        <v>44</v>
      </c>
      <c r="B35" s="16">
        <f>B20</f>
        <v>5465766</v>
      </c>
      <c r="C35" s="16">
        <f aca="true" t="shared" si="11" ref="C35:J35">C20</f>
        <v>1146996</v>
      </c>
      <c r="D35" s="16">
        <f t="shared" si="11"/>
        <v>1024664</v>
      </c>
      <c r="E35" s="16">
        <f>E20</f>
        <v>480072</v>
      </c>
      <c r="F35" s="16">
        <f t="shared" si="11"/>
        <v>366735</v>
      </c>
      <c r="G35" s="16">
        <f t="shared" si="11"/>
        <v>23579</v>
      </c>
      <c r="H35" s="16">
        <f t="shared" si="11"/>
        <v>416820</v>
      </c>
      <c r="I35" s="16">
        <f>I20</f>
        <v>119364</v>
      </c>
      <c r="J35" s="18">
        <f t="shared" si="11"/>
        <v>25830</v>
      </c>
      <c r="K35" s="16">
        <f>SUM(B35:J35)</f>
        <v>9069826</v>
      </c>
    </row>
    <row r="36" spans="1:11" ht="12.75">
      <c r="A36" s="37" t="s">
        <v>45</v>
      </c>
      <c r="B36" s="16">
        <f>B35/B16</f>
        <v>5177777.09407523</v>
      </c>
      <c r="C36" s="16">
        <f aca="true" t="shared" si="12" ref="C36:J36">C35/C16</f>
        <v>1223205.75407671</v>
      </c>
      <c r="D36" s="16">
        <f t="shared" si="12"/>
        <v>1199071.8429995573</v>
      </c>
      <c r="E36" s="16">
        <f>E35/E16</f>
        <v>561784.9537140795</v>
      </c>
      <c r="F36" s="16">
        <f t="shared" si="12"/>
        <v>354730.0123698144</v>
      </c>
      <c r="G36" s="16">
        <f t="shared" si="12"/>
        <v>31708.07132384969</v>
      </c>
      <c r="H36" s="16">
        <f t="shared" si="12"/>
        <v>401349.35709100077</v>
      </c>
      <c r="I36" s="16">
        <f>I35/I16</f>
        <v>171584.95875001373</v>
      </c>
      <c r="J36" s="18">
        <f t="shared" si="12"/>
        <v>90011.34150406886</v>
      </c>
      <c r="K36" s="16">
        <f>SUM(B36:J36)</f>
        <v>9211223.385904323</v>
      </c>
    </row>
    <row r="37" spans="1:11" ht="12.75">
      <c r="A37" s="6"/>
      <c r="B37" s="16"/>
      <c r="C37" s="16"/>
      <c r="D37" s="16"/>
      <c r="E37" s="16"/>
      <c r="F37" s="16"/>
      <c r="G37" s="16"/>
      <c r="H37" s="16"/>
      <c r="I37" s="16"/>
      <c r="J37" s="18"/>
      <c r="K37" s="16">
        <f>SUM(B37:J37)</f>
        <v>0</v>
      </c>
    </row>
    <row r="38" spans="1:11" ht="12.75">
      <c r="A38" s="6" t="s">
        <v>46</v>
      </c>
      <c r="B38" s="9">
        <f aca="true" t="shared" si="13" ref="B38:J38">B36/$K36</f>
        <v>0.5621161139136672</v>
      </c>
      <c r="C38" s="9">
        <f t="shared" si="13"/>
        <v>0.13279514596818348</v>
      </c>
      <c r="D38" s="9">
        <f t="shared" si="13"/>
        <v>0.13017509105625027</v>
      </c>
      <c r="E38" s="9">
        <f t="shared" si="13"/>
        <v>0.060989179197821125</v>
      </c>
      <c r="F38" s="9">
        <f t="shared" si="13"/>
        <v>0.03851062964259967</v>
      </c>
      <c r="G38" s="9">
        <f t="shared" si="13"/>
        <v>0.0034423300788005706</v>
      </c>
      <c r="H38" s="9">
        <f t="shared" si="13"/>
        <v>0.04357177546092025</v>
      </c>
      <c r="I38" s="9">
        <f t="shared" si="13"/>
        <v>0.018627814304513053</v>
      </c>
      <c r="J38" s="24">
        <f t="shared" si="13"/>
        <v>0.009771920377244427</v>
      </c>
      <c r="K38" s="17"/>
    </row>
    <row r="39" spans="1:11" ht="12.75">
      <c r="A39" s="6"/>
      <c r="B39" s="16"/>
      <c r="C39" s="16"/>
      <c r="D39" s="16"/>
      <c r="E39" s="16"/>
      <c r="F39" s="16"/>
      <c r="G39" s="16"/>
      <c r="H39" s="16"/>
      <c r="I39" s="16"/>
      <c r="J39" s="19"/>
      <c r="K39" s="23"/>
    </row>
    <row r="40" spans="1:13" ht="12.75">
      <c r="A40" s="6" t="s">
        <v>42</v>
      </c>
      <c r="B40" s="17">
        <f aca="true" t="shared" si="14" ref="B40:J40">B38*$K40</f>
        <v>5681335.077859203</v>
      </c>
      <c r="C40" s="17">
        <f t="shared" si="14"/>
        <v>1342167.0403747703</v>
      </c>
      <c r="D40" s="17">
        <f t="shared" si="14"/>
        <v>1315686.0171330676</v>
      </c>
      <c r="E40" s="17">
        <f t="shared" si="14"/>
        <v>616420.6194587748</v>
      </c>
      <c r="F40" s="17">
        <f t="shared" si="14"/>
        <v>389228.8188211398</v>
      </c>
      <c r="G40" s="17">
        <f t="shared" si="14"/>
        <v>34791.798602064606</v>
      </c>
      <c r="H40" s="17">
        <f t="shared" si="14"/>
        <v>440382.0673405397</v>
      </c>
      <c r="I40" s="17">
        <f t="shared" si="14"/>
        <v>188272.23097242773</v>
      </c>
      <c r="J40" s="19">
        <f t="shared" si="14"/>
        <v>98765.27757005839</v>
      </c>
      <c r="K40" s="17">
        <f>K28</f>
        <v>10107048.948132046</v>
      </c>
      <c r="M40" s="31"/>
    </row>
    <row r="41" spans="1:13" ht="12.75">
      <c r="A41" s="6" t="s">
        <v>27</v>
      </c>
      <c r="B41" s="38">
        <f>B29</f>
        <v>557180.9470844442</v>
      </c>
      <c r="C41" s="38">
        <f aca="true" t="shared" si="15" ref="C41:J41">C29</f>
        <v>116924.9319458735</v>
      </c>
      <c r="D41" s="38">
        <f t="shared" si="15"/>
        <v>104454.39083256309</v>
      </c>
      <c r="E41" s="38">
        <f>E29</f>
        <v>48938.60652445117</v>
      </c>
      <c r="F41" s="38">
        <f t="shared" si="15"/>
        <v>37385.016963590046</v>
      </c>
      <c r="G41" s="38">
        <f t="shared" si="15"/>
        <v>2403.6465431019387</v>
      </c>
      <c r="H41" s="38">
        <f t="shared" si="15"/>
        <v>42490.68883734468</v>
      </c>
      <c r="I41" s="38">
        <f>I29</f>
        <v>12167.982780050885</v>
      </c>
      <c r="J41" s="40">
        <f t="shared" si="15"/>
        <v>11111.897238580344</v>
      </c>
      <c r="K41" s="39">
        <f>SUM(B41:J41)</f>
        <v>933058.1087499999</v>
      </c>
      <c r="L41" s="30"/>
      <c r="M41" s="32"/>
    </row>
    <row r="42" spans="1:12" ht="12.75">
      <c r="A42" s="6" t="s">
        <v>47</v>
      </c>
      <c r="B42" s="17">
        <f aca="true" t="shared" si="16" ref="B42:J42">B40-B41</f>
        <v>5124154.130774759</v>
      </c>
      <c r="C42" s="17">
        <f t="shared" si="16"/>
        <v>1225242.1084288969</v>
      </c>
      <c r="D42" s="17">
        <f t="shared" si="16"/>
        <v>1211231.6263005044</v>
      </c>
      <c r="E42" s="17">
        <f>E40-E41</f>
        <v>567482.0129343236</v>
      </c>
      <c r="F42" s="17">
        <f t="shared" si="16"/>
        <v>351843.80185754976</v>
      </c>
      <c r="G42" s="17">
        <f t="shared" si="16"/>
        <v>32388.152058962667</v>
      </c>
      <c r="H42" s="17">
        <f t="shared" si="16"/>
        <v>397891.378503195</v>
      </c>
      <c r="I42" s="17">
        <f>I40-I41</f>
        <v>176104.24819237684</v>
      </c>
      <c r="J42" s="19">
        <f t="shared" si="16"/>
        <v>87653.38033147804</v>
      </c>
      <c r="K42" s="39">
        <f>SUM(B42:J42)</f>
        <v>9173990.839382047</v>
      </c>
      <c r="L42" s="30"/>
    </row>
    <row r="43" spans="1:11" ht="13.5" thickBot="1">
      <c r="A43" s="21" t="s">
        <v>10</v>
      </c>
      <c r="B43" s="22">
        <f aca="true" t="shared" si="17" ref="B43:J43">B42/$K$42</f>
        <v>0.5585523487529357</v>
      </c>
      <c r="C43" s="22">
        <f t="shared" si="17"/>
        <v>0.13355606408164108</v>
      </c>
      <c r="D43" s="22">
        <f t="shared" si="17"/>
        <v>0.1320288680800658</v>
      </c>
      <c r="E43" s="22">
        <f t="shared" si="17"/>
        <v>0.061857704337161604</v>
      </c>
      <c r="F43" s="22">
        <f t="shared" si="17"/>
        <v>0.038352316676310276</v>
      </c>
      <c r="G43" s="22">
        <f t="shared" si="17"/>
        <v>0.0035304321342819554</v>
      </c>
      <c r="H43" s="22">
        <f t="shared" si="17"/>
        <v>0.04337167820084685</v>
      </c>
      <c r="I43" s="22">
        <f t="shared" si="17"/>
        <v>0.01919603488553724</v>
      </c>
      <c r="J43" s="25">
        <f t="shared" si="17"/>
        <v>0.009554552851219362</v>
      </c>
      <c r="K43" s="20"/>
    </row>
    <row r="44" ht="12.75">
      <c r="B44" s="49"/>
    </row>
    <row r="45" spans="1:10" ht="12.75" hidden="1">
      <c r="A45" s="10" t="s">
        <v>21</v>
      </c>
      <c r="B45" s="11"/>
      <c r="C45" s="11"/>
      <c r="D45" s="11"/>
      <c r="E45" s="11"/>
      <c r="F45" s="11"/>
      <c r="G45" s="11"/>
      <c r="H45" s="11"/>
      <c r="I45" s="11"/>
      <c r="J45" s="12"/>
    </row>
    <row r="46" spans="1:10" ht="12.75" hidden="1">
      <c r="A46" s="6"/>
      <c r="B46" s="7"/>
      <c r="C46" s="7"/>
      <c r="D46" s="7"/>
      <c r="E46" s="7"/>
      <c r="F46" s="7"/>
      <c r="G46" s="7"/>
      <c r="H46" s="7"/>
      <c r="I46" s="7"/>
      <c r="J46" s="8"/>
    </row>
    <row r="47" spans="1:10" ht="12.75" hidden="1">
      <c r="A47" s="6" t="s">
        <v>11</v>
      </c>
      <c r="B47" s="20">
        <v>1</v>
      </c>
      <c r="C47" s="20">
        <v>1</v>
      </c>
      <c r="D47" s="20">
        <v>1</v>
      </c>
      <c r="E47" s="20">
        <v>1</v>
      </c>
      <c r="F47" s="20">
        <f>D47</f>
        <v>1</v>
      </c>
      <c r="G47" s="20">
        <f>F47</f>
        <v>1</v>
      </c>
      <c r="H47" s="32">
        <v>0.7</v>
      </c>
      <c r="I47" s="32">
        <v>0.7</v>
      </c>
      <c r="J47" s="26">
        <v>1</v>
      </c>
    </row>
    <row r="48" spans="1:10" ht="12.75" hidden="1">
      <c r="A48" s="6"/>
      <c r="B48" s="7"/>
      <c r="C48" s="7"/>
      <c r="D48" s="7"/>
      <c r="E48" s="7"/>
      <c r="F48" s="7"/>
      <c r="G48" s="7"/>
      <c r="H48" s="7"/>
      <c r="I48" s="7"/>
      <c r="J48" s="8"/>
    </row>
    <row r="49" spans="1:11" ht="12.75" hidden="1">
      <c r="A49" s="37" t="str">
        <f aca="true" t="shared" si="18" ref="A49:J49">A36</f>
        <v>2012 Total Revenue @ 100% RC</v>
      </c>
      <c r="B49" s="17">
        <f t="shared" si="18"/>
        <v>5177777.09407523</v>
      </c>
      <c r="C49" s="17">
        <f t="shared" si="18"/>
        <v>1223205.75407671</v>
      </c>
      <c r="D49" s="17">
        <f t="shared" si="18"/>
        <v>1199071.8429995573</v>
      </c>
      <c r="E49" s="17">
        <f t="shared" si="18"/>
        <v>561784.9537140795</v>
      </c>
      <c r="F49" s="17">
        <f t="shared" si="18"/>
        <v>354730.0123698144</v>
      </c>
      <c r="G49" s="17">
        <f t="shared" si="18"/>
        <v>31708.07132384969</v>
      </c>
      <c r="H49" s="17">
        <f t="shared" si="18"/>
        <v>401349.35709100077</v>
      </c>
      <c r="I49" s="17">
        <f t="shared" si="18"/>
        <v>171584.95875001373</v>
      </c>
      <c r="J49" s="19">
        <f t="shared" si="18"/>
        <v>90011.34150406886</v>
      </c>
      <c r="K49" s="5">
        <f>SUM(B49:J49)</f>
        <v>9211223.385904323</v>
      </c>
    </row>
    <row r="50" spans="1:11" ht="12.75" hidden="1">
      <c r="A50" s="6" t="s">
        <v>22</v>
      </c>
      <c r="B50" s="17"/>
      <c r="C50" s="17"/>
      <c r="D50" s="17"/>
      <c r="E50" s="17"/>
      <c r="F50" s="17"/>
      <c r="G50" s="17"/>
      <c r="H50" s="17">
        <f>H49*H47-H49</f>
        <v>-120404.80712730024</v>
      </c>
      <c r="I50" s="17">
        <f>I49*I47-I49</f>
        <v>-51475.48762500413</v>
      </c>
      <c r="J50" s="19"/>
      <c r="K50" s="5">
        <f>SUM(B50:J50)</f>
        <v>-171880.29475230438</v>
      </c>
    </row>
    <row r="51" spans="1:11" ht="12.75" hidden="1">
      <c r="A51" s="6" t="s">
        <v>23</v>
      </c>
      <c r="B51" s="17">
        <f aca="true" t="shared" si="19" ref="B51:G51">-$H50*B49/($K49-$H49)</f>
        <v>70764.83163338217</v>
      </c>
      <c r="C51" s="17">
        <f t="shared" si="19"/>
        <v>16717.58897061647</v>
      </c>
      <c r="D51" s="17">
        <f t="shared" si="19"/>
        <v>16387.750099031222</v>
      </c>
      <c r="E51" s="17">
        <f t="shared" si="19"/>
        <v>7677.931463916091</v>
      </c>
      <c r="F51" s="17">
        <f t="shared" si="19"/>
        <v>4848.1054986668705</v>
      </c>
      <c r="G51" s="17">
        <f t="shared" si="19"/>
        <v>433.35514215531344</v>
      </c>
      <c r="H51" s="17">
        <v>0</v>
      </c>
      <c r="I51" s="17">
        <v>0</v>
      </c>
      <c r="J51" s="19">
        <f>-$H50*J49/($K49-$H49)</f>
        <v>1230.1876482706984</v>
      </c>
      <c r="K51" s="5">
        <f>SUM(B51:J51)</f>
        <v>118059.75045603885</v>
      </c>
    </row>
    <row r="52" spans="1:11" ht="12.75" hidden="1">
      <c r="A52" s="6"/>
      <c r="B52" s="17"/>
      <c r="C52" s="17"/>
      <c r="D52" s="17"/>
      <c r="E52" s="17"/>
      <c r="F52" s="17"/>
      <c r="G52" s="17"/>
      <c r="H52" s="17"/>
      <c r="I52" s="17"/>
      <c r="J52" s="19"/>
      <c r="K52" s="43">
        <f>SUM(B52:J52)</f>
        <v>0</v>
      </c>
    </row>
    <row r="53" spans="1:11" ht="12.75" hidden="1">
      <c r="A53" s="6" t="s">
        <v>24</v>
      </c>
      <c r="B53" s="17">
        <f aca="true" t="shared" si="20" ref="B53:J53">B49+B50+B51</f>
        <v>5248541.925708612</v>
      </c>
      <c r="C53" s="17">
        <f t="shared" si="20"/>
        <v>1239923.3430473264</v>
      </c>
      <c r="D53" s="17">
        <f t="shared" si="20"/>
        <v>1215459.5930985885</v>
      </c>
      <c r="E53" s="17">
        <f>E49+E50+E51</f>
        <v>569462.8851779955</v>
      </c>
      <c r="F53" s="17">
        <f t="shared" si="20"/>
        <v>359578.11786848126</v>
      </c>
      <c r="G53" s="17">
        <f t="shared" si="20"/>
        <v>32141.426466005003</v>
      </c>
      <c r="H53" s="17">
        <f t="shared" si="20"/>
        <v>280944.5499637005</v>
      </c>
      <c r="I53" s="17">
        <f>I49+I50+I51</f>
        <v>120109.4711250096</v>
      </c>
      <c r="J53" s="19">
        <f t="shared" si="20"/>
        <v>91241.52915233956</v>
      </c>
      <c r="K53" s="5">
        <f>SUM(B53:J53)</f>
        <v>9157402.841608059</v>
      </c>
    </row>
    <row r="54" spans="1:12" ht="12.75" customHeight="1" hidden="1">
      <c r="A54" s="6"/>
      <c r="B54" s="20"/>
      <c r="C54" s="20"/>
      <c r="D54" s="20"/>
      <c r="E54" s="20"/>
      <c r="F54" s="20"/>
      <c r="G54" s="20"/>
      <c r="H54" s="32"/>
      <c r="I54" s="32"/>
      <c r="J54" s="26"/>
      <c r="K54" s="30"/>
      <c r="L54" s="30"/>
    </row>
    <row r="55" spans="1:12" ht="12.75" hidden="1">
      <c r="A55" s="6" t="s">
        <v>25</v>
      </c>
      <c r="B55" s="9">
        <f aca="true" t="shared" si="21" ref="B55:J55">B53/$K53</f>
        <v>0.5731474323550626</v>
      </c>
      <c r="C55" s="9">
        <f t="shared" si="21"/>
        <v>0.13540120102760417</v>
      </c>
      <c r="D55" s="9">
        <f t="shared" si="21"/>
        <v>0.1327297285182172</v>
      </c>
      <c r="E55" s="9">
        <f t="shared" si="21"/>
        <v>0.06218606902281878</v>
      </c>
      <c r="F55" s="9">
        <f t="shared" si="21"/>
        <v>0.03926638634206231</v>
      </c>
      <c r="G55" s="9">
        <f t="shared" si="21"/>
        <v>0.0035098845187814085</v>
      </c>
      <c r="H55" s="9">
        <f t="shared" si="21"/>
        <v>0.030679501035728824</v>
      </c>
      <c r="I55" s="9">
        <f t="shared" si="21"/>
        <v>0.013116106520865705</v>
      </c>
      <c r="J55" s="24">
        <f t="shared" si="21"/>
        <v>0.009963690658859053</v>
      </c>
      <c r="K55" s="46">
        <f>SUM(B55:J55)</f>
        <v>0.9999999999999999</v>
      </c>
      <c r="L55" s="30"/>
    </row>
    <row r="56" spans="1:12" ht="12.75" hidden="1">
      <c r="A56" s="6"/>
      <c r="B56" s="9"/>
      <c r="C56" s="9"/>
      <c r="D56" s="9"/>
      <c r="E56" s="9"/>
      <c r="F56" s="9"/>
      <c r="G56" s="9"/>
      <c r="H56" s="9"/>
      <c r="I56" s="9"/>
      <c r="J56" s="24"/>
      <c r="K56" s="30"/>
      <c r="L56" s="30"/>
    </row>
    <row r="57" spans="1:12" ht="12.75" hidden="1">
      <c r="A57" s="6" t="s">
        <v>28</v>
      </c>
      <c r="B57" s="17">
        <f aca="true" t="shared" si="22" ref="B57:J57">B55*$K57</f>
        <v>5792829.153308818</v>
      </c>
      <c r="C57" s="17">
        <f t="shared" si="22"/>
        <v>1368506.5664218625</v>
      </c>
      <c r="D57" s="17">
        <f t="shared" si="22"/>
        <v>1341505.8630058991</v>
      </c>
      <c r="E57" s="17">
        <f t="shared" si="22"/>
        <v>628517.6435055473</v>
      </c>
      <c r="F57" s="17">
        <f t="shared" si="22"/>
        <v>396867.2887754874</v>
      </c>
      <c r="G57" s="17">
        <f t="shared" si="22"/>
        <v>35474.57463361458</v>
      </c>
      <c r="H57" s="17">
        <f t="shared" si="22"/>
        <v>310079.21867237904</v>
      </c>
      <c r="I57" s="17">
        <f t="shared" si="22"/>
        <v>132565.13061530358</v>
      </c>
      <c r="J57" s="19">
        <f t="shared" si="22"/>
        <v>100703.50919313448</v>
      </c>
      <c r="K57" s="39">
        <f>K40</f>
        <v>10107048.948132046</v>
      </c>
      <c r="L57" s="30"/>
    </row>
    <row r="58" spans="1:12" ht="12.75" hidden="1">
      <c r="A58" s="6" t="s">
        <v>27</v>
      </c>
      <c r="B58" s="38">
        <f aca="true" t="shared" si="23" ref="B58:J58">B41</f>
        <v>557180.9470844442</v>
      </c>
      <c r="C58" s="38">
        <f t="shared" si="23"/>
        <v>116924.9319458735</v>
      </c>
      <c r="D58" s="38">
        <f t="shared" si="23"/>
        <v>104454.39083256309</v>
      </c>
      <c r="E58" s="38">
        <f>E41</f>
        <v>48938.60652445117</v>
      </c>
      <c r="F58" s="38">
        <f t="shared" si="23"/>
        <v>37385.016963590046</v>
      </c>
      <c r="G58" s="38">
        <f t="shared" si="23"/>
        <v>2403.6465431019387</v>
      </c>
      <c r="H58" s="38">
        <f t="shared" si="23"/>
        <v>42490.68883734468</v>
      </c>
      <c r="I58" s="38">
        <f>I41</f>
        <v>12167.982780050885</v>
      </c>
      <c r="J58" s="40">
        <f t="shared" si="23"/>
        <v>11111.897238580344</v>
      </c>
      <c r="K58" s="39">
        <f>SUM(B58:J58)</f>
        <v>933058.1087499999</v>
      </c>
      <c r="L58" s="30"/>
    </row>
    <row r="59" spans="1:12" ht="12.75" hidden="1">
      <c r="A59" s="6" t="s">
        <v>29</v>
      </c>
      <c r="B59" s="38">
        <f aca="true" t="shared" si="24" ref="B59:J59">B57-B58</f>
        <v>5235648.206224374</v>
      </c>
      <c r="C59" s="38">
        <f t="shared" si="24"/>
        <v>1251581.634475989</v>
      </c>
      <c r="D59" s="38">
        <f t="shared" si="24"/>
        <v>1237051.472173336</v>
      </c>
      <c r="E59" s="38">
        <f>E57-E58</f>
        <v>579579.0369810961</v>
      </c>
      <c r="F59" s="38">
        <f t="shared" si="24"/>
        <v>359482.27181189734</v>
      </c>
      <c r="G59" s="38">
        <f t="shared" si="24"/>
        <v>33070.92809051264</v>
      </c>
      <c r="H59" s="38">
        <f t="shared" si="24"/>
        <v>267588.52983503434</v>
      </c>
      <c r="I59" s="38">
        <f>I57-I58</f>
        <v>120397.1478352527</v>
      </c>
      <c r="J59" s="40">
        <f t="shared" si="24"/>
        <v>89591.61195455413</v>
      </c>
      <c r="K59" s="39">
        <f>SUM(B59:J59)</f>
        <v>9173990.839382047</v>
      </c>
      <c r="L59" s="30"/>
    </row>
    <row r="60" spans="1:12" s="42" customFormat="1" ht="13.5" hidden="1" thickBot="1">
      <c r="A60" s="21" t="str">
        <f>A43</f>
        <v>New BRR %</v>
      </c>
      <c r="B60" s="22">
        <f aca="true" t="shared" si="25" ref="B60:J60">B59/$K59</f>
        <v>0.5707056283235882</v>
      </c>
      <c r="C60" s="22">
        <f t="shared" si="25"/>
        <v>0.1364271729052974</v>
      </c>
      <c r="D60" s="22">
        <f t="shared" si="25"/>
        <v>0.13484332978216304</v>
      </c>
      <c r="E60" s="22">
        <f t="shared" si="25"/>
        <v>0.06317632610805356</v>
      </c>
      <c r="F60" s="22">
        <f t="shared" si="25"/>
        <v>0.039184939041874145</v>
      </c>
      <c r="G60" s="22">
        <f t="shared" si="25"/>
        <v>0.00360485732649154</v>
      </c>
      <c r="H60" s="22">
        <f t="shared" si="25"/>
        <v>0.02916817059445188</v>
      </c>
      <c r="I60" s="22">
        <f t="shared" si="25"/>
        <v>0.01312374842564837</v>
      </c>
      <c r="J60" s="25">
        <f t="shared" si="25"/>
        <v>0.00976582749243174</v>
      </c>
      <c r="K60" s="41"/>
      <c r="L60" s="41"/>
    </row>
    <row r="61" ht="12.75" hidden="1"/>
    <row r="62" spans="1:10" ht="12.75" hidden="1">
      <c r="A62" t="s">
        <v>31</v>
      </c>
      <c r="B62" s="45">
        <f>B57/B40</f>
        <v>1.0196246258883972</v>
      </c>
      <c r="C62" s="45">
        <f aca="true" t="shared" si="26" ref="C62:J62">C57/C40</f>
        <v>1.0196246258883972</v>
      </c>
      <c r="D62" s="45">
        <f t="shared" si="26"/>
        <v>1.019624625888397</v>
      </c>
      <c r="E62" s="45">
        <f>E57/E40</f>
        <v>1.0196246258883972</v>
      </c>
      <c r="F62" s="45">
        <f t="shared" si="26"/>
        <v>1.0196246258883972</v>
      </c>
      <c r="G62" s="45">
        <f t="shared" si="26"/>
        <v>1.0196246258883972</v>
      </c>
      <c r="H62" s="45">
        <f t="shared" si="26"/>
        <v>0.7041140901693443</v>
      </c>
      <c r="I62" s="45">
        <f>I57/I40</f>
        <v>0.7041140901693442</v>
      </c>
      <c r="J62" s="45">
        <f t="shared" si="26"/>
        <v>1.019624625888397</v>
      </c>
    </row>
    <row r="63" ht="12.75" hidden="1"/>
    <row r="64" spans="1:11" ht="12.75" hidden="1">
      <c r="A64" s="10" t="s">
        <v>33</v>
      </c>
      <c r="B64" s="15"/>
      <c r="C64" s="11"/>
      <c r="D64" s="11"/>
      <c r="E64" s="11"/>
      <c r="F64" s="11"/>
      <c r="G64" s="11"/>
      <c r="H64" s="11"/>
      <c r="I64" s="11"/>
      <c r="J64" s="12"/>
      <c r="K64" s="7"/>
    </row>
    <row r="65" spans="1:11" ht="12.75" hidden="1">
      <c r="A65" s="6"/>
      <c r="B65" s="7"/>
      <c r="C65" s="7"/>
      <c r="D65" s="7"/>
      <c r="E65" s="7"/>
      <c r="F65" s="7"/>
      <c r="G65" s="7"/>
      <c r="H65" s="7"/>
      <c r="I65" s="7"/>
      <c r="J65" s="8"/>
      <c r="K65" s="7"/>
    </row>
    <row r="66" spans="1:11" ht="12.75" hidden="1">
      <c r="A66" s="6" t="s">
        <v>13</v>
      </c>
      <c r="B66" s="16">
        <f>B35</f>
        <v>5465766</v>
      </c>
      <c r="C66" s="16">
        <f aca="true" t="shared" si="27" ref="C66:J66">C35</f>
        <v>1146996</v>
      </c>
      <c r="D66" s="16">
        <f t="shared" si="27"/>
        <v>1024664</v>
      </c>
      <c r="E66" s="16">
        <f>E35</f>
        <v>480072</v>
      </c>
      <c r="F66" s="16">
        <f t="shared" si="27"/>
        <v>366735</v>
      </c>
      <c r="G66" s="16">
        <f t="shared" si="27"/>
        <v>23579</v>
      </c>
      <c r="H66" s="16">
        <f t="shared" si="27"/>
        <v>416820</v>
      </c>
      <c r="I66" s="16">
        <f>I35</f>
        <v>119364</v>
      </c>
      <c r="J66" s="18">
        <f t="shared" si="27"/>
        <v>25830</v>
      </c>
      <c r="K66" s="16">
        <f>SUM(B66:J66)</f>
        <v>9069826</v>
      </c>
    </row>
    <row r="67" spans="1:11" ht="12.75" hidden="1">
      <c r="A67" s="37" t="s">
        <v>30</v>
      </c>
      <c r="B67" s="16">
        <f>B35+((B36-B35)/2)</f>
        <v>5321771.5470376145</v>
      </c>
      <c r="C67" s="16">
        <f aca="true" t="shared" si="28" ref="C67:J67">C35+((C36-C35)/2)</f>
        <v>1185100.877038355</v>
      </c>
      <c r="D67" s="16">
        <f t="shared" si="28"/>
        <v>1111867.9214997785</v>
      </c>
      <c r="E67" s="16">
        <f>E35+((E36-E35)/2)</f>
        <v>520928.4768570397</v>
      </c>
      <c r="F67" s="16">
        <f t="shared" si="28"/>
        <v>360732.50618490716</v>
      </c>
      <c r="G67" s="16">
        <f t="shared" si="28"/>
        <v>27643.535661924845</v>
      </c>
      <c r="H67" s="16">
        <f t="shared" si="28"/>
        <v>409084.6785455004</v>
      </c>
      <c r="I67" s="16">
        <f>I35+((I36-I35)/2)</f>
        <v>145474.47937500686</v>
      </c>
      <c r="J67" s="18">
        <f t="shared" si="28"/>
        <v>57920.67075203443</v>
      </c>
      <c r="K67" s="16">
        <f>SUM(B67:J67)</f>
        <v>9140524.692952162</v>
      </c>
    </row>
    <row r="68" spans="1:11" ht="12.75" hidden="1">
      <c r="A68" s="6"/>
      <c r="B68" s="16"/>
      <c r="C68" s="16"/>
      <c r="D68" s="16"/>
      <c r="E68" s="16"/>
      <c r="F68" s="16"/>
      <c r="G68" s="16"/>
      <c r="H68" s="16"/>
      <c r="I68" s="16"/>
      <c r="J68" s="18"/>
      <c r="K68" s="16">
        <f>SUM(B68:J68)</f>
        <v>0</v>
      </c>
    </row>
    <row r="69" spans="1:11" ht="12.75" hidden="1">
      <c r="A69" s="6" t="s">
        <v>20</v>
      </c>
      <c r="B69" s="9">
        <f>B38-0.02</f>
        <v>0.5421161139136672</v>
      </c>
      <c r="C69" s="9">
        <f aca="true" t="shared" si="29" ref="C69:J69">C67/$K67</f>
        <v>0.1296534845480076</v>
      </c>
      <c r="D69" s="9">
        <f t="shared" si="29"/>
        <v>0.1216415861068773</v>
      </c>
      <c r="E69" s="9">
        <f t="shared" si="29"/>
        <v>0.05699109125088888</v>
      </c>
      <c r="F69" s="9">
        <f t="shared" si="29"/>
        <v>0.03946518589496852</v>
      </c>
      <c r="G69" s="9">
        <f t="shared" si="29"/>
        <v>0.0030242832430877305</v>
      </c>
      <c r="H69" s="9">
        <f t="shared" si="29"/>
        <v>0.04475505425426254</v>
      </c>
      <c r="I69" s="9">
        <f t="shared" si="29"/>
        <v>0.015915331369016</v>
      </c>
      <c r="J69" s="24">
        <f t="shared" si="29"/>
        <v>0.006336689927296448</v>
      </c>
      <c r="K69" s="17"/>
    </row>
    <row r="70" spans="1:11" ht="12.75" hidden="1">
      <c r="A70" s="6"/>
      <c r="B70" s="16"/>
      <c r="C70" s="16"/>
      <c r="D70" s="16"/>
      <c r="E70" s="16"/>
      <c r="F70" s="16"/>
      <c r="G70" s="16"/>
      <c r="H70" s="16"/>
      <c r="I70" s="16"/>
      <c r="J70" s="19"/>
      <c r="K70" s="23"/>
    </row>
    <row r="71" spans="1:13" ht="12.75" hidden="1">
      <c r="A71" s="6" t="s">
        <v>28</v>
      </c>
      <c r="B71" s="17">
        <f aca="true" t="shared" si="30" ref="B71:J71">B69*$K$28</f>
        <v>5479194.098896562</v>
      </c>
      <c r="C71" s="17">
        <f t="shared" si="30"/>
        <v>1310414.1146225946</v>
      </c>
      <c r="D71" s="17">
        <f t="shared" si="30"/>
        <v>1229437.4649106278</v>
      </c>
      <c r="E71" s="17">
        <f t="shared" si="30"/>
        <v>576011.7488801939</v>
      </c>
      <c r="F71" s="17">
        <f t="shared" si="30"/>
        <v>398876.56558757724</v>
      </c>
      <c r="G71" s="17">
        <f t="shared" si="30"/>
        <v>30566.57877090322</v>
      </c>
      <c r="H71" s="17">
        <f t="shared" si="30"/>
        <v>452341.52402413683</v>
      </c>
      <c r="I71" s="17">
        <f t="shared" si="30"/>
        <v>160857.03317238612</v>
      </c>
      <c r="J71" s="19">
        <f t="shared" si="30"/>
        <v>64045.235264320494</v>
      </c>
      <c r="K71" s="17">
        <f>SUM(B71:J71)</f>
        <v>9701744.364129301</v>
      </c>
      <c r="M71" s="31"/>
    </row>
    <row r="72" spans="1:13" ht="12.75" hidden="1">
      <c r="A72" s="6" t="s">
        <v>27</v>
      </c>
      <c r="B72" s="38">
        <f>B58</f>
        <v>557180.9470844442</v>
      </c>
      <c r="C72" s="38">
        <f aca="true" t="shared" si="31" ref="C72:L72">C58</f>
        <v>116924.9319458735</v>
      </c>
      <c r="D72" s="38">
        <f t="shared" si="31"/>
        <v>104454.39083256309</v>
      </c>
      <c r="E72" s="38">
        <f>E58</f>
        <v>48938.60652445117</v>
      </c>
      <c r="F72" s="38">
        <f t="shared" si="31"/>
        <v>37385.016963590046</v>
      </c>
      <c r="G72" s="38">
        <f t="shared" si="31"/>
        <v>2403.6465431019387</v>
      </c>
      <c r="H72" s="38">
        <f t="shared" si="31"/>
        <v>42490.68883734468</v>
      </c>
      <c r="I72" s="38">
        <f>I58</f>
        <v>12167.982780050885</v>
      </c>
      <c r="J72" s="40">
        <f t="shared" si="31"/>
        <v>11111.897238580344</v>
      </c>
      <c r="K72" s="38">
        <f t="shared" si="31"/>
        <v>933058.1087499999</v>
      </c>
      <c r="L72" s="38">
        <f t="shared" si="31"/>
        <v>0</v>
      </c>
      <c r="M72" s="32"/>
    </row>
    <row r="73" spans="1:12" ht="12.75" hidden="1">
      <c r="A73" s="6" t="s">
        <v>29</v>
      </c>
      <c r="B73" s="17">
        <f aca="true" t="shared" si="32" ref="B73:J73">B71-B72</f>
        <v>4922013.151812118</v>
      </c>
      <c r="C73" s="17">
        <f t="shared" si="32"/>
        <v>1193489.1826767211</v>
      </c>
      <c r="D73" s="17">
        <f t="shared" si="32"/>
        <v>1124983.0740780646</v>
      </c>
      <c r="E73" s="17">
        <f>E71-E72</f>
        <v>527073.1423557427</v>
      </c>
      <c r="F73" s="17">
        <f t="shared" si="32"/>
        <v>361491.5486239872</v>
      </c>
      <c r="G73" s="17">
        <f t="shared" si="32"/>
        <v>28162.93222780128</v>
      </c>
      <c r="H73" s="17">
        <f t="shared" si="32"/>
        <v>409850.83518679213</v>
      </c>
      <c r="I73" s="17">
        <f>I71-I72</f>
        <v>148689.05039233522</v>
      </c>
      <c r="J73" s="19">
        <f t="shared" si="32"/>
        <v>52933.33802574015</v>
      </c>
      <c r="K73" s="39">
        <f>SUM(B73:J73)</f>
        <v>8768686.255379302</v>
      </c>
      <c r="L73" s="30"/>
    </row>
    <row r="74" spans="1:11" ht="13.5" hidden="1" thickBot="1">
      <c r="A74" s="21" t="s">
        <v>10</v>
      </c>
      <c r="B74" s="22">
        <f aca="true" t="shared" si="33" ref="B74:J74">B71/$K$40</f>
        <v>0.5421161139136672</v>
      </c>
      <c r="C74" s="22">
        <f t="shared" si="33"/>
        <v>0.1296534845480076</v>
      </c>
      <c r="D74" s="22">
        <f t="shared" si="33"/>
        <v>0.1216415861068773</v>
      </c>
      <c r="E74" s="22">
        <f t="shared" si="33"/>
        <v>0.05699109125088889</v>
      </c>
      <c r="F74" s="22">
        <f t="shared" si="33"/>
        <v>0.03946518589496852</v>
      </c>
      <c r="G74" s="22">
        <f t="shared" si="33"/>
        <v>0.0030242832430877305</v>
      </c>
      <c r="H74" s="22">
        <f t="shared" si="33"/>
        <v>0.04475505425426254</v>
      </c>
      <c r="I74" s="22">
        <f t="shared" si="33"/>
        <v>0.015915331369016</v>
      </c>
      <c r="J74" s="25">
        <f t="shared" si="33"/>
        <v>0.006336689927296448</v>
      </c>
      <c r="K74" s="20"/>
    </row>
    <row r="75" ht="12.75" hidden="1"/>
    <row r="76" spans="2:10" ht="12.75" hidden="1">
      <c r="B76" s="45">
        <f>B73/B42</f>
        <v>0.9605513468557437</v>
      </c>
      <c r="C76" s="45">
        <f aca="true" t="shared" si="34" ref="C76:J76">C73/C42</f>
        <v>0.9740843662377129</v>
      </c>
      <c r="D76" s="45">
        <f t="shared" si="34"/>
        <v>0.9287926847766756</v>
      </c>
      <c r="E76" s="45">
        <f>E73/E42</f>
        <v>0.9287926847766759</v>
      </c>
      <c r="F76" s="45">
        <f t="shared" si="34"/>
        <v>1.0274205392151359</v>
      </c>
      <c r="G76" s="45">
        <f t="shared" si="34"/>
        <v>0.8695442758367514</v>
      </c>
      <c r="H76" s="45">
        <f t="shared" si="34"/>
        <v>1.0300570892704102</v>
      </c>
      <c r="I76" s="45">
        <f>I73/I42</f>
        <v>0.8443240405529958</v>
      </c>
      <c r="J76" s="45">
        <f t="shared" si="34"/>
        <v>0.6038938581211882</v>
      </c>
    </row>
    <row r="77" ht="12.75" hidden="1"/>
    <row r="78" spans="1:10" ht="12.75" hidden="1">
      <c r="A78" s="10" t="s">
        <v>34</v>
      </c>
      <c r="B78" s="11"/>
      <c r="C78" s="11"/>
      <c r="D78" s="11"/>
      <c r="E78" s="11"/>
      <c r="F78" s="11"/>
      <c r="G78" s="11"/>
      <c r="H78" s="11"/>
      <c r="I78" s="11"/>
      <c r="J78" s="12"/>
    </row>
    <row r="79" spans="1:10" ht="12.75" hidden="1">
      <c r="A79" s="6"/>
      <c r="B79" s="7"/>
      <c r="C79" s="7"/>
      <c r="D79" s="7"/>
      <c r="E79" s="7"/>
      <c r="F79" s="7"/>
      <c r="G79" s="7"/>
      <c r="H79" s="7"/>
      <c r="I79" s="7"/>
      <c r="J79" s="8"/>
    </row>
    <row r="80" spans="1:10" ht="12.75" hidden="1">
      <c r="A80" s="6" t="s">
        <v>11</v>
      </c>
      <c r="B80" s="20">
        <f>B76</f>
        <v>0.9605513468557437</v>
      </c>
      <c r="C80" s="20">
        <f aca="true" t="shared" si="35" ref="C80:J80">C76</f>
        <v>0.9740843662377129</v>
      </c>
      <c r="D80" s="20">
        <f t="shared" si="35"/>
        <v>0.9287926847766756</v>
      </c>
      <c r="E80" s="20">
        <f>E76</f>
        <v>0.9287926847766759</v>
      </c>
      <c r="F80" s="20">
        <f t="shared" si="35"/>
        <v>1.0274205392151359</v>
      </c>
      <c r="G80" s="20">
        <f t="shared" si="35"/>
        <v>0.8695442758367514</v>
      </c>
      <c r="H80" s="20">
        <f t="shared" si="35"/>
        <v>1.0300570892704102</v>
      </c>
      <c r="I80" s="20">
        <f>I76</f>
        <v>0.8443240405529958</v>
      </c>
      <c r="J80" s="26">
        <f t="shared" si="35"/>
        <v>0.6038938581211882</v>
      </c>
    </row>
    <row r="81" spans="1:10" ht="12.75" hidden="1">
      <c r="A81" s="6"/>
      <c r="B81" s="7"/>
      <c r="C81" s="7"/>
      <c r="D81" s="7"/>
      <c r="E81" s="7"/>
      <c r="F81" s="7"/>
      <c r="G81" s="7"/>
      <c r="H81" s="7"/>
      <c r="I81" s="7"/>
      <c r="J81" s="8"/>
    </row>
    <row r="82" spans="1:11" ht="12.75" hidden="1">
      <c r="A82" s="37" t="str">
        <f>A69</f>
        <v>2006 Total Revenue %</v>
      </c>
      <c r="B82" s="17">
        <f>B67</f>
        <v>5321771.5470376145</v>
      </c>
      <c r="C82" s="17">
        <f aca="true" t="shared" si="36" ref="C82:J82">C67</f>
        <v>1185100.877038355</v>
      </c>
      <c r="D82" s="17">
        <f t="shared" si="36"/>
        <v>1111867.9214997785</v>
      </c>
      <c r="E82" s="17">
        <f>E67</f>
        <v>520928.4768570397</v>
      </c>
      <c r="F82" s="17">
        <f t="shared" si="36"/>
        <v>360732.50618490716</v>
      </c>
      <c r="G82" s="17">
        <f t="shared" si="36"/>
        <v>27643.535661924845</v>
      </c>
      <c r="H82" s="17">
        <f t="shared" si="36"/>
        <v>409084.6785455004</v>
      </c>
      <c r="I82" s="17">
        <f>I67</f>
        <v>145474.47937500686</v>
      </c>
      <c r="J82" s="19">
        <f t="shared" si="36"/>
        <v>57920.67075203443</v>
      </c>
      <c r="K82" s="5">
        <f>SUM(B82:J82)</f>
        <v>9140524.692952162</v>
      </c>
    </row>
    <row r="83" spans="1:11" ht="12.75" hidden="1">
      <c r="A83" s="6" t="s">
        <v>22</v>
      </c>
      <c r="B83" s="17"/>
      <c r="C83" s="17"/>
      <c r="D83" s="17"/>
      <c r="E83" s="17"/>
      <c r="F83" s="17"/>
      <c r="G83" s="17"/>
      <c r="H83" s="17">
        <f>H82*((0.7-0.6303)*1.529)</f>
        <v>43596.68600267607</v>
      </c>
      <c r="I83" s="17">
        <f>I82*((0.7-0.6303)*1.529)</f>
        <v>15503.404383817664</v>
      </c>
      <c r="J83" s="19"/>
      <c r="K83" s="5">
        <f>SUM(B83:J83)</f>
        <v>59100.090386493735</v>
      </c>
    </row>
    <row r="84" spans="1:11" ht="12.75" hidden="1">
      <c r="A84" s="6" t="s">
        <v>23</v>
      </c>
      <c r="B84" s="17">
        <f aca="true" t="shared" si="37" ref="B84:G84">-$H83*B82/($K82-$H82)</f>
        <v>-26571.974695051573</v>
      </c>
      <c r="C84" s="17">
        <f t="shared" si="37"/>
        <v>-5917.290931677797</v>
      </c>
      <c r="D84" s="17">
        <f t="shared" si="37"/>
        <v>-5551.633701897216</v>
      </c>
      <c r="E84" s="17">
        <f t="shared" si="37"/>
        <v>-2601.0320402953557</v>
      </c>
      <c r="F84" s="17">
        <f t="shared" si="37"/>
        <v>-1801.1624402335772</v>
      </c>
      <c r="G84" s="17">
        <f t="shared" si="37"/>
        <v>-138.02609217588628</v>
      </c>
      <c r="H84" s="17">
        <v>0</v>
      </c>
      <c r="I84" s="17">
        <v>0</v>
      </c>
      <c r="J84" s="19">
        <f>-$H83*J82/($K82-$H82)</f>
        <v>-289.2019290832205</v>
      </c>
      <c r="K84" s="5">
        <f>SUM(B84:J84)</f>
        <v>-42870.321830414636</v>
      </c>
    </row>
    <row r="85" spans="1:11" ht="12.75" hidden="1">
      <c r="A85" s="6"/>
      <c r="B85" s="17"/>
      <c r="C85" s="17"/>
      <c r="D85" s="17"/>
      <c r="E85" s="17"/>
      <c r="F85" s="17"/>
      <c r="G85" s="17"/>
      <c r="H85" s="17"/>
      <c r="I85" s="17"/>
      <c r="J85" s="19"/>
      <c r="K85" s="43">
        <f>SUM(B85:J85)</f>
        <v>0</v>
      </c>
    </row>
    <row r="86" spans="1:11" ht="12.75" hidden="1">
      <c r="A86" s="6" t="s">
        <v>24</v>
      </c>
      <c r="B86" s="17">
        <f aca="true" t="shared" si="38" ref="B86:J86">B82+B83+B84</f>
        <v>5295199.5723425625</v>
      </c>
      <c r="C86" s="17">
        <f t="shared" si="38"/>
        <v>1179183.586106677</v>
      </c>
      <c r="D86" s="17">
        <f t="shared" si="38"/>
        <v>1106316.2877978813</v>
      </c>
      <c r="E86" s="17">
        <f>E82+E83+E84</f>
        <v>518327.44481674436</v>
      </c>
      <c r="F86" s="17">
        <f t="shared" si="38"/>
        <v>358931.3437446736</v>
      </c>
      <c r="G86" s="17">
        <f t="shared" si="38"/>
        <v>27505.50956974896</v>
      </c>
      <c r="H86" s="17">
        <f t="shared" si="38"/>
        <v>452681.36454817647</v>
      </c>
      <c r="I86" s="17">
        <f>I82+I83+I84</f>
        <v>160977.88375882452</v>
      </c>
      <c r="J86" s="19">
        <f t="shared" si="38"/>
        <v>57631.46882295121</v>
      </c>
      <c r="K86" s="5">
        <f>SUM(B86:J86)</f>
        <v>9156754.461508239</v>
      </c>
    </row>
    <row r="87" spans="1:12" ht="12.75" customHeight="1" hidden="1">
      <c r="A87" s="6"/>
      <c r="B87" s="20"/>
      <c r="C87" s="20"/>
      <c r="D87" s="20"/>
      <c r="E87" s="20"/>
      <c r="F87" s="20"/>
      <c r="G87" s="20"/>
      <c r="H87" s="32"/>
      <c r="I87" s="32"/>
      <c r="J87" s="26"/>
      <c r="K87" s="30"/>
      <c r="L87" s="30"/>
    </row>
    <row r="88" spans="1:12" ht="12.75" hidden="1">
      <c r="A88" s="6" t="s">
        <v>25</v>
      </c>
      <c r="B88" s="9">
        <f aca="true" t="shared" si="39" ref="B88:J88">B86/$K86</f>
        <v>0.5782834512601284</v>
      </c>
      <c r="C88" s="9">
        <f t="shared" si="39"/>
        <v>0.12877746051437203</v>
      </c>
      <c r="D88" s="9">
        <f t="shared" si="39"/>
        <v>0.1208196957173466</v>
      </c>
      <c r="E88" s="9">
        <f t="shared" si="39"/>
        <v>0.056606022034948064</v>
      </c>
      <c r="F88" s="9">
        <f t="shared" si="39"/>
        <v>0.039198533197924455</v>
      </c>
      <c r="G88" s="9">
        <f t="shared" si="39"/>
        <v>0.0030038492006499032</v>
      </c>
      <c r="H88" s="9">
        <f t="shared" si="39"/>
        <v>0.0494368792404655</v>
      </c>
      <c r="I88" s="9">
        <f t="shared" si="39"/>
        <v>0.017580233742809058</v>
      </c>
      <c r="J88" s="24">
        <f t="shared" si="39"/>
        <v>0.006293875091356173</v>
      </c>
      <c r="K88" s="46">
        <f>SUM(B88:J88)</f>
        <v>1</v>
      </c>
      <c r="L88" s="30"/>
    </row>
    <row r="89" spans="1:12" ht="12.75" hidden="1">
      <c r="A89" s="6"/>
      <c r="B89" s="9"/>
      <c r="C89" s="9"/>
      <c r="D89" s="9"/>
      <c r="E89" s="9"/>
      <c r="F89" s="9"/>
      <c r="G89" s="9"/>
      <c r="H89" s="9"/>
      <c r="I89" s="9"/>
      <c r="J89" s="24"/>
      <c r="K89" s="30"/>
      <c r="L89" s="30"/>
    </row>
    <row r="90" spans="1:12" ht="12.75" hidden="1">
      <c r="A90" s="6" t="s">
        <v>28</v>
      </c>
      <c r="B90" s="17">
        <f aca="true" t="shared" si="40" ref="B90:J90">B88*$K$28</f>
        <v>5844739.14778085</v>
      </c>
      <c r="C90" s="17">
        <f t="shared" si="40"/>
        <v>1301560.0968348999</v>
      </c>
      <c r="D90" s="17">
        <f t="shared" si="40"/>
        <v>1221130.5785136418</v>
      </c>
      <c r="E90" s="17">
        <f t="shared" si="40"/>
        <v>572119.8354662613</v>
      </c>
      <c r="F90" s="17">
        <f t="shared" si="40"/>
        <v>396181.4937264014</v>
      </c>
      <c r="G90" s="17">
        <f t="shared" si="40"/>
        <v>30360.05090377589</v>
      </c>
      <c r="H90" s="17">
        <f t="shared" si="40"/>
        <v>499660.9583262778</v>
      </c>
      <c r="I90" s="17">
        <f t="shared" si="40"/>
        <v>177684.28295817378</v>
      </c>
      <c r="J90" s="19">
        <f t="shared" si="40"/>
        <v>63612.503621765885</v>
      </c>
      <c r="K90" s="39">
        <f>SUM(B90:J90)</f>
        <v>10107048.94813205</v>
      </c>
      <c r="L90" s="30"/>
    </row>
    <row r="91" spans="1:12" ht="12.75" hidden="1">
      <c r="A91" s="6" t="s">
        <v>27</v>
      </c>
      <c r="B91" s="38">
        <f>B72</f>
        <v>557180.9470844442</v>
      </c>
      <c r="C91" s="38">
        <f aca="true" t="shared" si="41" ref="C91:J91">C72</f>
        <v>116924.9319458735</v>
      </c>
      <c r="D91" s="38">
        <f t="shared" si="41"/>
        <v>104454.39083256309</v>
      </c>
      <c r="E91" s="38">
        <f>E72</f>
        <v>48938.60652445117</v>
      </c>
      <c r="F91" s="38">
        <f t="shared" si="41"/>
        <v>37385.016963590046</v>
      </c>
      <c r="G91" s="38">
        <f t="shared" si="41"/>
        <v>2403.6465431019387</v>
      </c>
      <c r="H91" s="38">
        <f t="shared" si="41"/>
        <v>42490.68883734468</v>
      </c>
      <c r="I91" s="38">
        <f>I72</f>
        <v>12167.982780050885</v>
      </c>
      <c r="J91" s="40">
        <f t="shared" si="41"/>
        <v>11111.897238580344</v>
      </c>
      <c r="K91" s="39">
        <f>SUM(B91:J91)</f>
        <v>933058.1087499999</v>
      </c>
      <c r="L91" s="30"/>
    </row>
    <row r="92" spans="1:12" ht="12.75" hidden="1">
      <c r="A92" s="6" t="s">
        <v>29</v>
      </c>
      <c r="B92" s="38">
        <f aca="true" t="shared" si="42" ref="B92:J92">B90-B91</f>
        <v>5287558.200696405</v>
      </c>
      <c r="C92" s="38">
        <f t="shared" si="42"/>
        <v>1184635.1648890264</v>
      </c>
      <c r="D92" s="38">
        <f t="shared" si="42"/>
        <v>1116676.1876810787</v>
      </c>
      <c r="E92" s="38">
        <f>E90-E91</f>
        <v>523181.2289418101</v>
      </c>
      <c r="F92" s="38">
        <f t="shared" si="42"/>
        <v>358796.47676281136</v>
      </c>
      <c r="G92" s="38">
        <f t="shared" si="42"/>
        <v>27956.40436067395</v>
      </c>
      <c r="H92" s="38">
        <f t="shared" si="42"/>
        <v>457170.2694889331</v>
      </c>
      <c r="I92" s="38">
        <f>I90-I91</f>
        <v>165516.30017812288</v>
      </c>
      <c r="J92" s="40">
        <f t="shared" si="42"/>
        <v>52500.60638318554</v>
      </c>
      <c r="K92" s="39">
        <f>SUM(B92:J92)</f>
        <v>9173990.839382049</v>
      </c>
      <c r="L92" s="30"/>
    </row>
    <row r="93" spans="1:12" s="42" customFormat="1" ht="13.5" hidden="1" thickBot="1">
      <c r="A93" s="21">
        <f>A76</f>
        <v>0</v>
      </c>
      <c r="B93" s="22">
        <f aca="true" t="shared" si="43" ref="B93:J93">B92/$K92</f>
        <v>0.5763640157561537</v>
      </c>
      <c r="C93" s="22">
        <f t="shared" si="43"/>
        <v>0.12912975232149046</v>
      </c>
      <c r="D93" s="22">
        <f t="shared" si="43"/>
        <v>0.12172196454430916</v>
      </c>
      <c r="E93" s="22">
        <f t="shared" si="43"/>
        <v>0.05702874987577937</v>
      </c>
      <c r="F93" s="22">
        <f t="shared" si="43"/>
        <v>0.039110184765235666</v>
      </c>
      <c r="G93" s="22">
        <f t="shared" si="43"/>
        <v>0.0030473547281803333</v>
      </c>
      <c r="H93" s="22">
        <f t="shared" si="43"/>
        <v>0.04983330346553165</v>
      </c>
      <c r="I93" s="22">
        <f t="shared" si="43"/>
        <v>0.018041908159270835</v>
      </c>
      <c r="J93" s="25">
        <f t="shared" si="43"/>
        <v>0.0057227663840486165</v>
      </c>
      <c r="K93" s="41"/>
      <c r="L93" s="41"/>
    </row>
    <row r="94" ht="12.75" hidden="1"/>
    <row r="95" spans="1:10" ht="12.75" hidden="1">
      <c r="A95" t="s">
        <v>31</v>
      </c>
      <c r="B95" s="45">
        <f>B92/B42</f>
        <v>1.0318889841623362</v>
      </c>
      <c r="C95" s="45">
        <f aca="true" t="shared" si="44" ref="C95:J95">C92/C42</f>
        <v>0.9668580248258527</v>
      </c>
      <c r="D95" s="45">
        <f t="shared" si="44"/>
        <v>0.9219344701985459</v>
      </c>
      <c r="E95" s="45">
        <f>E92/E42</f>
        <v>0.921934470198546</v>
      </c>
      <c r="F95" s="45">
        <f t="shared" si="44"/>
        <v>1.0197606860446458</v>
      </c>
      <c r="G95" s="45">
        <f t="shared" si="44"/>
        <v>0.8631676271551179</v>
      </c>
      <c r="H95" s="45">
        <f t="shared" si="44"/>
        <v>1.1489825972322798</v>
      </c>
      <c r="I95" s="45">
        <f>I92/I42</f>
        <v>0.9398768165848694</v>
      </c>
      <c r="J95" s="45">
        <f t="shared" si="44"/>
        <v>0.5989570075294809</v>
      </c>
    </row>
    <row r="96" ht="12.75" hidden="1"/>
    <row r="97" spans="1:10" ht="12.75" hidden="1">
      <c r="A97" s="10" t="s">
        <v>49</v>
      </c>
      <c r="B97" s="11"/>
      <c r="C97" s="11"/>
      <c r="D97" s="11"/>
      <c r="E97" s="11"/>
      <c r="F97" s="11"/>
      <c r="G97" s="11"/>
      <c r="H97" s="11"/>
      <c r="I97" s="11"/>
      <c r="J97" s="12"/>
    </row>
    <row r="98" spans="1:10" ht="12.75" hidden="1">
      <c r="A98" s="6"/>
      <c r="B98" s="7"/>
      <c r="C98" s="7"/>
      <c r="D98" s="7"/>
      <c r="E98" s="7"/>
      <c r="F98" s="7"/>
      <c r="G98" s="7"/>
      <c r="H98" s="7"/>
      <c r="I98" s="7"/>
      <c r="J98" s="8"/>
    </row>
    <row r="99" spans="1:10" ht="12.75" hidden="1">
      <c r="A99" s="6" t="s">
        <v>11</v>
      </c>
      <c r="B99" s="20">
        <f>B114</f>
        <v>1</v>
      </c>
      <c r="C99" s="20">
        <f aca="true" t="shared" si="45" ref="C99:J99">C114</f>
        <v>1</v>
      </c>
      <c r="D99" s="20">
        <f t="shared" si="45"/>
        <v>1</v>
      </c>
      <c r="E99" s="20">
        <f t="shared" si="45"/>
        <v>1</v>
      </c>
      <c r="F99" s="20">
        <f t="shared" si="45"/>
        <v>1</v>
      </c>
      <c r="G99" s="20">
        <f t="shared" si="45"/>
        <v>1</v>
      </c>
      <c r="H99" s="20">
        <f t="shared" si="45"/>
        <v>1</v>
      </c>
      <c r="I99" s="20">
        <f t="shared" si="45"/>
        <v>1</v>
      </c>
      <c r="J99" s="26">
        <f t="shared" si="45"/>
        <v>1</v>
      </c>
    </row>
    <row r="100" spans="1:10" ht="12.75" hidden="1">
      <c r="A100" s="6"/>
      <c r="B100" s="7"/>
      <c r="C100" s="7"/>
      <c r="D100" s="7"/>
      <c r="E100" s="7"/>
      <c r="F100" s="7"/>
      <c r="G100" s="7"/>
      <c r="H100" s="7"/>
      <c r="I100" s="7"/>
      <c r="J100" s="8"/>
    </row>
    <row r="101" spans="1:11" ht="12.75" hidden="1">
      <c r="A101" s="37" t="str">
        <f>A88</f>
        <v>2006 Adjusted Total Revenue %</v>
      </c>
      <c r="B101" s="17">
        <f>B40</f>
        <v>5681335.077859203</v>
      </c>
      <c r="C101" s="17">
        <f aca="true" t="shared" si="46" ref="C101:J101">C40</f>
        <v>1342167.0403747703</v>
      </c>
      <c r="D101" s="17">
        <f t="shared" si="46"/>
        <v>1315686.0171330676</v>
      </c>
      <c r="E101" s="17">
        <f t="shared" si="46"/>
        <v>616420.6194587748</v>
      </c>
      <c r="F101" s="17">
        <f t="shared" si="46"/>
        <v>389228.8188211398</v>
      </c>
      <c r="G101" s="17">
        <f t="shared" si="46"/>
        <v>34791.798602064606</v>
      </c>
      <c r="H101" s="17">
        <f t="shared" si="46"/>
        <v>440382.0673405397</v>
      </c>
      <c r="I101" s="17">
        <f t="shared" si="46"/>
        <v>188272.23097242773</v>
      </c>
      <c r="J101" s="17">
        <f t="shared" si="46"/>
        <v>98765.27757005839</v>
      </c>
      <c r="K101" s="5">
        <f>SUM(B101:J101)</f>
        <v>10107048.948132046</v>
      </c>
    </row>
    <row r="102" spans="1:11" ht="12.75" hidden="1">
      <c r="A102" s="6" t="s">
        <v>22</v>
      </c>
      <c r="B102" s="17">
        <f>B71-B101</f>
        <v>-202140.9789626412</v>
      </c>
      <c r="C102" s="17"/>
      <c r="D102" s="17"/>
      <c r="E102" s="17"/>
      <c r="F102" s="17"/>
      <c r="G102" s="17"/>
      <c r="H102" s="17"/>
      <c r="I102" s="17"/>
      <c r="J102" s="19"/>
      <c r="K102" s="5"/>
    </row>
    <row r="103" spans="1:11" ht="12.75" hidden="1">
      <c r="A103" s="6" t="s">
        <v>23</v>
      </c>
      <c r="B103" s="17" t="e">
        <f>-#REF!*B101/($K$101-#REF!)</f>
        <v>#REF!</v>
      </c>
      <c r="C103" s="16">
        <f aca="true" t="shared" si="47" ref="C103:J103">-$B$102*C101/($K$101-$B$101)</f>
        <v>61302.41751395035</v>
      </c>
      <c r="D103" s="16">
        <f t="shared" si="47"/>
        <v>60092.91773178747</v>
      </c>
      <c r="E103" s="16">
        <f t="shared" si="47"/>
        <v>28154.5240208836</v>
      </c>
      <c r="F103" s="16">
        <f t="shared" si="47"/>
        <v>17777.718303358637</v>
      </c>
      <c r="G103" s="16">
        <f t="shared" si="47"/>
        <v>1589.0878704408474</v>
      </c>
      <c r="H103" s="16">
        <f t="shared" si="47"/>
        <v>20114.102451978106</v>
      </c>
      <c r="I103" s="16">
        <f t="shared" si="47"/>
        <v>8599.185170075358</v>
      </c>
      <c r="J103" s="16">
        <f t="shared" si="47"/>
        <v>4511.025900166879</v>
      </c>
      <c r="K103" s="5"/>
    </row>
    <row r="104" spans="1:11" ht="12.75" hidden="1">
      <c r="A104" s="6"/>
      <c r="B104" s="17" t="e">
        <f>B103</f>
        <v>#REF!</v>
      </c>
      <c r="C104" s="17">
        <f aca="true" t="shared" si="48" ref="C104:J104">C103</f>
        <v>61302.41751395035</v>
      </c>
      <c r="D104" s="17">
        <f t="shared" si="48"/>
        <v>60092.91773178747</v>
      </c>
      <c r="E104" s="17">
        <f t="shared" si="48"/>
        <v>28154.5240208836</v>
      </c>
      <c r="F104" s="17">
        <f t="shared" si="48"/>
        <v>17777.718303358637</v>
      </c>
      <c r="G104" s="17">
        <f t="shared" si="48"/>
        <v>1589.0878704408474</v>
      </c>
      <c r="H104" s="17">
        <f t="shared" si="48"/>
        <v>20114.102451978106</v>
      </c>
      <c r="I104" s="17">
        <f t="shared" si="48"/>
        <v>8599.185170075358</v>
      </c>
      <c r="J104" s="19">
        <f t="shared" si="48"/>
        <v>4511.025900166879</v>
      </c>
      <c r="K104" s="43"/>
    </row>
    <row r="105" spans="1:11" ht="12.75" hidden="1">
      <c r="A105" s="6" t="s">
        <v>24</v>
      </c>
      <c r="B105" s="17" t="e">
        <f>B101+B103+B102</f>
        <v>#REF!</v>
      </c>
      <c r="C105" s="17">
        <f aca="true" t="shared" si="49" ref="C105:J105">C101+C103</f>
        <v>1403469.4578887206</v>
      </c>
      <c r="D105" s="17">
        <f t="shared" si="49"/>
        <v>1375778.9348648551</v>
      </c>
      <c r="E105" s="17">
        <f>E101+E103</f>
        <v>644575.1434796584</v>
      </c>
      <c r="F105" s="17">
        <f t="shared" si="49"/>
        <v>407006.53712449846</v>
      </c>
      <c r="G105" s="17">
        <f t="shared" si="49"/>
        <v>36380.88647250545</v>
      </c>
      <c r="H105" s="17">
        <f t="shared" si="49"/>
        <v>460496.1697925178</v>
      </c>
      <c r="I105" s="17">
        <f>I101+I103</f>
        <v>196871.4161425031</v>
      </c>
      <c r="J105" s="19">
        <f t="shared" si="49"/>
        <v>103276.30347022526</v>
      </c>
      <c r="K105" s="5" t="e">
        <f>SUM(B105:J105)</f>
        <v>#REF!</v>
      </c>
    </row>
    <row r="106" spans="1:12" ht="12.75" customHeight="1" hidden="1">
      <c r="A106" s="6"/>
      <c r="B106" s="20"/>
      <c r="C106" s="20"/>
      <c r="D106" s="20"/>
      <c r="E106" s="20"/>
      <c r="F106" s="20"/>
      <c r="G106" s="20"/>
      <c r="H106" s="32"/>
      <c r="I106" s="32"/>
      <c r="J106" s="26"/>
      <c r="K106" s="30"/>
      <c r="L106" s="30"/>
    </row>
    <row r="107" spans="1:12" ht="12.75" hidden="1">
      <c r="A107" s="6" t="s">
        <v>25</v>
      </c>
      <c r="B107" s="9" t="e">
        <f aca="true" t="shared" si="50" ref="B107:J107">B105/$K$105</f>
        <v>#REF!</v>
      </c>
      <c r="C107" s="9" t="e">
        <f t="shared" si="50"/>
        <v>#REF!</v>
      </c>
      <c r="D107" s="9" t="e">
        <f t="shared" si="50"/>
        <v>#REF!</v>
      </c>
      <c r="E107" s="9" t="e">
        <f t="shared" si="50"/>
        <v>#REF!</v>
      </c>
      <c r="F107" s="9" t="e">
        <f t="shared" si="50"/>
        <v>#REF!</v>
      </c>
      <c r="G107" s="9" t="e">
        <f t="shared" si="50"/>
        <v>#REF!</v>
      </c>
      <c r="H107" s="9" t="e">
        <f t="shared" si="50"/>
        <v>#REF!</v>
      </c>
      <c r="I107" s="9" t="e">
        <f t="shared" si="50"/>
        <v>#REF!</v>
      </c>
      <c r="J107" s="24" t="e">
        <f t="shared" si="50"/>
        <v>#REF!</v>
      </c>
      <c r="K107" s="46"/>
      <c r="L107" s="30"/>
    </row>
    <row r="108" spans="1:12" ht="12.75" hidden="1">
      <c r="A108" s="6"/>
      <c r="B108" s="9"/>
      <c r="C108" s="9"/>
      <c r="D108" s="9"/>
      <c r="E108" s="9"/>
      <c r="F108" s="9"/>
      <c r="G108" s="9"/>
      <c r="H108" s="9"/>
      <c r="I108" s="9"/>
      <c r="J108" s="24"/>
      <c r="K108" s="30"/>
      <c r="L108" s="30"/>
    </row>
    <row r="109" spans="1:12" ht="12.75" hidden="1">
      <c r="A109" s="6" t="s">
        <v>28</v>
      </c>
      <c r="B109" s="17" t="e">
        <f>B105</f>
        <v>#REF!</v>
      </c>
      <c r="C109" s="17">
        <f aca="true" t="shared" si="51" ref="C109:J109">C105</f>
        <v>1403469.4578887206</v>
      </c>
      <c r="D109" s="17">
        <f t="shared" si="51"/>
        <v>1375778.9348648551</v>
      </c>
      <c r="E109" s="17">
        <f t="shared" si="51"/>
        <v>644575.1434796584</v>
      </c>
      <c r="F109" s="17">
        <f t="shared" si="51"/>
        <v>407006.53712449846</v>
      </c>
      <c r="G109" s="17">
        <f t="shared" si="51"/>
        <v>36380.88647250545</v>
      </c>
      <c r="H109" s="17">
        <f t="shared" si="51"/>
        <v>460496.1697925178</v>
      </c>
      <c r="I109" s="17">
        <f t="shared" si="51"/>
        <v>196871.4161425031</v>
      </c>
      <c r="J109" s="17">
        <f t="shared" si="51"/>
        <v>103276.30347022526</v>
      </c>
      <c r="K109" s="39" t="e">
        <f>SUM(B109:J109)</f>
        <v>#REF!</v>
      </c>
      <c r="L109" s="30"/>
    </row>
    <row r="110" spans="1:12" ht="12.75" hidden="1">
      <c r="A110" s="6" t="s">
        <v>27</v>
      </c>
      <c r="B110" s="38">
        <v>554090.750701108</v>
      </c>
      <c r="C110" s="38">
        <v>116276.45140519518</v>
      </c>
      <c r="D110" s="38">
        <v>103875.07349864596</v>
      </c>
      <c r="E110" s="38">
        <v>48667.18678966175</v>
      </c>
      <c r="F110" s="38">
        <v>37177.67490565291</v>
      </c>
      <c r="G110" s="38">
        <v>2390.3156137275955</v>
      </c>
      <c r="H110" s="38">
        <v>42255.030073961425</v>
      </c>
      <c r="I110" s="38">
        <v>12100.497600279092</v>
      </c>
      <c r="J110" s="40">
        <v>11473.118486153386</v>
      </c>
      <c r="K110" s="39">
        <f>SUM(B110:J110)</f>
        <v>928306.0990743852</v>
      </c>
      <c r="L110" s="30"/>
    </row>
    <row r="111" spans="1:12" ht="12.75" hidden="1">
      <c r="A111" s="6" t="s">
        <v>29</v>
      </c>
      <c r="B111" s="38">
        <v>5382567.494025061</v>
      </c>
      <c r="C111" s="38">
        <v>1292820.289064341</v>
      </c>
      <c r="D111" s="38">
        <v>1276659.4114562708</v>
      </c>
      <c r="E111" s="38">
        <v>499594.7519954636</v>
      </c>
      <c r="F111" s="38">
        <v>296024.70279420307</v>
      </c>
      <c r="G111" s="38">
        <v>33285.22042818033</v>
      </c>
      <c r="H111" s="38">
        <v>406053.1547661122</v>
      </c>
      <c r="I111" s="38">
        <v>74447.2530511892</v>
      </c>
      <c r="J111" s="40">
        <v>94477.61637691381</v>
      </c>
      <c r="K111" s="39">
        <f>SUM(B111:J111)</f>
        <v>9355929.893957736</v>
      </c>
      <c r="L111" s="30"/>
    </row>
    <row r="112" spans="1:12" s="42" customFormat="1" ht="13.5" hidden="1" thickBot="1">
      <c r="A112" s="21" t="str">
        <f>A95</f>
        <v>Actual Applied for RC</v>
      </c>
      <c r="B112" s="22">
        <f aca="true" t="shared" si="52" ref="B112:J112">B111/$K$111</f>
        <v>0.5753107980748381</v>
      </c>
      <c r="C112" s="22">
        <f t="shared" si="52"/>
        <v>0.13818191283148376</v>
      </c>
      <c r="D112" s="22">
        <f t="shared" si="52"/>
        <v>0.136454572225981</v>
      </c>
      <c r="E112" s="22">
        <f t="shared" si="52"/>
        <v>0.05339872761531837</v>
      </c>
      <c r="F112" s="22">
        <f t="shared" si="52"/>
        <v>0.03164032930445346</v>
      </c>
      <c r="G112" s="22">
        <f t="shared" si="52"/>
        <v>0.003557660308001736</v>
      </c>
      <c r="H112" s="22">
        <f t="shared" si="52"/>
        <v>0.04340061964640738</v>
      </c>
      <c r="I112" s="22">
        <f t="shared" si="52"/>
        <v>0.007957226475079602</v>
      </c>
      <c r="J112" s="25">
        <f t="shared" si="52"/>
        <v>0.01009815351843642</v>
      </c>
      <c r="K112" s="41"/>
      <c r="L112" s="41"/>
    </row>
    <row r="114" spans="1:10" ht="12.75">
      <c r="A114" s="42" t="s">
        <v>48</v>
      </c>
      <c r="B114" s="45">
        <f>B40/B40</f>
        <v>1</v>
      </c>
      <c r="C114" s="45">
        <f aca="true" t="shared" si="53" ref="C114:J114">C40/C40</f>
        <v>1</v>
      </c>
      <c r="D114" s="45">
        <f t="shared" si="53"/>
        <v>1</v>
      </c>
      <c r="E114" s="45">
        <f t="shared" si="53"/>
        <v>1</v>
      </c>
      <c r="F114" s="45">
        <f t="shared" si="53"/>
        <v>1</v>
      </c>
      <c r="G114" s="45">
        <f t="shared" si="53"/>
        <v>1</v>
      </c>
      <c r="H114" s="45">
        <f t="shared" si="53"/>
        <v>1</v>
      </c>
      <c r="I114" s="45">
        <f t="shared" si="53"/>
        <v>1</v>
      </c>
      <c r="J114" s="45">
        <f t="shared" si="53"/>
        <v>1</v>
      </c>
    </row>
    <row r="116" spans="2:6" ht="12.75">
      <c r="B116" s="2"/>
      <c r="F116" s="2"/>
    </row>
  </sheetData>
  <sheetProtection/>
  <mergeCells count="4">
    <mergeCell ref="A2:J2"/>
    <mergeCell ref="A3:J3"/>
    <mergeCell ref="A4:J4"/>
    <mergeCell ref="A1:J1"/>
  </mergeCells>
  <printOptions/>
  <pageMargins left="0.75" right="0.75" top="1" bottom="1" header="0.5" footer="0.5"/>
  <pageSetup fitToHeight="1" fitToWidth="1" horizontalDpi="600" verticalDpi="600" orientation="landscape" paperSize="5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0.7109375" style="0" customWidth="1"/>
    <col min="2" max="11" width="21.57421875" style="1" customWidth="1"/>
    <col min="12" max="12" width="17.7109375" style="1" customWidth="1"/>
    <col min="13" max="13" width="10.7109375" style="0" customWidth="1"/>
    <col min="14" max="14" width="12.28125" style="0" bestFit="1" customWidth="1"/>
    <col min="15" max="15" width="19.8515625" style="0" bestFit="1" customWidth="1"/>
  </cols>
  <sheetData>
    <row r="1" spans="1:11" ht="18">
      <c r="A1" s="50" t="s">
        <v>35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8">
      <c r="A2" s="50" t="s">
        <v>51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18">
      <c r="A3" s="51">
        <f ca="1">TODAY()</f>
        <v>41011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8">
      <c r="A4" s="50" t="s">
        <v>26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6" spans="2:11" ht="12.75">
      <c r="B6" s="1" t="s">
        <v>2</v>
      </c>
      <c r="C6" s="1" t="s">
        <v>3</v>
      </c>
      <c r="D6" s="1" t="s">
        <v>39</v>
      </c>
      <c r="E6" s="1" t="s">
        <v>52</v>
      </c>
      <c r="F6" s="1" t="s">
        <v>53</v>
      </c>
      <c r="G6" s="1" t="s">
        <v>37</v>
      </c>
      <c r="H6" s="1" t="s">
        <v>38</v>
      </c>
      <c r="I6" s="1" t="s">
        <v>4</v>
      </c>
      <c r="J6" s="1" t="s">
        <v>40</v>
      </c>
      <c r="K6" s="1" t="s">
        <v>5</v>
      </c>
    </row>
    <row r="7" spans="1:11" ht="12.75">
      <c r="A7" t="s">
        <v>36</v>
      </c>
      <c r="B7" s="3">
        <v>1.0548657015999068</v>
      </c>
      <c r="C7" s="3">
        <v>0.9368640437293588</v>
      </c>
      <c r="D7" s="3">
        <v>0.8572373108951856</v>
      </c>
      <c r="E7" s="3">
        <v>1.0384584945089244</v>
      </c>
      <c r="F7" s="3">
        <v>0.929275260663363</v>
      </c>
      <c r="G7" s="3">
        <v>1.1913355702857067</v>
      </c>
      <c r="H7" s="3">
        <v>0.744355428417413</v>
      </c>
      <c r="I7" s="3">
        <v>1.0403077111433876</v>
      </c>
      <c r="J7" s="3">
        <v>0.6999327287696933</v>
      </c>
      <c r="K7" s="3">
        <v>0.2874246298060976</v>
      </c>
    </row>
    <row r="8" spans="1:11" ht="12.75">
      <c r="A8" t="s">
        <v>0</v>
      </c>
      <c r="B8" s="3">
        <v>0.85</v>
      </c>
      <c r="C8" s="3">
        <v>0.8</v>
      </c>
      <c r="D8" s="3">
        <v>0.8</v>
      </c>
      <c r="E8" s="3">
        <v>0.8</v>
      </c>
      <c r="F8" s="3">
        <v>0.8</v>
      </c>
      <c r="G8" s="3">
        <v>0.8</v>
      </c>
      <c r="H8" s="3">
        <v>0.7</v>
      </c>
      <c r="I8" s="3">
        <v>0.7</v>
      </c>
      <c r="J8" s="3">
        <v>0.7</v>
      </c>
      <c r="K8" s="3">
        <v>0.8</v>
      </c>
    </row>
    <row r="9" spans="1:11" ht="12.75">
      <c r="A9" t="s">
        <v>1</v>
      </c>
      <c r="B9" s="3">
        <v>1.15</v>
      </c>
      <c r="C9" s="3">
        <v>1.2</v>
      </c>
      <c r="D9" s="3">
        <v>1.8</v>
      </c>
      <c r="E9" s="3">
        <v>1.8</v>
      </c>
      <c r="F9" s="3">
        <v>1.8</v>
      </c>
      <c r="G9" s="3">
        <v>1.8</v>
      </c>
      <c r="H9" s="3">
        <v>1.2</v>
      </c>
      <c r="I9" s="3">
        <v>1.2</v>
      </c>
      <c r="J9" s="3">
        <v>1.8</v>
      </c>
      <c r="K9" s="3">
        <v>1.2</v>
      </c>
    </row>
    <row r="10" spans="1:12" ht="12.75">
      <c r="A10" t="s">
        <v>43</v>
      </c>
      <c r="B10" s="4">
        <v>4868699</v>
      </c>
      <c r="C10" s="4">
        <v>1016184</v>
      </c>
      <c r="D10" s="4">
        <v>926213</v>
      </c>
      <c r="E10" s="4">
        <v>444668</v>
      </c>
      <c r="F10" s="4">
        <v>43490</v>
      </c>
      <c r="G10" s="4">
        <v>349473</v>
      </c>
      <c r="H10" s="4">
        <v>20837</v>
      </c>
      <c r="I10" s="4">
        <v>385197</v>
      </c>
      <c r="J10" s="4">
        <v>114965</v>
      </c>
      <c r="K10" s="4">
        <v>13889</v>
      </c>
      <c r="L10" s="2">
        <f>SUM(B10:K10)</f>
        <v>8183615</v>
      </c>
    </row>
    <row r="11" spans="1:12" ht="12.75">
      <c r="A11" t="s">
        <v>41</v>
      </c>
      <c r="B11" s="4">
        <v>597067</v>
      </c>
      <c r="C11" s="4">
        <v>130812</v>
      </c>
      <c r="D11" s="4">
        <v>98451</v>
      </c>
      <c r="E11" s="4">
        <v>35404</v>
      </c>
      <c r="F11" s="4">
        <v>3355</v>
      </c>
      <c r="G11" s="4">
        <v>17262</v>
      </c>
      <c r="H11" s="4">
        <v>2742</v>
      </c>
      <c r="I11" s="4">
        <v>31623</v>
      </c>
      <c r="J11" s="4">
        <v>4399</v>
      </c>
      <c r="K11" s="4">
        <v>11941</v>
      </c>
      <c r="L11" s="2">
        <f>SUM(B11:K11)</f>
        <v>933056</v>
      </c>
    </row>
    <row r="12" spans="1:12" s="47" customFormat="1" ht="12.75">
      <c r="A12" s="33" t="s">
        <v>44</v>
      </c>
      <c r="B12" s="34">
        <f aca="true" t="shared" si="0" ref="B12:K12">B10+B11</f>
        <v>5465766</v>
      </c>
      <c r="C12" s="34">
        <f t="shared" si="0"/>
        <v>1146996</v>
      </c>
      <c r="D12" s="34">
        <f t="shared" si="0"/>
        <v>1024664</v>
      </c>
      <c r="E12" s="34">
        <f>E10+E11</f>
        <v>480072</v>
      </c>
      <c r="F12" s="34">
        <f t="shared" si="0"/>
        <v>46845</v>
      </c>
      <c r="G12" s="34">
        <f t="shared" si="0"/>
        <v>366735</v>
      </c>
      <c r="H12" s="34">
        <f t="shared" si="0"/>
        <v>23579</v>
      </c>
      <c r="I12" s="34">
        <f t="shared" si="0"/>
        <v>416820</v>
      </c>
      <c r="J12" s="34">
        <f>J10+J11</f>
        <v>119364</v>
      </c>
      <c r="K12" s="34">
        <f t="shared" si="0"/>
        <v>25830</v>
      </c>
      <c r="L12" s="48">
        <f>SUM(B12:K12)</f>
        <v>9116671</v>
      </c>
    </row>
    <row r="13" spans="2:11" ht="13.5" thickBot="1">
      <c r="B13" s="49">
        <f>C13</f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f>K8-K7</f>
        <v>0.5125753701939024</v>
      </c>
    </row>
    <row r="14" spans="1:12" ht="12.75">
      <c r="A14" s="10" t="s">
        <v>7</v>
      </c>
      <c r="B14" s="11"/>
      <c r="C14" s="11"/>
      <c r="D14" s="11"/>
      <c r="E14" s="11"/>
      <c r="F14" s="11"/>
      <c r="G14" s="11"/>
      <c r="H14" s="11"/>
      <c r="I14" s="11"/>
      <c r="J14" s="11"/>
      <c r="K14" s="12"/>
      <c r="L14" s="7"/>
    </row>
    <row r="15" spans="1:12" ht="12.75">
      <c r="A15" s="13"/>
      <c r="B15" s="7"/>
      <c r="C15" s="7"/>
      <c r="D15" s="7"/>
      <c r="E15" s="7"/>
      <c r="F15" s="7"/>
      <c r="G15" s="7"/>
      <c r="H15" s="7"/>
      <c r="I15" s="7"/>
      <c r="J15" s="7"/>
      <c r="K15" s="8"/>
      <c r="L15" s="7"/>
    </row>
    <row r="16" spans="1:12" ht="12.75">
      <c r="A16" s="14" t="s">
        <v>14</v>
      </c>
      <c r="B16" s="35">
        <f aca="true" t="shared" si="1" ref="B16:K18">B7</f>
        <v>1.0548657015999068</v>
      </c>
      <c r="C16" s="35">
        <f t="shared" si="1"/>
        <v>0.9368640437293588</v>
      </c>
      <c r="D16" s="35">
        <f t="shared" si="1"/>
        <v>0.8572373108951856</v>
      </c>
      <c r="E16" s="35">
        <f>E7</f>
        <v>1.0384584945089244</v>
      </c>
      <c r="F16" s="35">
        <f t="shared" si="1"/>
        <v>0.929275260663363</v>
      </c>
      <c r="G16" s="35">
        <f t="shared" si="1"/>
        <v>1.1913355702857067</v>
      </c>
      <c r="H16" s="35">
        <f t="shared" si="1"/>
        <v>0.744355428417413</v>
      </c>
      <c r="I16" s="35">
        <f t="shared" si="1"/>
        <v>1.0403077111433876</v>
      </c>
      <c r="J16" s="35">
        <f>J7</f>
        <v>0.6999327287696933</v>
      </c>
      <c r="K16" s="36">
        <f t="shared" si="1"/>
        <v>0.2874246298060976</v>
      </c>
      <c r="L16" s="17"/>
    </row>
    <row r="17" spans="1:12" ht="12.75">
      <c r="A17" s="28" t="s">
        <v>15</v>
      </c>
      <c r="B17" s="35">
        <f t="shared" si="1"/>
        <v>0.85</v>
      </c>
      <c r="C17" s="35">
        <f t="shared" si="1"/>
        <v>0.8</v>
      </c>
      <c r="D17" s="35">
        <f t="shared" si="1"/>
        <v>0.8</v>
      </c>
      <c r="E17" s="35">
        <f>E8</f>
        <v>0.8</v>
      </c>
      <c r="F17" s="35">
        <f t="shared" si="1"/>
        <v>0.8</v>
      </c>
      <c r="G17" s="35">
        <f t="shared" si="1"/>
        <v>0.8</v>
      </c>
      <c r="H17" s="35">
        <f t="shared" si="1"/>
        <v>0.7</v>
      </c>
      <c r="I17" s="35">
        <f t="shared" si="1"/>
        <v>0.7</v>
      </c>
      <c r="J17" s="35">
        <f>J8</f>
        <v>0.7</v>
      </c>
      <c r="K17" s="36">
        <f t="shared" si="1"/>
        <v>0.8</v>
      </c>
      <c r="L17" s="17"/>
    </row>
    <row r="18" spans="1:12" ht="12.75">
      <c r="A18" s="28" t="s">
        <v>16</v>
      </c>
      <c r="B18" s="9">
        <f t="shared" si="1"/>
        <v>1.15</v>
      </c>
      <c r="C18" s="9">
        <f t="shared" si="1"/>
        <v>1.2</v>
      </c>
      <c r="D18" s="9">
        <f t="shared" si="1"/>
        <v>1.8</v>
      </c>
      <c r="E18" s="9">
        <f>E9</f>
        <v>1.8</v>
      </c>
      <c r="F18" s="9">
        <f t="shared" si="1"/>
        <v>1.8</v>
      </c>
      <c r="G18" s="9">
        <f t="shared" si="1"/>
        <v>1.8</v>
      </c>
      <c r="H18" s="9">
        <f t="shared" si="1"/>
        <v>1.2</v>
      </c>
      <c r="I18" s="9">
        <f t="shared" si="1"/>
        <v>1.2</v>
      </c>
      <c r="J18" s="9">
        <f>J9</f>
        <v>1.8</v>
      </c>
      <c r="K18" s="24">
        <f t="shared" si="1"/>
        <v>1.2</v>
      </c>
      <c r="L18" s="17"/>
    </row>
    <row r="19" spans="1:12" ht="12.75">
      <c r="A19" s="6"/>
      <c r="B19" s="9"/>
      <c r="C19" s="9"/>
      <c r="D19" s="9"/>
      <c r="E19" s="9"/>
      <c r="F19" s="9"/>
      <c r="G19" s="9"/>
      <c r="H19" s="9"/>
      <c r="I19" s="9"/>
      <c r="J19" s="9"/>
      <c r="K19" s="24"/>
      <c r="L19" s="17"/>
    </row>
    <row r="20" spans="1:12" ht="12.75">
      <c r="A20" s="28" t="s">
        <v>13</v>
      </c>
      <c r="B20" s="27">
        <f aca="true" t="shared" si="2" ref="B20:K20">B12</f>
        <v>5465766</v>
      </c>
      <c r="C20" s="27">
        <f t="shared" si="2"/>
        <v>1146996</v>
      </c>
      <c r="D20" s="27">
        <f t="shared" si="2"/>
        <v>1024664</v>
      </c>
      <c r="E20" s="27">
        <f>E12</f>
        <v>480072</v>
      </c>
      <c r="F20" s="27">
        <f t="shared" si="2"/>
        <v>46845</v>
      </c>
      <c r="G20" s="27">
        <f t="shared" si="2"/>
        <v>366735</v>
      </c>
      <c r="H20" s="27">
        <f t="shared" si="2"/>
        <v>23579</v>
      </c>
      <c r="I20" s="27">
        <f t="shared" si="2"/>
        <v>416820</v>
      </c>
      <c r="J20" s="27">
        <f>J12</f>
        <v>119364</v>
      </c>
      <c r="K20" s="29">
        <f t="shared" si="2"/>
        <v>25830</v>
      </c>
      <c r="L20" s="17">
        <f>SUM(B20:K20)</f>
        <v>9116671</v>
      </c>
    </row>
    <row r="21" spans="1:12" ht="12.75">
      <c r="A21" s="28" t="s">
        <v>6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/>
      <c r="H21" s="27"/>
      <c r="I21" s="27">
        <v>0</v>
      </c>
      <c r="J21" s="27">
        <v>0</v>
      </c>
      <c r="K21" s="29">
        <f>-K20+K20/K16*K18</f>
        <v>82010.4450617559</v>
      </c>
      <c r="L21" s="17"/>
    </row>
    <row r="22" spans="1:15" ht="12.75">
      <c r="A22" s="28" t="s">
        <v>19</v>
      </c>
      <c r="B22" s="27">
        <f aca="true" t="shared" si="3" ref="B22:K22">B20+B21</f>
        <v>5465766</v>
      </c>
      <c r="C22" s="27">
        <f t="shared" si="3"/>
        <v>1146996</v>
      </c>
      <c r="D22" s="27">
        <f t="shared" si="3"/>
        <v>1024664</v>
      </c>
      <c r="E22" s="27">
        <f>E20+E21</f>
        <v>480072</v>
      </c>
      <c r="F22" s="27">
        <f t="shared" si="3"/>
        <v>46845</v>
      </c>
      <c r="G22" s="27">
        <f t="shared" si="3"/>
        <v>366735</v>
      </c>
      <c r="H22" s="27">
        <f t="shared" si="3"/>
        <v>23579</v>
      </c>
      <c r="I22" s="27">
        <f t="shared" si="3"/>
        <v>416820</v>
      </c>
      <c r="J22" s="27">
        <f>J20+J21</f>
        <v>119364</v>
      </c>
      <c r="K22" s="29">
        <f t="shared" si="3"/>
        <v>107840.4450617559</v>
      </c>
      <c r="L22" s="17">
        <f>SUM(B22:K22)</f>
        <v>9198681.445061756</v>
      </c>
      <c r="M22" s="17">
        <f>L20-L22</f>
        <v>-82010.4450617563</v>
      </c>
      <c r="O22" s="44"/>
    </row>
    <row r="23" spans="1:15" ht="12.75">
      <c r="A23" s="6" t="s">
        <v>18</v>
      </c>
      <c r="B23" s="27">
        <f>B22/($B$22+$C$22+$D$22+$F$22+$G$22+$E$22+$H$22+$I$22+$J$22)*$M$22</f>
        <v>-49307.85856483635</v>
      </c>
      <c r="C23" s="27">
        <f aca="true" t="shared" si="4" ref="C23:J23">C22/($B$22+$C$22+$D$22+$F$22+$G$22+$E$22+$H$22+$I$22+$J$22)*$M$22</f>
        <v>-10347.299270117497</v>
      </c>
      <c r="D23" s="27">
        <f t="shared" si="4"/>
        <v>-9243.715810094956</v>
      </c>
      <c r="E23" s="27">
        <f t="shared" si="4"/>
        <v>-4330.833459928237</v>
      </c>
      <c r="F23" s="27">
        <f t="shared" si="4"/>
        <v>-422.5988881466493</v>
      </c>
      <c r="G23" s="27">
        <f t="shared" si="4"/>
        <v>-3308.395842554412</v>
      </c>
      <c r="H23" s="27">
        <f t="shared" si="4"/>
        <v>-212.71126445959752</v>
      </c>
      <c r="I23" s="27">
        <f t="shared" si="4"/>
        <v>-3760.2234722443454</v>
      </c>
      <c r="J23" s="27">
        <f t="shared" si="4"/>
        <v>-1076.8084893742482</v>
      </c>
      <c r="K23" s="29"/>
      <c r="L23" s="2">
        <f>SUM(B23:K23)</f>
        <v>-82010.44506175628</v>
      </c>
      <c r="O23" s="31"/>
    </row>
    <row r="24" spans="1:12" ht="12.75">
      <c r="A24" s="6" t="s">
        <v>17</v>
      </c>
      <c r="B24" s="17">
        <f aca="true" t="shared" si="5" ref="B24:K24">B22+B23</f>
        <v>5416458.141435164</v>
      </c>
      <c r="C24" s="17">
        <f t="shared" si="5"/>
        <v>1136648.7007298826</v>
      </c>
      <c r="D24" s="17">
        <f t="shared" si="5"/>
        <v>1015420.284189905</v>
      </c>
      <c r="E24" s="17">
        <f>E22+E23</f>
        <v>475741.1665400718</v>
      </c>
      <c r="F24" s="17">
        <f t="shared" si="5"/>
        <v>46422.40111185335</v>
      </c>
      <c r="G24" s="17">
        <f t="shared" si="5"/>
        <v>363426.6041574456</v>
      </c>
      <c r="H24" s="17">
        <f t="shared" si="5"/>
        <v>23366.288735540402</v>
      </c>
      <c r="I24" s="17">
        <f t="shared" si="5"/>
        <v>413059.77652775566</v>
      </c>
      <c r="J24" s="17">
        <f>J22+J23</f>
        <v>118287.19151062575</v>
      </c>
      <c r="K24" s="19">
        <f t="shared" si="5"/>
        <v>107840.4450617559</v>
      </c>
      <c r="L24" s="17">
        <f>SUM(B24:K24)</f>
        <v>9116670.999999998</v>
      </c>
    </row>
    <row r="25" spans="1:12" ht="12.75">
      <c r="A25" s="6"/>
      <c r="B25" s="17"/>
      <c r="C25" s="17"/>
      <c r="D25" s="17"/>
      <c r="E25" s="17"/>
      <c r="F25" s="17"/>
      <c r="G25" s="17"/>
      <c r="H25" s="17"/>
      <c r="I25" s="17"/>
      <c r="J25" s="17"/>
      <c r="K25" s="19"/>
      <c r="L25" s="17"/>
    </row>
    <row r="26" spans="1:12" ht="12.75">
      <c r="A26" s="6" t="s">
        <v>20</v>
      </c>
      <c r="B26" s="9">
        <f>B24/$L24</f>
        <v>0.5941267532233164</v>
      </c>
      <c r="C26" s="9">
        <f aca="true" t="shared" si="6" ref="C26:K26">C24/$L24</f>
        <v>0.12467804319470153</v>
      </c>
      <c r="D26" s="9">
        <f t="shared" si="6"/>
        <v>0.11138059980336082</v>
      </c>
      <c r="E26" s="9">
        <f t="shared" si="6"/>
        <v>0.05218364977085077</v>
      </c>
      <c r="F26" s="9">
        <f t="shared" si="6"/>
        <v>0.005092034264684265</v>
      </c>
      <c r="G26" s="9">
        <f t="shared" si="6"/>
        <v>0.039863959570049824</v>
      </c>
      <c r="H26" s="9">
        <f t="shared" si="6"/>
        <v>0.002563028624762307</v>
      </c>
      <c r="I26" s="9">
        <f t="shared" si="6"/>
        <v>0.04530818064266614</v>
      </c>
      <c r="J26" s="9">
        <f t="shared" si="6"/>
        <v>0.012974822883333815</v>
      </c>
      <c r="K26" s="24">
        <f t="shared" si="6"/>
        <v>0.011828928022274351</v>
      </c>
      <c r="L26" s="17"/>
    </row>
    <row r="27" spans="1:12" ht="12.75">
      <c r="A27" s="6"/>
      <c r="B27" s="17"/>
      <c r="C27" s="17"/>
      <c r="D27" s="17"/>
      <c r="E27" s="17"/>
      <c r="F27" s="17"/>
      <c r="G27" s="17"/>
      <c r="H27" s="17"/>
      <c r="I27" s="17"/>
      <c r="J27" s="17"/>
      <c r="K27" s="19"/>
      <c r="L27" s="17"/>
    </row>
    <row r="28" spans="1:13" ht="12.75">
      <c r="A28" s="6" t="s">
        <v>42</v>
      </c>
      <c r="B28" s="17">
        <f>B26*$L28</f>
        <v>6004868.176222827</v>
      </c>
      <c r="C28" s="17">
        <f aca="true" t="shared" si="7" ref="C28:K28">C26*$L28</f>
        <v>1260127.0853261699</v>
      </c>
      <c r="D28" s="17">
        <f t="shared" si="7"/>
        <v>1125729.1740848743</v>
      </c>
      <c r="E28" s="17">
        <f t="shared" si="7"/>
        <v>527422.7025261683</v>
      </c>
      <c r="F28" s="17">
        <f t="shared" si="7"/>
        <v>51465.43955872943</v>
      </c>
      <c r="G28" s="17">
        <f t="shared" si="7"/>
        <v>402906.99064085045</v>
      </c>
      <c r="H28" s="17">
        <f t="shared" si="7"/>
        <v>25904.6557659362</v>
      </c>
      <c r="I28" s="17">
        <f t="shared" si="7"/>
        <v>457931.99950623553</v>
      </c>
      <c r="J28" s="17">
        <f t="shared" si="7"/>
        <v>131137.16997519863</v>
      </c>
      <c r="K28" s="19">
        <f t="shared" si="7"/>
        <v>119555.55452505767</v>
      </c>
      <c r="L28" s="17">
        <v>10107048.948132046</v>
      </c>
      <c r="M28" s="54"/>
    </row>
    <row r="29" spans="1:12" ht="12.75">
      <c r="A29" s="6" t="s">
        <v>27</v>
      </c>
      <c r="B29" s="17">
        <f aca="true" t="shared" si="8" ref="B29:K29">B26*$L$29</f>
        <v>554352.9377287815</v>
      </c>
      <c r="C29" s="17">
        <f t="shared" si="8"/>
        <v>116331.47159303224</v>
      </c>
      <c r="D29" s="17">
        <f t="shared" si="8"/>
        <v>103924.22554952482</v>
      </c>
      <c r="E29" s="17">
        <f t="shared" si="8"/>
        <v>48690.21533694117</v>
      </c>
      <c r="F29" s="17">
        <f t="shared" si="8"/>
        <v>4751.148030834976</v>
      </c>
      <c r="G29" s="17">
        <f t="shared" si="8"/>
        <v>37195.26679663284</v>
      </c>
      <c r="H29" s="17">
        <f t="shared" si="8"/>
        <v>2391.4466734775947</v>
      </c>
      <c r="I29" s="17">
        <f t="shared" si="8"/>
        <v>42275.024489542855</v>
      </c>
      <c r="J29" s="17">
        <f t="shared" si="8"/>
        <v>12106.223365409032</v>
      </c>
      <c r="K29" s="19">
        <f t="shared" si="8"/>
        <v>11037.040435823195</v>
      </c>
      <c r="L29" s="17">
        <v>933055</v>
      </c>
    </row>
    <row r="30" spans="1:12" ht="12.75">
      <c r="A30" s="6" t="s">
        <v>32</v>
      </c>
      <c r="B30" s="17">
        <f>B28-B29</f>
        <v>5450515.238494046</v>
      </c>
      <c r="C30" s="17">
        <f aca="true" t="shared" si="9" ref="C30:K30">C28-C29</f>
        <v>1143795.6137331375</v>
      </c>
      <c r="D30" s="17">
        <f t="shared" si="9"/>
        <v>1021804.9485353495</v>
      </c>
      <c r="E30" s="17">
        <f>E28-E29</f>
        <v>478732.48718922713</v>
      </c>
      <c r="F30" s="17">
        <f t="shared" si="9"/>
        <v>46714.29152789445</v>
      </c>
      <c r="G30" s="17">
        <f t="shared" si="9"/>
        <v>365711.7238442176</v>
      </c>
      <c r="H30" s="17">
        <f t="shared" si="9"/>
        <v>23513.209092458605</v>
      </c>
      <c r="I30" s="17">
        <f t="shared" si="9"/>
        <v>415656.97501669265</v>
      </c>
      <c r="J30" s="17">
        <f>J28-J29</f>
        <v>119030.9466097896</v>
      </c>
      <c r="K30" s="19">
        <f t="shared" si="9"/>
        <v>108518.51408923448</v>
      </c>
      <c r="L30" s="17">
        <f>SUM(B30:K30)</f>
        <v>9173993.948132046</v>
      </c>
    </row>
    <row r="31" spans="1:12" ht="13.5" thickBot="1">
      <c r="A31" s="21" t="s">
        <v>9</v>
      </c>
      <c r="B31" s="22">
        <f aca="true" t="shared" si="10" ref="B31:K31">B30/$L30</f>
        <v>0.5941267532233164</v>
      </c>
      <c r="C31" s="22">
        <f t="shared" si="10"/>
        <v>0.12467804319470152</v>
      </c>
      <c r="D31" s="22">
        <f t="shared" si="10"/>
        <v>0.11138059980336082</v>
      </c>
      <c r="E31" s="22">
        <f t="shared" si="10"/>
        <v>0.052183649770850764</v>
      </c>
      <c r="F31" s="22">
        <f t="shared" si="10"/>
        <v>0.005092034264684264</v>
      </c>
      <c r="G31" s="22">
        <f t="shared" si="10"/>
        <v>0.039863959570049824</v>
      </c>
      <c r="H31" s="22">
        <f t="shared" si="10"/>
        <v>0.002563028624762307</v>
      </c>
      <c r="I31" s="22">
        <f t="shared" si="10"/>
        <v>0.04530818064266614</v>
      </c>
      <c r="J31" s="22">
        <f t="shared" si="10"/>
        <v>0.012974822883333815</v>
      </c>
      <c r="K31" s="25">
        <f t="shared" si="10"/>
        <v>0.011828928022274353</v>
      </c>
      <c r="L31" s="20"/>
    </row>
    <row r="32" spans="2:11" ht="13.5" thickBot="1">
      <c r="B32" s="49"/>
      <c r="C32" s="49"/>
      <c r="D32" s="49"/>
      <c r="E32" s="49"/>
      <c r="F32" s="49"/>
      <c r="G32" s="49"/>
      <c r="H32" s="49"/>
      <c r="I32" s="49"/>
      <c r="J32" s="49"/>
      <c r="K32" s="49"/>
    </row>
    <row r="33" spans="1:12" ht="12.75">
      <c r="A33" s="10" t="s">
        <v>8</v>
      </c>
      <c r="B33" s="15"/>
      <c r="C33" s="11"/>
      <c r="D33" s="11"/>
      <c r="E33" s="11"/>
      <c r="F33" s="11"/>
      <c r="G33" s="11"/>
      <c r="H33" s="11"/>
      <c r="I33" s="11"/>
      <c r="J33" s="11"/>
      <c r="K33" s="12"/>
      <c r="L33" s="7"/>
    </row>
    <row r="34" spans="1:12" ht="12.75">
      <c r="A34" s="6"/>
      <c r="B34" s="7"/>
      <c r="C34" s="7"/>
      <c r="D34" s="7"/>
      <c r="E34" s="7"/>
      <c r="F34" s="7"/>
      <c r="G34" s="7"/>
      <c r="H34" s="7"/>
      <c r="I34" s="7"/>
      <c r="J34" s="7"/>
      <c r="K34" s="8"/>
      <c r="L34" s="7"/>
    </row>
    <row r="35" spans="1:12" ht="12.75">
      <c r="A35" s="6" t="s">
        <v>44</v>
      </c>
      <c r="B35" s="16">
        <f>B20</f>
        <v>5465766</v>
      </c>
      <c r="C35" s="16">
        <f aca="true" t="shared" si="11" ref="C35:K35">C20</f>
        <v>1146996</v>
      </c>
      <c r="D35" s="16">
        <f t="shared" si="11"/>
        <v>1024664</v>
      </c>
      <c r="E35" s="16">
        <f>E20</f>
        <v>480072</v>
      </c>
      <c r="F35" s="16">
        <f t="shared" si="11"/>
        <v>46845</v>
      </c>
      <c r="G35" s="16">
        <f t="shared" si="11"/>
        <v>366735</v>
      </c>
      <c r="H35" s="16">
        <f t="shared" si="11"/>
        <v>23579</v>
      </c>
      <c r="I35" s="16">
        <f t="shared" si="11"/>
        <v>416820</v>
      </c>
      <c r="J35" s="16">
        <f>J20</f>
        <v>119364</v>
      </c>
      <c r="K35" s="18">
        <f t="shared" si="11"/>
        <v>25830</v>
      </c>
      <c r="L35" s="16">
        <f>SUM(B35:K35)</f>
        <v>9116671</v>
      </c>
    </row>
    <row r="36" spans="1:12" ht="12.75">
      <c r="A36" s="37" t="s">
        <v>45</v>
      </c>
      <c r="B36" s="16">
        <f>B35/B16</f>
        <v>5181480.440315875</v>
      </c>
      <c r="C36" s="16">
        <f aca="true" t="shared" si="12" ref="C36:K36">C35/C16</f>
        <v>1224292.9031988168</v>
      </c>
      <c r="D36" s="16">
        <f t="shared" si="12"/>
        <v>1195309.6149419534</v>
      </c>
      <c r="E36" s="16">
        <f>E35/E16</f>
        <v>462292.91063483554</v>
      </c>
      <c r="F36" s="16">
        <f t="shared" si="12"/>
        <v>50410.2519274641</v>
      </c>
      <c r="G36" s="16">
        <f t="shared" si="12"/>
        <v>307835.18023561523</v>
      </c>
      <c r="H36" s="16">
        <f t="shared" si="12"/>
        <v>31677.071328856593</v>
      </c>
      <c r="I36" s="16">
        <f t="shared" si="12"/>
        <v>400669.912887485</v>
      </c>
      <c r="J36" s="16">
        <f>J35/J16</f>
        <v>170536.3888466997</v>
      </c>
      <c r="K36" s="18">
        <f t="shared" si="12"/>
        <v>89867.03755146326</v>
      </c>
      <c r="L36" s="16">
        <f>SUM(B36:K36)</f>
        <v>9114371.711869065</v>
      </c>
    </row>
    <row r="37" spans="1:12" ht="12.75">
      <c r="A37" s="6"/>
      <c r="B37" s="16"/>
      <c r="C37" s="16"/>
      <c r="D37" s="16"/>
      <c r="E37" s="16"/>
      <c r="F37" s="16"/>
      <c r="G37" s="16"/>
      <c r="H37" s="16"/>
      <c r="I37" s="16"/>
      <c r="J37" s="16"/>
      <c r="K37" s="18"/>
      <c r="L37" s="16">
        <f>SUM(B37:K37)</f>
        <v>0</v>
      </c>
    </row>
    <row r="38" spans="1:12" ht="12.75">
      <c r="A38" s="6" t="s">
        <v>46</v>
      </c>
      <c r="B38" s="9">
        <f aca="true" t="shared" si="13" ref="B38:K38">B36/$L36</f>
        <v>0.5684956247251101</v>
      </c>
      <c r="C38" s="9">
        <f t="shared" si="13"/>
        <v>0.13432554013618933</v>
      </c>
      <c r="D38" s="9">
        <f t="shared" si="13"/>
        <v>0.13114558553557543</v>
      </c>
      <c r="E38" s="9">
        <f t="shared" si="13"/>
        <v>0.0507213141233664</v>
      </c>
      <c r="F38" s="9">
        <f t="shared" si="13"/>
        <v>0.005530853197683176</v>
      </c>
      <c r="G38" s="9">
        <f t="shared" si="13"/>
        <v>0.033774701094836976</v>
      </c>
      <c r="H38" s="9">
        <f t="shared" si="13"/>
        <v>0.003475507948354308</v>
      </c>
      <c r="I38" s="9">
        <f t="shared" si="13"/>
        <v>0.043960233963874676</v>
      </c>
      <c r="J38" s="9">
        <f t="shared" si="13"/>
        <v>0.018710712514020143</v>
      </c>
      <c r="K38" s="24">
        <f t="shared" si="13"/>
        <v>0.009859926760989478</v>
      </c>
      <c r="L38" s="17"/>
    </row>
    <row r="39" spans="1:12" ht="12.75">
      <c r="A39" s="6"/>
      <c r="B39" s="16"/>
      <c r="C39" s="16"/>
      <c r="D39" s="16"/>
      <c r="E39" s="16"/>
      <c r="F39" s="16"/>
      <c r="G39" s="16"/>
      <c r="H39" s="16"/>
      <c r="I39" s="16"/>
      <c r="J39" s="16"/>
      <c r="K39" s="19"/>
      <c r="L39" s="23"/>
    </row>
    <row r="40" spans="1:14" ht="12.75">
      <c r="A40" s="6" t="s">
        <v>42</v>
      </c>
      <c r="B40" s="17">
        <f aca="true" t="shared" si="14" ref="B40:K40">B38*$L40</f>
        <v>5745813.105895594</v>
      </c>
      <c r="C40" s="17">
        <f t="shared" si="14"/>
        <v>1357634.8091407414</v>
      </c>
      <c r="D40" s="17">
        <f t="shared" si="14"/>
        <v>1325494.852339499</v>
      </c>
      <c r="E40" s="17">
        <f t="shared" si="14"/>
        <v>512642.8045584454</v>
      </c>
      <c r="F40" s="17">
        <f t="shared" si="14"/>
        <v>55900.603993916506</v>
      </c>
      <c r="G40" s="17">
        <f t="shared" si="14"/>
        <v>341362.5571740463</v>
      </c>
      <c r="H40" s="17">
        <f t="shared" si="14"/>
        <v>35127.128953638974</v>
      </c>
      <c r="I40" s="17">
        <f t="shared" si="14"/>
        <v>444308.23644421814</v>
      </c>
      <c r="J40" s="17">
        <f t="shared" si="14"/>
        <v>189110.08723362838</v>
      </c>
      <c r="K40" s="19">
        <f t="shared" si="14"/>
        <v>99654.7623983177</v>
      </c>
      <c r="L40" s="17">
        <f>L28</f>
        <v>10107048.948132046</v>
      </c>
      <c r="N40" s="31"/>
    </row>
    <row r="41" spans="1:14" ht="12.75">
      <c r="A41" s="6" t="s">
        <v>27</v>
      </c>
      <c r="B41" s="38">
        <f>B29</f>
        <v>554352.9377287815</v>
      </c>
      <c r="C41" s="38">
        <f aca="true" t="shared" si="15" ref="C41:K41">C29</f>
        <v>116331.47159303224</v>
      </c>
      <c r="D41" s="38">
        <f t="shared" si="15"/>
        <v>103924.22554952482</v>
      </c>
      <c r="E41" s="38">
        <f>E29</f>
        <v>48690.21533694117</v>
      </c>
      <c r="F41" s="38">
        <f t="shared" si="15"/>
        <v>4751.148030834976</v>
      </c>
      <c r="G41" s="38">
        <f t="shared" si="15"/>
        <v>37195.26679663284</v>
      </c>
      <c r="H41" s="38">
        <f t="shared" si="15"/>
        <v>2391.4466734775947</v>
      </c>
      <c r="I41" s="38">
        <f t="shared" si="15"/>
        <v>42275.024489542855</v>
      </c>
      <c r="J41" s="38">
        <f>J29</f>
        <v>12106.223365409032</v>
      </c>
      <c r="K41" s="40">
        <f t="shared" si="15"/>
        <v>11037.040435823195</v>
      </c>
      <c r="L41" s="39">
        <f>SUM(B41:K41)</f>
        <v>933055.0000000001</v>
      </c>
      <c r="M41" s="30"/>
      <c r="N41" s="32"/>
    </row>
    <row r="42" spans="1:13" ht="12.75">
      <c r="A42" s="6" t="s">
        <v>47</v>
      </c>
      <c r="B42" s="17">
        <f aca="true" t="shared" si="16" ref="B42:K42">B40-B41</f>
        <v>5191460.1681668125</v>
      </c>
      <c r="C42" s="17">
        <f t="shared" si="16"/>
        <v>1241303.3375477092</v>
      </c>
      <c r="D42" s="17">
        <f t="shared" si="16"/>
        <v>1221570.626789974</v>
      </c>
      <c r="E42" s="17">
        <f>E40-E41</f>
        <v>463952.5892215042</v>
      </c>
      <c r="F42" s="17">
        <f t="shared" si="16"/>
        <v>51149.45596308153</v>
      </c>
      <c r="G42" s="17">
        <f t="shared" si="16"/>
        <v>304167.29037741345</v>
      </c>
      <c r="H42" s="17">
        <f t="shared" si="16"/>
        <v>32735.682280161378</v>
      </c>
      <c r="I42" s="17">
        <f t="shared" si="16"/>
        <v>402033.21195467527</v>
      </c>
      <c r="J42" s="17">
        <f>J40-J41</f>
        <v>177003.86386821934</v>
      </c>
      <c r="K42" s="19">
        <f t="shared" si="16"/>
        <v>88617.72196249451</v>
      </c>
      <c r="L42" s="39">
        <f>SUM(B42:K42)</f>
        <v>9173993.948132046</v>
      </c>
      <c r="M42" s="30"/>
    </row>
    <row r="43" spans="1:12" ht="13.5" thickBot="1">
      <c r="A43" s="21" t="s">
        <v>10</v>
      </c>
      <c r="B43" s="22">
        <f>B42/$L$42</f>
        <v>0.5658887718389947</v>
      </c>
      <c r="C43" s="22">
        <f aca="true" t="shared" si="17" ref="C43:K43">C42/$L$42</f>
        <v>0.13530675347790655</v>
      </c>
      <c r="D43" s="22">
        <f t="shared" si="17"/>
        <v>0.13315581345447727</v>
      </c>
      <c r="E43" s="22">
        <f t="shared" si="17"/>
        <v>0.05057258505342392</v>
      </c>
      <c r="F43" s="22">
        <f t="shared" si="17"/>
        <v>0.005575483944318088</v>
      </c>
      <c r="G43" s="22">
        <f t="shared" si="17"/>
        <v>0.03315538380525596</v>
      </c>
      <c r="H43" s="22">
        <f t="shared" si="17"/>
        <v>0.0035683130450316924</v>
      </c>
      <c r="I43" s="22">
        <f t="shared" si="17"/>
        <v>0.043823138997877244</v>
      </c>
      <c r="J43" s="22">
        <f t="shared" si="17"/>
        <v>0.019294089888108094</v>
      </c>
      <c r="K43" s="25">
        <f t="shared" si="17"/>
        <v>0.009659666494606565</v>
      </c>
      <c r="L43" s="20"/>
    </row>
    <row r="44" ht="12.75">
      <c r="B44" s="49"/>
    </row>
    <row r="45" spans="1:11" ht="12.75" hidden="1">
      <c r="A45" s="10" t="s">
        <v>21</v>
      </c>
      <c r="B45" s="11"/>
      <c r="C45" s="11"/>
      <c r="D45" s="11"/>
      <c r="E45" s="11"/>
      <c r="F45" s="11"/>
      <c r="G45" s="11"/>
      <c r="H45" s="11"/>
      <c r="I45" s="11"/>
      <c r="J45" s="11"/>
      <c r="K45" s="12"/>
    </row>
    <row r="46" spans="1:11" ht="12.75" hidden="1">
      <c r="A46" s="6"/>
      <c r="B46" s="7"/>
      <c r="C46" s="7"/>
      <c r="D46" s="7"/>
      <c r="E46" s="7"/>
      <c r="F46" s="7"/>
      <c r="G46" s="7"/>
      <c r="H46" s="7"/>
      <c r="I46" s="7"/>
      <c r="J46" s="7"/>
      <c r="K46" s="8"/>
    </row>
    <row r="47" spans="1:11" ht="12.75" hidden="1">
      <c r="A47" s="6" t="s">
        <v>11</v>
      </c>
      <c r="B47" s="20">
        <v>1</v>
      </c>
      <c r="C47" s="20">
        <v>1</v>
      </c>
      <c r="D47" s="20">
        <v>1</v>
      </c>
      <c r="E47" s="20">
        <v>1</v>
      </c>
      <c r="F47" s="20">
        <f>D47</f>
        <v>1</v>
      </c>
      <c r="G47" s="20">
        <f>D47</f>
        <v>1</v>
      </c>
      <c r="H47" s="20">
        <f>G47</f>
        <v>1</v>
      </c>
      <c r="I47" s="32">
        <v>0.7</v>
      </c>
      <c r="J47" s="32">
        <v>0.7</v>
      </c>
      <c r="K47" s="26">
        <v>1</v>
      </c>
    </row>
    <row r="48" spans="1:11" ht="12.75" hidden="1">
      <c r="A48" s="6"/>
      <c r="B48" s="7"/>
      <c r="C48" s="7"/>
      <c r="D48" s="7"/>
      <c r="E48" s="7"/>
      <c r="F48" s="7"/>
      <c r="G48" s="7"/>
      <c r="H48" s="7"/>
      <c r="I48" s="7"/>
      <c r="J48" s="7"/>
      <c r="K48" s="8"/>
    </row>
    <row r="49" spans="1:12" ht="12.75" hidden="1">
      <c r="A49" s="37" t="str">
        <f aca="true" t="shared" si="18" ref="A49:K49">A36</f>
        <v>2012 Total Revenue @ 100% RC</v>
      </c>
      <c r="B49" s="17">
        <f t="shared" si="18"/>
        <v>5181480.440315875</v>
      </c>
      <c r="C49" s="17">
        <f t="shared" si="18"/>
        <v>1224292.9031988168</v>
      </c>
      <c r="D49" s="17">
        <f t="shared" si="18"/>
        <v>1195309.6149419534</v>
      </c>
      <c r="E49" s="17">
        <f t="shared" si="18"/>
        <v>462292.91063483554</v>
      </c>
      <c r="F49" s="17">
        <f t="shared" si="18"/>
        <v>50410.2519274641</v>
      </c>
      <c r="G49" s="17">
        <f t="shared" si="18"/>
        <v>307835.18023561523</v>
      </c>
      <c r="H49" s="17">
        <f t="shared" si="18"/>
        <v>31677.071328856593</v>
      </c>
      <c r="I49" s="17">
        <f t="shared" si="18"/>
        <v>400669.912887485</v>
      </c>
      <c r="J49" s="17">
        <f t="shared" si="18"/>
        <v>170536.3888466997</v>
      </c>
      <c r="K49" s="19">
        <f t="shared" si="18"/>
        <v>89867.03755146326</v>
      </c>
      <c r="L49" s="5">
        <f>SUM(B49:K49)</f>
        <v>9114371.711869065</v>
      </c>
    </row>
    <row r="50" spans="1:12" ht="12.75" hidden="1">
      <c r="A50" s="6" t="s">
        <v>22</v>
      </c>
      <c r="B50" s="17"/>
      <c r="C50" s="17"/>
      <c r="D50" s="17"/>
      <c r="E50" s="17"/>
      <c r="F50" s="17"/>
      <c r="G50" s="17"/>
      <c r="H50" s="17"/>
      <c r="I50" s="17">
        <f>I49*I47-I49</f>
        <v>-120200.97386624553</v>
      </c>
      <c r="J50" s="17">
        <f>J49*J47-J49</f>
        <v>-51160.916654009925</v>
      </c>
      <c r="K50" s="19"/>
      <c r="L50" s="5">
        <f>SUM(B50:K50)</f>
        <v>-171361.89052025546</v>
      </c>
    </row>
    <row r="51" spans="1:12" ht="12.75" hidden="1">
      <c r="A51" s="6" t="s">
        <v>23</v>
      </c>
      <c r="B51" s="17">
        <f aca="true" t="shared" si="19" ref="B51:H51">-$I50*B49/($L49-$I49)</f>
        <v>71475.82156961849</v>
      </c>
      <c r="C51" s="17">
        <f t="shared" si="19"/>
        <v>16888.48237602421</v>
      </c>
      <c r="D51" s="17">
        <f t="shared" si="19"/>
        <v>16488.673023502153</v>
      </c>
      <c r="E51" s="17">
        <f t="shared" si="19"/>
        <v>6377.089709021602</v>
      </c>
      <c r="F51" s="17">
        <f t="shared" si="19"/>
        <v>695.3831464868534</v>
      </c>
      <c r="G51" s="17">
        <f t="shared" si="19"/>
        <v>4246.425836943011</v>
      </c>
      <c r="H51" s="17">
        <f t="shared" si="19"/>
        <v>436.9686857317179</v>
      </c>
      <c r="I51" s="17">
        <v>0</v>
      </c>
      <c r="J51" s="17">
        <v>0</v>
      </c>
      <c r="K51" s="19">
        <f>-$I50*K49/($L49-$I49)</f>
        <v>1239.6689353568247</v>
      </c>
      <c r="L51" s="5">
        <f>SUM(B51:K51)</f>
        <v>117848.51328268487</v>
      </c>
    </row>
    <row r="52" spans="1:12" ht="12.75" hidden="1">
      <c r="A52" s="6"/>
      <c r="B52" s="17"/>
      <c r="C52" s="17"/>
      <c r="D52" s="17"/>
      <c r="E52" s="17"/>
      <c r="F52" s="17"/>
      <c r="G52" s="17"/>
      <c r="H52" s="17"/>
      <c r="I52" s="17"/>
      <c r="J52" s="17"/>
      <c r="K52" s="19"/>
      <c r="L52" s="43">
        <f>SUM(B52:K52)</f>
        <v>0</v>
      </c>
    </row>
    <row r="53" spans="1:12" ht="12.75" hidden="1">
      <c r="A53" s="6" t="s">
        <v>24</v>
      </c>
      <c r="B53" s="17">
        <f aca="true" t="shared" si="20" ref="B53:K53">B49+B50+B51</f>
        <v>5252956.261885494</v>
      </c>
      <c r="C53" s="17">
        <f t="shared" si="20"/>
        <v>1241181.385574841</v>
      </c>
      <c r="D53" s="17">
        <f t="shared" si="20"/>
        <v>1211798.2879654556</v>
      </c>
      <c r="E53" s="17">
        <f>E49+E50+E51</f>
        <v>468670.00034385716</v>
      </c>
      <c r="F53" s="17">
        <f t="shared" si="20"/>
        <v>51105.63507395096</v>
      </c>
      <c r="G53" s="17">
        <f t="shared" si="20"/>
        <v>312081.60607255826</v>
      </c>
      <c r="H53" s="17">
        <f t="shared" si="20"/>
        <v>32114.04001458831</v>
      </c>
      <c r="I53" s="17">
        <f t="shared" si="20"/>
        <v>280468.93902123946</v>
      </c>
      <c r="J53" s="17">
        <f>J49+J50+J51</f>
        <v>119375.47219268978</v>
      </c>
      <c r="K53" s="19">
        <f t="shared" si="20"/>
        <v>91106.70648682008</v>
      </c>
      <c r="L53" s="5">
        <f>SUM(B53:K53)</f>
        <v>9060858.334631493</v>
      </c>
    </row>
    <row r="54" spans="1:13" ht="12.75" customHeight="1" hidden="1">
      <c r="A54" s="6"/>
      <c r="B54" s="20"/>
      <c r="C54" s="20"/>
      <c r="D54" s="20"/>
      <c r="E54" s="20"/>
      <c r="F54" s="20"/>
      <c r="G54" s="20"/>
      <c r="H54" s="20"/>
      <c r="I54" s="32"/>
      <c r="J54" s="32"/>
      <c r="K54" s="26"/>
      <c r="L54" s="30"/>
      <c r="M54" s="30"/>
    </row>
    <row r="55" spans="1:13" ht="12.75" hidden="1">
      <c r="A55" s="6" t="s">
        <v>25</v>
      </c>
      <c r="B55" s="9">
        <f aca="true" t="shared" si="21" ref="B55:K55">B53/$L53</f>
        <v>0.5797415728053243</v>
      </c>
      <c r="C55" s="9">
        <f t="shared" si="21"/>
        <v>0.1369827603231499</v>
      </c>
      <c r="D55" s="9">
        <f t="shared" si="21"/>
        <v>0.13373990004168182</v>
      </c>
      <c r="E55" s="9">
        <f t="shared" si="21"/>
        <v>0.05172468027146548</v>
      </c>
      <c r="F55" s="9">
        <f t="shared" si="21"/>
        <v>0.00564026422073284</v>
      </c>
      <c r="G55" s="9">
        <f t="shared" si="21"/>
        <v>0.03444283030888493</v>
      </c>
      <c r="H55" s="9">
        <f t="shared" si="21"/>
        <v>0.0035442602487057197</v>
      </c>
      <c r="I55" s="9">
        <f t="shared" si="21"/>
        <v>0.030953903997070514</v>
      </c>
      <c r="J55" s="9">
        <f t="shared" si="21"/>
        <v>0.013174852512197984</v>
      </c>
      <c r="K55" s="24">
        <f t="shared" si="21"/>
        <v>0.010054975270786574</v>
      </c>
      <c r="L55" s="46">
        <f>SUM(B55:K55)</f>
        <v>1</v>
      </c>
      <c r="M55" s="30"/>
    </row>
    <row r="56" spans="1:13" ht="12.75" hidden="1">
      <c r="A56" s="6"/>
      <c r="B56" s="9"/>
      <c r="C56" s="9"/>
      <c r="D56" s="9"/>
      <c r="E56" s="9"/>
      <c r="F56" s="9"/>
      <c r="G56" s="9"/>
      <c r="H56" s="9"/>
      <c r="I56" s="9"/>
      <c r="J56" s="9"/>
      <c r="K56" s="24"/>
      <c r="L56" s="30"/>
      <c r="M56" s="30"/>
    </row>
    <row r="57" spans="1:13" ht="12.75" hidden="1">
      <c r="A57" s="6" t="s">
        <v>28</v>
      </c>
      <c r="B57" s="17">
        <f aca="true" t="shared" si="22" ref="B57:K57">B55*$L57</f>
        <v>5859476.453610471</v>
      </c>
      <c r="C57" s="17">
        <f t="shared" si="22"/>
        <v>1384491.4636363164</v>
      </c>
      <c r="D57" s="17">
        <f t="shared" si="22"/>
        <v>1351715.7160395652</v>
      </c>
      <c r="E57" s="17">
        <f t="shared" si="22"/>
        <v>522783.8753301815</v>
      </c>
      <c r="F57" s="17">
        <f t="shared" si="22"/>
        <v>57006.42655934466</v>
      </c>
      <c r="G57" s="17">
        <f t="shared" si="22"/>
        <v>348115.371844106</v>
      </c>
      <c r="H57" s="17">
        <f t="shared" si="22"/>
        <v>35822.011818587365</v>
      </c>
      <c r="I57" s="17">
        <f t="shared" si="22"/>
        <v>312852.62283417187</v>
      </c>
      <c r="J57" s="17">
        <f t="shared" si="22"/>
        <v>133158.87922520548</v>
      </c>
      <c r="K57" s="19">
        <f t="shared" si="22"/>
        <v>101626.12723409718</v>
      </c>
      <c r="L57" s="39">
        <f>L40</f>
        <v>10107048.948132046</v>
      </c>
      <c r="M57" s="30"/>
    </row>
    <row r="58" spans="1:13" ht="12.75" hidden="1">
      <c r="A58" s="6" t="s">
        <v>27</v>
      </c>
      <c r="B58" s="38">
        <f aca="true" t="shared" si="23" ref="B58:K58">B41</f>
        <v>554352.9377287815</v>
      </c>
      <c r="C58" s="38">
        <f t="shared" si="23"/>
        <v>116331.47159303224</v>
      </c>
      <c r="D58" s="38">
        <f t="shared" si="23"/>
        <v>103924.22554952482</v>
      </c>
      <c r="E58" s="38">
        <f>E41</f>
        <v>48690.21533694117</v>
      </c>
      <c r="F58" s="38">
        <f t="shared" si="23"/>
        <v>4751.148030834976</v>
      </c>
      <c r="G58" s="38">
        <f t="shared" si="23"/>
        <v>37195.26679663284</v>
      </c>
      <c r="H58" s="38">
        <f t="shared" si="23"/>
        <v>2391.4466734775947</v>
      </c>
      <c r="I58" s="38">
        <f t="shared" si="23"/>
        <v>42275.024489542855</v>
      </c>
      <c r="J58" s="38">
        <f>J41</f>
        <v>12106.223365409032</v>
      </c>
      <c r="K58" s="40">
        <f t="shared" si="23"/>
        <v>11037.040435823195</v>
      </c>
      <c r="L58" s="39">
        <f>SUM(B58:K58)</f>
        <v>933055.0000000001</v>
      </c>
      <c r="M58" s="30"/>
    </row>
    <row r="59" spans="1:13" ht="12.75" hidden="1">
      <c r="A59" s="6" t="s">
        <v>29</v>
      </c>
      <c r="B59" s="38">
        <f aca="true" t="shared" si="24" ref="B59:K59">B57-B58</f>
        <v>5305123.51588169</v>
      </c>
      <c r="C59" s="38">
        <f t="shared" si="24"/>
        <v>1268159.9920432842</v>
      </c>
      <c r="D59" s="38">
        <f t="shared" si="24"/>
        <v>1247791.4904900403</v>
      </c>
      <c r="E59" s="38">
        <f>E57-E58</f>
        <v>474093.6599932403</v>
      </c>
      <c r="F59" s="38">
        <f t="shared" si="24"/>
        <v>52255.27852850968</v>
      </c>
      <c r="G59" s="38">
        <f t="shared" si="24"/>
        <v>310920.10504747316</v>
      </c>
      <c r="H59" s="38">
        <f t="shared" si="24"/>
        <v>33430.56514510977</v>
      </c>
      <c r="I59" s="38">
        <f t="shared" si="24"/>
        <v>270577.598344629</v>
      </c>
      <c r="J59" s="38">
        <f>J57-J58</f>
        <v>121052.65585979645</v>
      </c>
      <c r="K59" s="40">
        <f t="shared" si="24"/>
        <v>90589.08679827399</v>
      </c>
      <c r="L59" s="39">
        <f>SUM(B59:K59)</f>
        <v>9173993.948132047</v>
      </c>
      <c r="M59" s="30"/>
    </row>
    <row r="60" spans="1:13" s="42" customFormat="1" ht="13.5" hidden="1" thickBot="1">
      <c r="A60" s="21" t="str">
        <f>A43</f>
        <v>New BRR %</v>
      </c>
      <c r="B60" s="22">
        <f aca="true" t="shared" si="25" ref="B60:K60">B59/$L59</f>
        <v>0.5782785061638162</v>
      </c>
      <c r="C60" s="22">
        <f t="shared" si="25"/>
        <v>0.1382342302832562</v>
      </c>
      <c r="D60" s="22">
        <f t="shared" si="25"/>
        <v>0.13601398666107775</v>
      </c>
      <c r="E60" s="22">
        <f t="shared" si="25"/>
        <v>0.05167800008084509</v>
      </c>
      <c r="F60" s="22">
        <f t="shared" si="25"/>
        <v>0.005696022781784109</v>
      </c>
      <c r="G60" s="22">
        <f t="shared" si="25"/>
        <v>0.03389146611665041</v>
      </c>
      <c r="H60" s="22">
        <f t="shared" si="25"/>
        <v>0.0036440579026015925</v>
      </c>
      <c r="I60" s="22">
        <f t="shared" si="25"/>
        <v>0.02949398047071116</v>
      </c>
      <c r="J60" s="22">
        <f t="shared" si="25"/>
        <v>0.013195196829669202</v>
      </c>
      <c r="K60" s="25">
        <f t="shared" si="25"/>
        <v>0.009874552709588301</v>
      </c>
      <c r="L60" s="41"/>
      <c r="M60" s="41"/>
    </row>
    <row r="61" ht="12.75" hidden="1"/>
    <row r="62" spans="1:11" ht="12.75" hidden="1">
      <c r="A62" t="s">
        <v>31</v>
      </c>
      <c r="B62" s="45">
        <f>B57/B40</f>
        <v>1.0197819430635937</v>
      </c>
      <c r="C62" s="45">
        <f aca="true" t="shared" si="26" ref="C62:K62">C57/C40</f>
        <v>1.0197819430635937</v>
      </c>
      <c r="D62" s="45">
        <f t="shared" si="26"/>
        <v>1.0197819430635935</v>
      </c>
      <c r="E62" s="45">
        <f>E57/E40</f>
        <v>1.0197819430635935</v>
      </c>
      <c r="F62" s="45">
        <f t="shared" si="26"/>
        <v>1.0197819430635937</v>
      </c>
      <c r="G62" s="45">
        <f t="shared" si="26"/>
        <v>1.0197819430635937</v>
      </c>
      <c r="H62" s="45">
        <f t="shared" si="26"/>
        <v>1.0197819430635935</v>
      </c>
      <c r="I62" s="45">
        <f t="shared" si="26"/>
        <v>0.7041341959760176</v>
      </c>
      <c r="J62" s="45">
        <f>J57/J40</f>
        <v>0.7041341959760177</v>
      </c>
      <c r="K62" s="45">
        <f t="shared" si="26"/>
        <v>1.0197819430635937</v>
      </c>
    </row>
    <row r="63" ht="12.75" hidden="1"/>
    <row r="64" spans="1:12" ht="12.75" hidden="1">
      <c r="A64" s="10" t="s">
        <v>33</v>
      </c>
      <c r="B64" s="15"/>
      <c r="C64" s="11"/>
      <c r="D64" s="11"/>
      <c r="E64" s="11"/>
      <c r="F64" s="11"/>
      <c r="G64" s="11"/>
      <c r="H64" s="11"/>
      <c r="I64" s="11"/>
      <c r="J64" s="11"/>
      <c r="K64" s="12"/>
      <c r="L64" s="7"/>
    </row>
    <row r="65" spans="1:12" ht="12.75" hidden="1">
      <c r="A65" s="6"/>
      <c r="B65" s="7"/>
      <c r="C65" s="7"/>
      <c r="D65" s="7"/>
      <c r="E65" s="7"/>
      <c r="F65" s="7"/>
      <c r="G65" s="7"/>
      <c r="H65" s="7"/>
      <c r="I65" s="7"/>
      <c r="J65" s="7"/>
      <c r="K65" s="8"/>
      <c r="L65" s="7"/>
    </row>
    <row r="66" spans="1:12" ht="12.75" hidden="1">
      <c r="A66" s="6" t="s">
        <v>13</v>
      </c>
      <c r="B66" s="16">
        <f>B35</f>
        <v>5465766</v>
      </c>
      <c r="C66" s="16">
        <f aca="true" t="shared" si="27" ref="C66:K66">C35</f>
        <v>1146996</v>
      </c>
      <c r="D66" s="16">
        <f t="shared" si="27"/>
        <v>1024664</v>
      </c>
      <c r="E66" s="16">
        <f>E35</f>
        <v>480072</v>
      </c>
      <c r="F66" s="16">
        <f t="shared" si="27"/>
        <v>46845</v>
      </c>
      <c r="G66" s="16">
        <f t="shared" si="27"/>
        <v>366735</v>
      </c>
      <c r="H66" s="16">
        <f t="shared" si="27"/>
        <v>23579</v>
      </c>
      <c r="I66" s="16">
        <f t="shared" si="27"/>
        <v>416820</v>
      </c>
      <c r="J66" s="16">
        <f>J35</f>
        <v>119364</v>
      </c>
      <c r="K66" s="18">
        <f t="shared" si="27"/>
        <v>25830</v>
      </c>
      <c r="L66" s="16">
        <f>SUM(B66:K66)</f>
        <v>9116671</v>
      </c>
    </row>
    <row r="67" spans="1:12" ht="12.75" hidden="1">
      <c r="A67" s="37" t="s">
        <v>30</v>
      </c>
      <c r="B67" s="16">
        <f>B35+((B36-B35)/2)</f>
        <v>5323623.220157938</v>
      </c>
      <c r="C67" s="16">
        <f aca="true" t="shared" si="28" ref="C67:K67">C35+((C36-C35)/2)</f>
        <v>1185644.4515994084</v>
      </c>
      <c r="D67" s="16">
        <f t="shared" si="28"/>
        <v>1109986.8074709768</v>
      </c>
      <c r="E67" s="16">
        <f>E35+((E36-E35)/2)</f>
        <v>471182.45531741774</v>
      </c>
      <c r="F67" s="16">
        <f t="shared" si="28"/>
        <v>48627.62596373205</v>
      </c>
      <c r="G67" s="16">
        <f t="shared" si="28"/>
        <v>337285.0901178076</v>
      </c>
      <c r="H67" s="16">
        <f t="shared" si="28"/>
        <v>27628.035664428295</v>
      </c>
      <c r="I67" s="16">
        <f t="shared" si="28"/>
        <v>408744.9564437425</v>
      </c>
      <c r="J67" s="16">
        <f>J35+((J36-J35)/2)</f>
        <v>144950.19442334987</v>
      </c>
      <c r="K67" s="18">
        <f t="shared" si="28"/>
        <v>57848.51877573163</v>
      </c>
      <c r="L67" s="16">
        <f>SUM(B67:K67)</f>
        <v>9115521.355934532</v>
      </c>
    </row>
    <row r="68" spans="1:12" ht="12.75" hidden="1">
      <c r="A68" s="6"/>
      <c r="B68" s="16"/>
      <c r="C68" s="16"/>
      <c r="D68" s="16"/>
      <c r="E68" s="16"/>
      <c r="F68" s="16"/>
      <c r="G68" s="16"/>
      <c r="H68" s="16"/>
      <c r="I68" s="16"/>
      <c r="J68" s="16"/>
      <c r="K68" s="18"/>
      <c r="L68" s="16">
        <f>SUM(B68:K68)</f>
        <v>0</v>
      </c>
    </row>
    <row r="69" spans="1:12" ht="12.75" hidden="1">
      <c r="A69" s="6" t="s">
        <v>20</v>
      </c>
      <c r="B69" s="9">
        <f>B38-0.02</f>
        <v>0.54849562472511</v>
      </c>
      <c r="C69" s="9">
        <f aca="true" t="shared" si="29" ref="C69:K69">C67/$L67</f>
        <v>0.13006874816079622</v>
      </c>
      <c r="D69" s="9">
        <f t="shared" si="29"/>
        <v>0.12176887795324351</v>
      </c>
      <c r="E69" s="9">
        <f t="shared" si="29"/>
        <v>0.051690126863743344</v>
      </c>
      <c r="F69" s="9">
        <f t="shared" si="29"/>
        <v>0.0053345962413958595</v>
      </c>
      <c r="G69" s="9">
        <f t="shared" si="29"/>
        <v>0.03700118478667409</v>
      </c>
      <c r="H69" s="9">
        <f t="shared" si="29"/>
        <v>0.0030308782773506913</v>
      </c>
      <c r="I69" s="9">
        <f t="shared" si="29"/>
        <v>0.04484054619406216</v>
      </c>
      <c r="J69" s="9">
        <f t="shared" si="29"/>
        <v>0.015901470553736575</v>
      </c>
      <c r="K69" s="24">
        <f t="shared" si="29"/>
        <v>0.006346155805786157</v>
      </c>
      <c r="L69" s="17"/>
    </row>
    <row r="70" spans="1:12" ht="12.75" hidden="1">
      <c r="A70" s="6"/>
      <c r="B70" s="16"/>
      <c r="C70" s="16"/>
      <c r="D70" s="16"/>
      <c r="E70" s="16"/>
      <c r="F70" s="16"/>
      <c r="G70" s="16"/>
      <c r="H70" s="16"/>
      <c r="I70" s="16"/>
      <c r="J70" s="16"/>
      <c r="K70" s="19"/>
      <c r="L70" s="23"/>
    </row>
    <row r="71" spans="1:14" ht="12.75" hidden="1">
      <c r="A71" s="6" t="s">
        <v>28</v>
      </c>
      <c r="B71" s="17">
        <f aca="true" t="shared" si="30" ref="B71:K71">B69*$L$28</f>
        <v>5543672.126932953</v>
      </c>
      <c r="C71" s="17">
        <f t="shared" si="30"/>
        <v>1314611.2042834274</v>
      </c>
      <c r="D71" s="17">
        <f t="shared" si="30"/>
        <v>1230724.0098325491</v>
      </c>
      <c r="E71" s="17">
        <f t="shared" si="30"/>
        <v>522434.64234700915</v>
      </c>
      <c r="F71" s="17">
        <f t="shared" si="30"/>
        <v>53917.02533030919</v>
      </c>
      <c r="G71" s="17">
        <f t="shared" si="30"/>
        <v>373972.78577779385</v>
      </c>
      <c r="H71" s="17">
        <f t="shared" si="30"/>
        <v>30633.23510501357</v>
      </c>
      <c r="I71" s="17">
        <f t="shared" si="30"/>
        <v>453205.5952443623</v>
      </c>
      <c r="J71" s="17">
        <f t="shared" si="30"/>
        <v>160716.94123389595</v>
      </c>
      <c r="K71" s="19">
        <f t="shared" si="30"/>
        <v>64140.90736155305</v>
      </c>
      <c r="L71" s="17">
        <f>SUM(B71:K71)</f>
        <v>9748028.473448865</v>
      </c>
      <c r="N71" s="31"/>
    </row>
    <row r="72" spans="1:14" ht="12.75" hidden="1">
      <c r="A72" s="6" t="s">
        <v>27</v>
      </c>
      <c r="B72" s="38">
        <f>B58</f>
        <v>554352.9377287815</v>
      </c>
      <c r="C72" s="38">
        <f aca="true" t="shared" si="31" ref="C72:M72">C58</f>
        <v>116331.47159303224</v>
      </c>
      <c r="D72" s="38">
        <f t="shared" si="31"/>
        <v>103924.22554952482</v>
      </c>
      <c r="E72" s="38">
        <f>E58</f>
        <v>48690.21533694117</v>
      </c>
      <c r="F72" s="38">
        <f t="shared" si="31"/>
        <v>4751.148030834976</v>
      </c>
      <c r="G72" s="38">
        <f t="shared" si="31"/>
        <v>37195.26679663284</v>
      </c>
      <c r="H72" s="38">
        <f t="shared" si="31"/>
        <v>2391.4466734775947</v>
      </c>
      <c r="I72" s="38">
        <f t="shared" si="31"/>
        <v>42275.024489542855</v>
      </c>
      <c r="J72" s="38">
        <f>J58</f>
        <v>12106.223365409032</v>
      </c>
      <c r="K72" s="40">
        <f t="shared" si="31"/>
        <v>11037.040435823195</v>
      </c>
      <c r="L72" s="38">
        <f t="shared" si="31"/>
        <v>933055.0000000001</v>
      </c>
      <c r="M72" s="38">
        <f t="shared" si="31"/>
        <v>0</v>
      </c>
      <c r="N72" s="32"/>
    </row>
    <row r="73" spans="1:13" ht="12.75" hidden="1">
      <c r="A73" s="6" t="s">
        <v>29</v>
      </c>
      <c r="B73" s="17">
        <f aca="true" t="shared" si="32" ref="B73:K73">B71-B72</f>
        <v>4989319.189204171</v>
      </c>
      <c r="C73" s="17">
        <f t="shared" si="32"/>
        <v>1198279.7326903953</v>
      </c>
      <c r="D73" s="17">
        <f t="shared" si="32"/>
        <v>1126799.7842830243</v>
      </c>
      <c r="E73" s="17">
        <f>E71-E72</f>
        <v>473744.427010068</v>
      </c>
      <c r="F73" s="17">
        <f t="shared" si="32"/>
        <v>49165.87729947421</v>
      </c>
      <c r="G73" s="17">
        <f t="shared" si="32"/>
        <v>336777.518981161</v>
      </c>
      <c r="H73" s="17">
        <f t="shared" si="32"/>
        <v>28241.788431535973</v>
      </c>
      <c r="I73" s="17">
        <f t="shared" si="32"/>
        <v>410930.57075481943</v>
      </c>
      <c r="J73" s="17">
        <f>J71-J72</f>
        <v>148610.7178684869</v>
      </c>
      <c r="K73" s="19">
        <f t="shared" si="32"/>
        <v>53103.86692572985</v>
      </c>
      <c r="L73" s="39">
        <f>SUM(B73:K73)</f>
        <v>8814973.473448865</v>
      </c>
      <c r="M73" s="30"/>
    </row>
    <row r="74" spans="1:12" ht="13.5" hidden="1" thickBot="1">
      <c r="A74" s="21" t="s">
        <v>10</v>
      </c>
      <c r="B74" s="22">
        <f aca="true" t="shared" si="33" ref="B74:K74">B71/$L$40</f>
        <v>0.54849562472511</v>
      </c>
      <c r="C74" s="22">
        <f t="shared" si="33"/>
        <v>0.13006874816079622</v>
      </c>
      <c r="D74" s="22">
        <f t="shared" si="33"/>
        <v>0.1217688779532435</v>
      </c>
      <c r="E74" s="22">
        <f t="shared" si="33"/>
        <v>0.051690126863743344</v>
      </c>
      <c r="F74" s="22">
        <f t="shared" si="33"/>
        <v>0.0053345962413958595</v>
      </c>
      <c r="G74" s="22">
        <f t="shared" si="33"/>
        <v>0.03700118478667409</v>
      </c>
      <c r="H74" s="22">
        <f t="shared" si="33"/>
        <v>0.0030308782773506913</v>
      </c>
      <c r="I74" s="22">
        <f t="shared" si="33"/>
        <v>0.04484054619406216</v>
      </c>
      <c r="J74" s="22">
        <f t="shared" si="33"/>
        <v>0.015901470553736575</v>
      </c>
      <c r="K74" s="25">
        <f t="shared" si="33"/>
        <v>0.006346155805786157</v>
      </c>
      <c r="L74" s="20"/>
    </row>
    <row r="75" ht="12.75" hidden="1"/>
    <row r="76" spans="2:11" ht="12.75" hidden="1">
      <c r="B76" s="45">
        <f>B73/B42</f>
        <v>0.9610627891932723</v>
      </c>
      <c r="C76" s="45">
        <f aca="true" t="shared" si="34" ref="C76:K76">C73/C42</f>
        <v>0.965339974882924</v>
      </c>
      <c r="D76" s="45">
        <f t="shared" si="34"/>
        <v>0.9224188594350968</v>
      </c>
      <c r="E76" s="45">
        <f>E73/E42</f>
        <v>1.0211052551834965</v>
      </c>
      <c r="F76" s="45">
        <f t="shared" si="34"/>
        <v>0.9612199460139123</v>
      </c>
      <c r="G76" s="45">
        <f t="shared" si="34"/>
        <v>1.1072114906349217</v>
      </c>
      <c r="H76" s="45">
        <f t="shared" si="34"/>
        <v>0.8627218516429451</v>
      </c>
      <c r="I76" s="45">
        <f t="shared" si="34"/>
        <v>1.0221309049490848</v>
      </c>
      <c r="J76" s="45">
        <f>J73/J42</f>
        <v>0.8395902474712568</v>
      </c>
      <c r="K76" s="45">
        <f t="shared" si="34"/>
        <v>0.5992465812674003</v>
      </c>
    </row>
    <row r="77" ht="12.75" hidden="1"/>
    <row r="78" spans="1:11" ht="12.75" hidden="1">
      <c r="A78" s="10" t="s">
        <v>34</v>
      </c>
      <c r="B78" s="11"/>
      <c r="C78" s="11"/>
      <c r="D78" s="11"/>
      <c r="E78" s="11"/>
      <c r="F78" s="11"/>
      <c r="G78" s="11"/>
      <c r="H78" s="11"/>
      <c r="I78" s="11"/>
      <c r="J78" s="11"/>
      <c r="K78" s="12"/>
    </row>
    <row r="79" spans="1:11" ht="12.75" hidden="1">
      <c r="A79" s="6"/>
      <c r="B79" s="7"/>
      <c r="C79" s="7"/>
      <c r="D79" s="7"/>
      <c r="E79" s="7"/>
      <c r="F79" s="7"/>
      <c r="G79" s="7"/>
      <c r="H79" s="7"/>
      <c r="I79" s="7"/>
      <c r="J79" s="7"/>
      <c r="K79" s="8"/>
    </row>
    <row r="80" spans="1:11" ht="12.75" hidden="1">
      <c r="A80" s="6" t="s">
        <v>11</v>
      </c>
      <c r="B80" s="20">
        <f>B76</f>
        <v>0.9610627891932723</v>
      </c>
      <c r="C80" s="20">
        <f aca="true" t="shared" si="35" ref="C80:K80">C76</f>
        <v>0.965339974882924</v>
      </c>
      <c r="D80" s="20">
        <f t="shared" si="35"/>
        <v>0.9224188594350968</v>
      </c>
      <c r="E80" s="20">
        <f>E76</f>
        <v>1.0211052551834965</v>
      </c>
      <c r="F80" s="20">
        <f t="shared" si="35"/>
        <v>0.9612199460139123</v>
      </c>
      <c r="G80" s="20">
        <f t="shared" si="35"/>
        <v>1.1072114906349217</v>
      </c>
      <c r="H80" s="20">
        <f t="shared" si="35"/>
        <v>0.8627218516429451</v>
      </c>
      <c r="I80" s="20">
        <f t="shared" si="35"/>
        <v>1.0221309049490848</v>
      </c>
      <c r="J80" s="20">
        <f>J76</f>
        <v>0.8395902474712568</v>
      </c>
      <c r="K80" s="26">
        <f t="shared" si="35"/>
        <v>0.5992465812674003</v>
      </c>
    </row>
    <row r="81" spans="1:11" ht="12.75" hidden="1">
      <c r="A81" s="6"/>
      <c r="B81" s="7"/>
      <c r="C81" s="7"/>
      <c r="D81" s="7"/>
      <c r="E81" s="7"/>
      <c r="F81" s="7"/>
      <c r="G81" s="7"/>
      <c r="H81" s="7"/>
      <c r="I81" s="7"/>
      <c r="J81" s="7"/>
      <c r="K81" s="8"/>
    </row>
    <row r="82" spans="1:12" ht="12.75" hidden="1">
      <c r="A82" s="37" t="str">
        <f>A69</f>
        <v>2006 Total Revenue %</v>
      </c>
      <c r="B82" s="17">
        <f>B67</f>
        <v>5323623.220157938</v>
      </c>
      <c r="C82" s="17">
        <f aca="true" t="shared" si="36" ref="C82:K82">C67</f>
        <v>1185644.4515994084</v>
      </c>
      <c r="D82" s="17">
        <f t="shared" si="36"/>
        <v>1109986.8074709768</v>
      </c>
      <c r="E82" s="17">
        <f>E67</f>
        <v>471182.45531741774</v>
      </c>
      <c r="F82" s="17">
        <f t="shared" si="36"/>
        <v>48627.62596373205</v>
      </c>
      <c r="G82" s="17">
        <f t="shared" si="36"/>
        <v>337285.0901178076</v>
      </c>
      <c r="H82" s="17">
        <f t="shared" si="36"/>
        <v>27628.035664428295</v>
      </c>
      <c r="I82" s="17">
        <f t="shared" si="36"/>
        <v>408744.9564437425</v>
      </c>
      <c r="J82" s="17">
        <f>J67</f>
        <v>144950.19442334987</v>
      </c>
      <c r="K82" s="19">
        <f t="shared" si="36"/>
        <v>57848.51877573163</v>
      </c>
      <c r="L82" s="5">
        <f>SUM(B82:K82)</f>
        <v>9115521.355934532</v>
      </c>
    </row>
    <row r="83" spans="1:12" ht="12.75" hidden="1">
      <c r="A83" s="6" t="s">
        <v>22</v>
      </c>
      <c r="B83" s="17"/>
      <c r="C83" s="17"/>
      <c r="D83" s="17"/>
      <c r="E83" s="17"/>
      <c r="F83" s="17"/>
      <c r="G83" s="17"/>
      <c r="H83" s="17"/>
      <c r="I83" s="17">
        <f>I82*((0.7-0.6303)*1.529)</f>
        <v>43560.481376653</v>
      </c>
      <c r="J83" s="17">
        <f>J82*((0.7-0.6303)*1.529)</f>
        <v>15447.53065494914</v>
      </c>
      <c r="K83" s="19"/>
      <c r="L83" s="5">
        <f>SUM(B83:K83)</f>
        <v>59008.012031602135</v>
      </c>
    </row>
    <row r="84" spans="1:12" ht="12.75" hidden="1">
      <c r="A84" s="6" t="s">
        <v>23</v>
      </c>
      <c r="B84" s="17">
        <f aca="true" t="shared" si="37" ref="B84:H84">-$I83*B82/($L82-$I82)</f>
        <v>-26634.37987813375</v>
      </c>
      <c r="C84" s="17">
        <f t="shared" si="37"/>
        <v>-5931.844425940299</v>
      </c>
      <c r="D84" s="17">
        <f t="shared" si="37"/>
        <v>-5553.32506965469</v>
      </c>
      <c r="E84" s="17">
        <f t="shared" si="37"/>
        <v>-2357.351748582908</v>
      </c>
      <c r="F84" s="17">
        <f t="shared" si="37"/>
        <v>-243.28668820619782</v>
      </c>
      <c r="G84" s="17">
        <f t="shared" si="37"/>
        <v>-1687.4558634075818</v>
      </c>
      <c r="H84" s="17">
        <f t="shared" si="37"/>
        <v>-138.22458253369396</v>
      </c>
      <c r="I84" s="17">
        <v>0</v>
      </c>
      <c r="J84" s="17">
        <v>0</v>
      </c>
      <c r="K84" s="19">
        <f>-$I83*K82/($L82-$I82)</f>
        <v>-289.4193222815041</v>
      </c>
      <c r="L84" s="5">
        <f>SUM(B84:K84)</f>
        <v>-42835.28757874062</v>
      </c>
    </row>
    <row r="85" spans="1:12" ht="12.75" hidden="1">
      <c r="A85" s="6"/>
      <c r="B85" s="17"/>
      <c r="C85" s="17"/>
      <c r="D85" s="17"/>
      <c r="E85" s="17"/>
      <c r="F85" s="17"/>
      <c r="G85" s="17"/>
      <c r="H85" s="17"/>
      <c r="I85" s="17"/>
      <c r="J85" s="17"/>
      <c r="K85" s="19"/>
      <c r="L85" s="43">
        <f>SUM(B85:K85)</f>
        <v>0</v>
      </c>
    </row>
    <row r="86" spans="1:12" ht="12.75" hidden="1">
      <c r="A86" s="6" t="s">
        <v>24</v>
      </c>
      <c r="B86" s="17">
        <f aca="true" t="shared" si="38" ref="B86:K86">B82+B83+B84</f>
        <v>5296988.840279805</v>
      </c>
      <c r="C86" s="17">
        <f t="shared" si="38"/>
        <v>1179712.6071734682</v>
      </c>
      <c r="D86" s="17">
        <f t="shared" si="38"/>
        <v>1104433.482401322</v>
      </c>
      <c r="E86" s="17">
        <f>E82+E83+E84</f>
        <v>468825.10356883483</v>
      </c>
      <c r="F86" s="17">
        <f t="shared" si="38"/>
        <v>48384.33927552585</v>
      </c>
      <c r="G86" s="17">
        <f t="shared" si="38"/>
        <v>335597.63425440004</v>
      </c>
      <c r="H86" s="17">
        <f t="shared" si="38"/>
        <v>27489.8110818946</v>
      </c>
      <c r="I86" s="17">
        <f t="shared" si="38"/>
        <v>452305.4378203955</v>
      </c>
      <c r="J86" s="17">
        <f>J82+J83+J84</f>
        <v>160397.725078299</v>
      </c>
      <c r="K86" s="19">
        <f t="shared" si="38"/>
        <v>57559.09945345013</v>
      </c>
      <c r="L86" s="5">
        <f>SUM(B86:K86)</f>
        <v>9131694.080387393</v>
      </c>
    </row>
    <row r="87" spans="1:13" ht="12.75" customHeight="1" hidden="1">
      <c r="A87" s="6"/>
      <c r="B87" s="20"/>
      <c r="C87" s="20"/>
      <c r="D87" s="20"/>
      <c r="E87" s="20"/>
      <c r="F87" s="20"/>
      <c r="G87" s="20"/>
      <c r="H87" s="20"/>
      <c r="I87" s="32"/>
      <c r="J87" s="32"/>
      <c r="K87" s="26"/>
      <c r="L87" s="30"/>
      <c r="M87" s="30"/>
    </row>
    <row r="88" spans="1:13" ht="12.75" hidden="1">
      <c r="A88" s="6" t="s">
        <v>25</v>
      </c>
      <c r="B88" s="9">
        <f aca="true" t="shared" si="39" ref="B88:K88">B86/$L86</f>
        <v>0.5800663922432989</v>
      </c>
      <c r="C88" s="9">
        <f t="shared" si="39"/>
        <v>0.12918880076230296</v>
      </c>
      <c r="D88" s="9">
        <f t="shared" si="39"/>
        <v>0.12094508123890949</v>
      </c>
      <c r="E88" s="9">
        <f t="shared" si="39"/>
        <v>0.05134043031246026</v>
      </c>
      <c r="F88" s="9">
        <f t="shared" si="39"/>
        <v>0.005298506372376553</v>
      </c>
      <c r="G88" s="9">
        <f t="shared" si="39"/>
        <v>0.036750862578191296</v>
      </c>
      <c r="H88" s="9">
        <f t="shared" si="39"/>
        <v>0.0030103736327453056</v>
      </c>
      <c r="I88" s="9">
        <f t="shared" si="39"/>
        <v>0.04953138309701319</v>
      </c>
      <c r="J88" s="9">
        <f t="shared" si="39"/>
        <v>0.017564947277722915</v>
      </c>
      <c r="K88" s="24">
        <f t="shared" si="39"/>
        <v>0.0063032224849792935</v>
      </c>
      <c r="L88" s="46">
        <f>SUM(B88:K88)</f>
        <v>1.0000000000000002</v>
      </c>
      <c r="M88" s="30"/>
    </row>
    <row r="89" spans="1:13" ht="12.75" hidden="1">
      <c r="A89" s="6"/>
      <c r="B89" s="9"/>
      <c r="C89" s="9"/>
      <c r="D89" s="9"/>
      <c r="E89" s="9"/>
      <c r="F89" s="9"/>
      <c r="G89" s="9"/>
      <c r="H89" s="9"/>
      <c r="I89" s="9"/>
      <c r="J89" s="9"/>
      <c r="K89" s="24"/>
      <c r="L89" s="30"/>
      <c r="M89" s="30"/>
    </row>
    <row r="90" spans="1:13" ht="12.75" hidden="1">
      <c r="A90" s="6" t="s">
        <v>28</v>
      </c>
      <c r="B90" s="17">
        <f aca="true" t="shared" si="40" ref="B90:K90">B88*$L$28</f>
        <v>5862759.419569385</v>
      </c>
      <c r="C90" s="17">
        <f t="shared" si="40"/>
        <v>1305717.5328550746</v>
      </c>
      <c r="D90" s="17">
        <f t="shared" si="40"/>
        <v>1222397.8561174648</v>
      </c>
      <c r="E90" s="17">
        <f t="shared" si="40"/>
        <v>518900.24218619807</v>
      </c>
      <c r="F90" s="17">
        <f t="shared" si="40"/>
        <v>53552.26325759938</v>
      </c>
      <c r="G90" s="17">
        <f t="shared" si="40"/>
        <v>371442.7669638537</v>
      </c>
      <c r="H90" s="17">
        <f t="shared" si="40"/>
        <v>30425.993658322885</v>
      </c>
      <c r="I90" s="17">
        <f t="shared" si="40"/>
        <v>500616.1134301925</v>
      </c>
      <c r="J90" s="17">
        <f t="shared" si="40"/>
        <v>177529.78190730422</v>
      </c>
      <c r="K90" s="19">
        <f t="shared" si="40"/>
        <v>63706.978186652224</v>
      </c>
      <c r="L90" s="39">
        <f>SUM(B90:K90)</f>
        <v>10107048.94813205</v>
      </c>
      <c r="M90" s="30"/>
    </row>
    <row r="91" spans="1:13" ht="12.75" hidden="1">
      <c r="A91" s="6" t="s">
        <v>27</v>
      </c>
      <c r="B91" s="38">
        <f>B72</f>
        <v>554352.9377287815</v>
      </c>
      <c r="C91" s="38">
        <f aca="true" t="shared" si="41" ref="C91:K91">C72</f>
        <v>116331.47159303224</v>
      </c>
      <c r="D91" s="38">
        <f t="shared" si="41"/>
        <v>103924.22554952482</v>
      </c>
      <c r="E91" s="38">
        <f>E72</f>
        <v>48690.21533694117</v>
      </c>
      <c r="F91" s="38">
        <f t="shared" si="41"/>
        <v>4751.148030834976</v>
      </c>
      <c r="G91" s="38">
        <f t="shared" si="41"/>
        <v>37195.26679663284</v>
      </c>
      <c r="H91" s="38">
        <f t="shared" si="41"/>
        <v>2391.4466734775947</v>
      </c>
      <c r="I91" s="38">
        <f t="shared" si="41"/>
        <v>42275.024489542855</v>
      </c>
      <c r="J91" s="38">
        <f>J72</f>
        <v>12106.223365409032</v>
      </c>
      <c r="K91" s="40">
        <f t="shared" si="41"/>
        <v>11037.040435823195</v>
      </c>
      <c r="L91" s="39">
        <f>SUM(B91:K91)</f>
        <v>933055.0000000001</v>
      </c>
      <c r="M91" s="30"/>
    </row>
    <row r="92" spans="1:13" ht="12.75" hidden="1">
      <c r="A92" s="6" t="s">
        <v>29</v>
      </c>
      <c r="B92" s="38">
        <f aca="true" t="shared" si="42" ref="B92:K92">B90-B91</f>
        <v>5308406.481840604</v>
      </c>
      <c r="C92" s="38">
        <f t="shared" si="42"/>
        <v>1189386.0612620423</v>
      </c>
      <c r="D92" s="38">
        <f t="shared" si="42"/>
        <v>1118473.63056794</v>
      </c>
      <c r="E92" s="38">
        <f>E90-E91</f>
        <v>470210.0268492569</v>
      </c>
      <c r="F92" s="38">
        <f t="shared" si="42"/>
        <v>48801.1152267644</v>
      </c>
      <c r="G92" s="38">
        <f t="shared" si="42"/>
        <v>334247.50016722083</v>
      </c>
      <c r="H92" s="38">
        <f t="shared" si="42"/>
        <v>28034.54698484529</v>
      </c>
      <c r="I92" s="38">
        <f t="shared" si="42"/>
        <v>458341.08894064964</v>
      </c>
      <c r="J92" s="38">
        <f>J90-J91</f>
        <v>165423.55854189518</v>
      </c>
      <c r="K92" s="40">
        <f t="shared" si="42"/>
        <v>52669.93775082903</v>
      </c>
      <c r="L92" s="39">
        <f>SUM(B92:K92)</f>
        <v>9173993.94813205</v>
      </c>
      <c r="M92" s="30"/>
    </row>
    <row r="93" spans="1:13" s="42" customFormat="1" ht="13.5" hidden="1" thickBot="1">
      <c r="A93" s="21">
        <f>A76</f>
        <v>0</v>
      </c>
      <c r="B93" s="22">
        <f aca="true" t="shared" si="43" ref="B93:K93">B92/$L92</f>
        <v>0.578636361856492</v>
      </c>
      <c r="C93" s="22">
        <f t="shared" si="43"/>
        <v>0.12964757421757592</v>
      </c>
      <c r="D93" s="22">
        <f t="shared" si="43"/>
        <v>0.12191785136240214</v>
      </c>
      <c r="E93" s="22">
        <f t="shared" si="43"/>
        <v>0.051254669395655976</v>
      </c>
      <c r="F93" s="22">
        <f t="shared" si="43"/>
        <v>0.0053195059319502795</v>
      </c>
      <c r="G93" s="22">
        <f t="shared" si="43"/>
        <v>0.036434240316375856</v>
      </c>
      <c r="H93" s="22">
        <f t="shared" si="43"/>
        <v>0.003055871536797068</v>
      </c>
      <c r="I93" s="22">
        <f t="shared" si="43"/>
        <v>0.049960910322376456</v>
      </c>
      <c r="J93" s="22">
        <f t="shared" si="43"/>
        <v>0.018031792856760896</v>
      </c>
      <c r="K93" s="25">
        <f t="shared" si="43"/>
        <v>0.00574122220361322</v>
      </c>
      <c r="L93" s="41"/>
      <c r="M93" s="41"/>
    </row>
    <row r="94" ht="12.75" hidden="1"/>
    <row r="95" spans="1:11" ht="12.75" hidden="1">
      <c r="A95" t="s">
        <v>31</v>
      </c>
      <c r="B95" s="45">
        <f>B92/B42</f>
        <v>1.022526670702568</v>
      </c>
      <c r="C95" s="45">
        <f aca="true" t="shared" si="44" ref="C95:K95">C92/C42</f>
        <v>0.9581751899674792</v>
      </c>
      <c r="D95" s="45">
        <f t="shared" si="44"/>
        <v>0.9156029181112918</v>
      </c>
      <c r="E95" s="45">
        <f>E92/E42</f>
        <v>1.0134872350604884</v>
      </c>
      <c r="F95" s="45">
        <f t="shared" si="44"/>
        <v>0.9540886468467601</v>
      </c>
      <c r="G95" s="45">
        <f t="shared" si="44"/>
        <v>1.0988936376179161</v>
      </c>
      <c r="H95" s="45">
        <f t="shared" si="44"/>
        <v>0.8563911008457858</v>
      </c>
      <c r="I95" s="45">
        <f t="shared" si="44"/>
        <v>1.1400577746107265</v>
      </c>
      <c r="J95" s="45">
        <f>J92/J42</f>
        <v>0.9345759743699957</v>
      </c>
      <c r="K95" s="45">
        <f t="shared" si="44"/>
        <v>0.5943499402198626</v>
      </c>
    </row>
    <row r="96" ht="12.75" hidden="1"/>
    <row r="97" spans="1:11" ht="12.75" hidden="1">
      <c r="A97" s="10" t="s">
        <v>49</v>
      </c>
      <c r="B97" s="11"/>
      <c r="C97" s="11"/>
      <c r="D97" s="11"/>
      <c r="E97" s="11"/>
      <c r="F97" s="11"/>
      <c r="G97" s="11"/>
      <c r="H97" s="11"/>
      <c r="I97" s="11"/>
      <c r="J97" s="11"/>
      <c r="K97" s="12"/>
    </row>
    <row r="98" spans="1:11" ht="12.75" hidden="1">
      <c r="A98" s="6"/>
      <c r="B98" s="7"/>
      <c r="C98" s="7"/>
      <c r="D98" s="7"/>
      <c r="E98" s="7"/>
      <c r="F98" s="7"/>
      <c r="G98" s="7"/>
      <c r="H98" s="7"/>
      <c r="I98" s="7"/>
      <c r="J98" s="7"/>
      <c r="K98" s="8"/>
    </row>
    <row r="99" spans="1:11" ht="12.75" hidden="1">
      <c r="A99" s="6" t="s">
        <v>11</v>
      </c>
      <c r="B99" s="20">
        <f>B114</f>
        <v>1</v>
      </c>
      <c r="C99" s="20">
        <f aca="true" t="shared" si="45" ref="C99:K99">C114</f>
        <v>1</v>
      </c>
      <c r="D99" s="20">
        <f t="shared" si="45"/>
        <v>1</v>
      </c>
      <c r="E99" s="20">
        <f t="shared" si="45"/>
        <v>1</v>
      </c>
      <c r="F99" s="20">
        <f t="shared" si="45"/>
        <v>1</v>
      </c>
      <c r="G99" s="20">
        <f t="shared" si="45"/>
        <v>1</v>
      </c>
      <c r="H99" s="20">
        <f t="shared" si="45"/>
        <v>1</v>
      </c>
      <c r="I99" s="20">
        <f t="shared" si="45"/>
        <v>1</v>
      </c>
      <c r="J99" s="20">
        <f t="shared" si="45"/>
        <v>1</v>
      </c>
      <c r="K99" s="26">
        <f t="shared" si="45"/>
        <v>1</v>
      </c>
    </row>
    <row r="100" spans="1:11" ht="12.75" hidden="1">
      <c r="A100" s="6"/>
      <c r="B100" s="7"/>
      <c r="C100" s="7"/>
      <c r="D100" s="7"/>
      <c r="E100" s="7"/>
      <c r="F100" s="7"/>
      <c r="G100" s="7"/>
      <c r="H100" s="7"/>
      <c r="I100" s="7"/>
      <c r="J100" s="7"/>
      <c r="K100" s="8"/>
    </row>
    <row r="101" spans="1:12" ht="12.75" hidden="1">
      <c r="A101" s="37" t="str">
        <f>A88</f>
        <v>2006 Adjusted Total Revenue %</v>
      </c>
      <c r="B101" s="17">
        <f>B40</f>
        <v>5745813.105895594</v>
      </c>
      <c r="C101" s="17">
        <f aca="true" t="shared" si="46" ref="C101:K101">C40</f>
        <v>1357634.8091407414</v>
      </c>
      <c r="D101" s="17">
        <f t="shared" si="46"/>
        <v>1325494.852339499</v>
      </c>
      <c r="E101" s="17">
        <f t="shared" si="46"/>
        <v>512642.8045584454</v>
      </c>
      <c r="F101" s="17">
        <f t="shared" si="46"/>
        <v>55900.603993916506</v>
      </c>
      <c r="G101" s="17">
        <f t="shared" si="46"/>
        <v>341362.5571740463</v>
      </c>
      <c r="H101" s="17">
        <f t="shared" si="46"/>
        <v>35127.128953638974</v>
      </c>
      <c r="I101" s="17">
        <f t="shared" si="46"/>
        <v>444308.23644421814</v>
      </c>
      <c r="J101" s="17">
        <f t="shared" si="46"/>
        <v>189110.08723362838</v>
      </c>
      <c r="K101" s="17">
        <f t="shared" si="46"/>
        <v>99654.7623983177</v>
      </c>
      <c r="L101" s="5">
        <f>SUM(B101:K101)</f>
        <v>10107048.948132046</v>
      </c>
    </row>
    <row r="102" spans="1:12" ht="12.75" hidden="1">
      <c r="A102" s="6" t="s">
        <v>22</v>
      </c>
      <c r="B102" s="17">
        <f>B71-B101</f>
        <v>-202140.9789626412</v>
      </c>
      <c r="C102" s="17"/>
      <c r="D102" s="17"/>
      <c r="E102" s="17"/>
      <c r="F102" s="17"/>
      <c r="G102" s="17"/>
      <c r="H102" s="17"/>
      <c r="I102" s="17"/>
      <c r="J102" s="17"/>
      <c r="K102" s="19"/>
      <c r="L102" s="5"/>
    </row>
    <row r="103" spans="1:12" ht="12.75" hidden="1">
      <c r="A103" s="6" t="s">
        <v>23</v>
      </c>
      <c r="B103" s="17">
        <f>-$F$102*B101/($L$101-$F$101)</f>
        <v>0</v>
      </c>
      <c r="C103" s="16">
        <f>-$B$102*C101/($L$101-$B$101)</f>
        <v>62925.656699349194</v>
      </c>
      <c r="D103" s="16">
        <f aca="true" t="shared" si="47" ref="D103:K103">-$B$102*D101/($L$101-$B$101)</f>
        <v>61435.9866685057</v>
      </c>
      <c r="E103" s="16">
        <f t="shared" si="47"/>
        <v>23760.7233637836</v>
      </c>
      <c r="F103" s="16">
        <f t="shared" si="47"/>
        <v>2590.9634848223777</v>
      </c>
      <c r="G103" s="16">
        <f t="shared" si="47"/>
        <v>15821.974317483187</v>
      </c>
      <c r="H103" s="16">
        <f t="shared" si="47"/>
        <v>1628.1238831592973</v>
      </c>
      <c r="I103" s="16">
        <f t="shared" si="47"/>
        <v>20593.452205956066</v>
      </c>
      <c r="J103" s="16">
        <f t="shared" si="47"/>
        <v>8765.152710822736</v>
      </c>
      <c r="K103" s="16">
        <f t="shared" si="47"/>
        <v>4618.945628759049</v>
      </c>
      <c r="L103" s="5"/>
    </row>
    <row r="104" spans="1:12" ht="12.75" hidden="1">
      <c r="A104" s="6"/>
      <c r="B104" s="17">
        <f>B103</f>
        <v>0</v>
      </c>
      <c r="C104" s="17">
        <f aca="true" t="shared" si="48" ref="C104:K104">C103</f>
        <v>62925.656699349194</v>
      </c>
      <c r="D104" s="17">
        <f t="shared" si="48"/>
        <v>61435.9866685057</v>
      </c>
      <c r="E104" s="17">
        <f t="shared" si="48"/>
        <v>23760.7233637836</v>
      </c>
      <c r="F104" s="17">
        <f t="shared" si="48"/>
        <v>2590.9634848223777</v>
      </c>
      <c r="G104" s="17">
        <f t="shared" si="48"/>
        <v>15821.974317483187</v>
      </c>
      <c r="H104" s="17">
        <f t="shared" si="48"/>
        <v>1628.1238831592973</v>
      </c>
      <c r="I104" s="17">
        <f t="shared" si="48"/>
        <v>20593.452205956066</v>
      </c>
      <c r="J104" s="17">
        <f t="shared" si="48"/>
        <v>8765.152710822736</v>
      </c>
      <c r="K104" s="19">
        <f t="shared" si="48"/>
        <v>4618.945628759049</v>
      </c>
      <c r="L104" s="43"/>
    </row>
    <row r="105" spans="1:12" ht="12.75" hidden="1">
      <c r="A105" s="6" t="s">
        <v>24</v>
      </c>
      <c r="B105" s="17">
        <f>B101+B103+B102</f>
        <v>5543672.126932953</v>
      </c>
      <c r="C105" s="17">
        <f aca="true" t="shared" si="49" ref="C105:K105">C101+C103</f>
        <v>1420560.4658400905</v>
      </c>
      <c r="D105" s="17">
        <f t="shared" si="49"/>
        <v>1386930.8390080046</v>
      </c>
      <c r="E105" s="17">
        <f>E101+E103</f>
        <v>536403.527922229</v>
      </c>
      <c r="F105" s="17">
        <f>F101+F103+F102</f>
        <v>58491.567478738885</v>
      </c>
      <c r="G105" s="17">
        <f t="shared" si="49"/>
        <v>357184.5314915295</v>
      </c>
      <c r="H105" s="17">
        <f t="shared" si="49"/>
        <v>36755.252836798274</v>
      </c>
      <c r="I105" s="17">
        <f t="shared" si="49"/>
        <v>464901.6886501742</v>
      </c>
      <c r="J105" s="17">
        <f>J101+J103</f>
        <v>197875.2399444511</v>
      </c>
      <c r="K105" s="19">
        <f t="shared" si="49"/>
        <v>104273.70802707675</v>
      </c>
      <c r="L105" s="5">
        <f>SUM(B105:K105)</f>
        <v>10107048.948132042</v>
      </c>
    </row>
    <row r="106" spans="1:13" ht="12.75" customHeight="1" hidden="1">
      <c r="A106" s="6"/>
      <c r="B106" s="20"/>
      <c r="C106" s="20"/>
      <c r="D106" s="20"/>
      <c r="E106" s="20"/>
      <c r="F106" s="20"/>
      <c r="G106" s="20"/>
      <c r="H106" s="20"/>
      <c r="I106" s="32"/>
      <c r="J106" s="32"/>
      <c r="K106" s="26"/>
      <c r="L106" s="30"/>
      <c r="M106" s="30"/>
    </row>
    <row r="107" spans="1:13" ht="12.75" hidden="1">
      <c r="A107" s="6" t="s">
        <v>25</v>
      </c>
      <c r="B107" s="9">
        <f aca="true" t="shared" si="50" ref="B107:K107">B105/$L$105</f>
        <v>0.5484956247251103</v>
      </c>
      <c r="C107" s="9">
        <f t="shared" si="50"/>
        <v>0.14055145801016772</v>
      </c>
      <c r="D107" s="9">
        <f t="shared" si="50"/>
        <v>0.13722411419253427</v>
      </c>
      <c r="E107" s="9">
        <f t="shared" si="50"/>
        <v>0.053072220256869904</v>
      </c>
      <c r="F107" s="9">
        <f t="shared" si="50"/>
        <v>0.005787205323622099</v>
      </c>
      <c r="G107" s="9">
        <f t="shared" si="50"/>
        <v>0.03534014066069635</v>
      </c>
      <c r="H107" s="9">
        <f t="shared" si="50"/>
        <v>0.0036365959070170806</v>
      </c>
      <c r="I107" s="9">
        <f t="shared" si="50"/>
        <v>0.04599776760120432</v>
      </c>
      <c r="J107" s="9">
        <f t="shared" si="50"/>
        <v>0.019577944161537072</v>
      </c>
      <c r="K107" s="24">
        <f t="shared" si="50"/>
        <v>0.010316929161241307</v>
      </c>
      <c r="L107" s="46"/>
      <c r="M107" s="30"/>
    </row>
    <row r="108" spans="1:13" ht="12.75" hidden="1">
      <c r="A108" s="6"/>
      <c r="B108" s="9"/>
      <c r="C108" s="9"/>
      <c r="D108" s="9"/>
      <c r="E108" s="9"/>
      <c r="F108" s="9"/>
      <c r="G108" s="9"/>
      <c r="H108" s="9"/>
      <c r="I108" s="9"/>
      <c r="J108" s="9"/>
      <c r="K108" s="24"/>
      <c r="L108" s="30"/>
      <c r="M108" s="30"/>
    </row>
    <row r="109" spans="1:13" ht="12.75" hidden="1">
      <c r="A109" s="6" t="s">
        <v>28</v>
      </c>
      <c r="B109" s="17">
        <f>B105</f>
        <v>5543672.126932953</v>
      </c>
      <c r="C109" s="17">
        <f aca="true" t="shared" si="51" ref="C109:K109">C105</f>
        <v>1420560.4658400905</v>
      </c>
      <c r="D109" s="17">
        <f t="shared" si="51"/>
        <v>1386930.8390080046</v>
      </c>
      <c r="E109" s="17">
        <f t="shared" si="51"/>
        <v>536403.527922229</v>
      </c>
      <c r="F109" s="17">
        <f t="shared" si="51"/>
        <v>58491.567478738885</v>
      </c>
      <c r="G109" s="17">
        <f t="shared" si="51"/>
        <v>357184.5314915295</v>
      </c>
      <c r="H109" s="17">
        <f t="shared" si="51"/>
        <v>36755.252836798274</v>
      </c>
      <c r="I109" s="17">
        <f t="shared" si="51"/>
        <v>464901.6886501742</v>
      </c>
      <c r="J109" s="17">
        <f t="shared" si="51"/>
        <v>197875.2399444511</v>
      </c>
      <c r="K109" s="17">
        <f t="shared" si="51"/>
        <v>104273.70802707675</v>
      </c>
      <c r="L109" s="39">
        <f>SUM(B109:K109)</f>
        <v>10107048.948132042</v>
      </c>
      <c r="M109" s="30"/>
    </row>
    <row r="110" spans="1:13" ht="12.75" hidden="1">
      <c r="A110" s="6" t="s">
        <v>27</v>
      </c>
      <c r="B110" s="38">
        <v>554090.750701108</v>
      </c>
      <c r="C110" s="38">
        <v>116276.45140519518</v>
      </c>
      <c r="D110" s="38">
        <v>103875.07349864596</v>
      </c>
      <c r="E110" s="38">
        <v>48667.18678966175</v>
      </c>
      <c r="F110" s="38">
        <v>4748.900925614708</v>
      </c>
      <c r="G110" s="38">
        <v>37177.67490565291</v>
      </c>
      <c r="H110" s="38">
        <v>2390.3156137275955</v>
      </c>
      <c r="I110" s="38">
        <v>42255.030073961425</v>
      </c>
      <c r="J110" s="38">
        <v>12100.497600279092</v>
      </c>
      <c r="K110" s="40">
        <v>11473.118486153386</v>
      </c>
      <c r="L110" s="39">
        <f>SUM(B110:K110)</f>
        <v>933055</v>
      </c>
      <c r="M110" s="30"/>
    </row>
    <row r="111" spans="1:13" ht="12.75" hidden="1">
      <c r="A111" s="6" t="s">
        <v>29</v>
      </c>
      <c r="B111" s="38">
        <v>5382567.494025061</v>
      </c>
      <c r="C111" s="38">
        <v>1292820.289064341</v>
      </c>
      <c r="D111" s="38">
        <v>1276659.4114562708</v>
      </c>
      <c r="E111" s="38">
        <v>499594.7519954636</v>
      </c>
      <c r="F111" s="38">
        <v>55482.10604226256</v>
      </c>
      <c r="G111" s="38">
        <v>296024.70279420307</v>
      </c>
      <c r="H111" s="38">
        <v>33285.22042818033</v>
      </c>
      <c r="I111" s="38">
        <v>406053.1547661122</v>
      </c>
      <c r="J111" s="38">
        <v>74447.2530511892</v>
      </c>
      <c r="K111" s="40">
        <v>94477.61637691381</v>
      </c>
      <c r="L111" s="39">
        <f>SUM(B111:K111)</f>
        <v>9411411.999999998</v>
      </c>
      <c r="M111" s="30"/>
    </row>
    <row r="112" spans="1:13" s="42" customFormat="1" ht="13.5" hidden="1" thickBot="1">
      <c r="A112" s="21" t="str">
        <f>A95</f>
        <v>Actual Applied for RC</v>
      </c>
      <c r="B112" s="22">
        <f aca="true" t="shared" si="52" ref="B112:K112">B111/$L$111</f>
        <v>0.5719192289132664</v>
      </c>
      <c r="C112" s="22">
        <f t="shared" si="52"/>
        <v>0.1373673035527869</v>
      </c>
      <c r="D112" s="22">
        <f t="shared" si="52"/>
        <v>0.13565014595644853</v>
      </c>
      <c r="E112" s="22">
        <f t="shared" si="52"/>
        <v>0.05308393171985922</v>
      </c>
      <c r="F112" s="22">
        <f t="shared" si="52"/>
        <v>0.005895194689411384</v>
      </c>
      <c r="G112" s="22">
        <f t="shared" si="52"/>
        <v>0.031453803403166614</v>
      </c>
      <c r="H112" s="22">
        <f t="shared" si="52"/>
        <v>0.0035366872078472747</v>
      </c>
      <c r="I112" s="22">
        <f t="shared" si="52"/>
        <v>0.04314476454395071</v>
      </c>
      <c r="J112" s="22">
        <f t="shared" si="52"/>
        <v>0.00791031707582127</v>
      </c>
      <c r="K112" s="25">
        <f t="shared" si="52"/>
        <v>0.010038622937441675</v>
      </c>
      <c r="L112" s="41"/>
      <c r="M112" s="41"/>
    </row>
    <row r="114" spans="1:11" ht="12.75">
      <c r="A114" s="42" t="s">
        <v>48</v>
      </c>
      <c r="B114" s="45">
        <f>B40/B40</f>
        <v>1</v>
      </c>
      <c r="C114" s="45">
        <f aca="true" t="shared" si="53" ref="C114:K114">C40/C40</f>
        <v>1</v>
      </c>
      <c r="D114" s="45">
        <f t="shared" si="53"/>
        <v>1</v>
      </c>
      <c r="E114" s="45">
        <f t="shared" si="53"/>
        <v>1</v>
      </c>
      <c r="F114" s="45">
        <f t="shared" si="53"/>
        <v>1</v>
      </c>
      <c r="G114" s="45">
        <f t="shared" si="53"/>
        <v>1</v>
      </c>
      <c r="H114" s="45">
        <f t="shared" si="53"/>
        <v>1</v>
      </c>
      <c r="I114" s="45">
        <f t="shared" si="53"/>
        <v>1</v>
      </c>
      <c r="J114" s="45">
        <f t="shared" si="53"/>
        <v>1</v>
      </c>
      <c r="K114" s="45">
        <f t="shared" si="53"/>
        <v>1</v>
      </c>
    </row>
    <row r="116" spans="2:7" ht="12.75">
      <c r="B116" s="2"/>
      <c r="G116" s="2"/>
    </row>
  </sheetData>
  <sheetProtection/>
  <mergeCells count="4">
    <mergeCell ref="A1:K1"/>
    <mergeCell ref="A2:K2"/>
    <mergeCell ref="A3:K3"/>
    <mergeCell ref="A4:K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RDI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mckenzie</dc:creator>
  <cp:keywords/>
  <dc:description/>
  <cp:lastModifiedBy>Graig P</cp:lastModifiedBy>
  <cp:lastPrinted>2007-10-19T14:21:27Z</cp:lastPrinted>
  <dcterms:created xsi:type="dcterms:W3CDTF">2007-10-04T14:56:34Z</dcterms:created>
  <dcterms:modified xsi:type="dcterms:W3CDTF">2012-04-12T13:07:11Z</dcterms:modified>
  <cp:category/>
  <cp:version/>
  <cp:contentType/>
  <cp:contentStatus/>
</cp:coreProperties>
</file>