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9320" windowHeight="9555" tabRatio="817" activeTab="7"/>
  </bookViews>
  <sheets>
    <sheet name="Revised IRM Balance" sheetId="4" r:id="rId1"/>
    <sheet name="Carrying Charges" sheetId="2" r:id="rId2"/>
    <sheet name="PIL Billed by Class" sheetId="3" r:id="rId3"/>
    <sheet name="Billed Summary" sheetId="5" r:id="rId4"/>
    <sheet name="Billed by month" sheetId="7" r:id="rId5"/>
    <sheet name="PILS Proxy" sheetId="6" r:id="rId6"/>
    <sheet name="PIL Proxy Summary" sheetId="8" r:id="rId7"/>
    <sheet name="Rate Rider" sheetId="9" r:id="rId8"/>
  </sheets>
  <externalReferences>
    <externalReference r:id="rId9"/>
  </externalReferences>
  <definedNames>
    <definedName name="_xlnm.Print_Area" localSheetId="4">'Billed by month'!$C$3:$H$22</definedName>
    <definedName name="_xlnm.Print_Area" localSheetId="3">'Billed Summary'!$B$2:$K$72</definedName>
    <definedName name="_xlnm.Print_Area" localSheetId="1">'Carrying Charges'!$A$2:$H$148</definedName>
    <definedName name="_xlnm.Print_Area" localSheetId="2">'PIL Billed by Class'!$A$64:$I$98</definedName>
    <definedName name="_xlnm.Print_Area" localSheetId="6">'PIL Proxy Summary'!$C$3:$K$30</definedName>
    <definedName name="_xlnm.Print_Area" localSheetId="5">'PILS Proxy'!$B$2:$H$40</definedName>
    <definedName name="_xlnm.Print_Area" localSheetId="0">'Revised IRM Balance'!$A$2:$F$45</definedName>
    <definedName name="_xlnm.Print_Titles" localSheetId="1">'Carrying Charges'!$5:$5</definedName>
    <definedName name="_xlnm.Print_Titles" localSheetId="2">'PIL Billed by Class'!$1:$1</definedName>
    <definedName name="units2">[1]hidden1!$J$4:$J$8</definedName>
    <definedName name="units3">[1]hidden1!$J$4:$J$5</definedName>
  </definedNames>
  <calcPr calcId="125725"/>
</workbook>
</file>

<file path=xl/calcChain.xml><?xml version="1.0" encoding="utf-8"?>
<calcChain xmlns="http://schemas.openxmlformats.org/spreadsheetml/2006/main">
  <c r="I14" i="8"/>
  <c r="H14"/>
  <c r="G14"/>
  <c r="F14"/>
  <c r="E14"/>
  <c r="E45" i="4"/>
  <c r="D45"/>
  <c r="E43"/>
  <c r="D43"/>
  <c r="F42"/>
  <c r="E42"/>
  <c r="D42"/>
  <c r="C42"/>
  <c r="E41"/>
  <c r="D41"/>
  <c r="C41"/>
  <c r="F40"/>
  <c r="E40"/>
  <c r="D40"/>
  <c r="C40"/>
  <c r="C14" i="9"/>
  <c r="D14"/>
  <c r="E14"/>
  <c r="F11" s="1"/>
  <c r="F6" l="1"/>
  <c r="F8"/>
  <c r="F10"/>
  <c r="F12"/>
  <c r="F7"/>
  <c r="F9"/>
  <c r="I17" i="8"/>
  <c r="H17"/>
  <c r="G17"/>
  <c r="F17"/>
  <c r="E17"/>
  <c r="D17"/>
  <c r="K15"/>
  <c r="K14"/>
  <c r="K17" l="1"/>
  <c r="F14" i="9"/>
  <c r="G18" i="6"/>
  <c r="G20" s="1"/>
  <c r="D27" i="3"/>
  <c r="D21"/>
  <c r="H9" i="7"/>
  <c r="H10"/>
  <c r="H11"/>
  <c r="H8"/>
  <c r="G9"/>
  <c r="G10"/>
  <c r="G11"/>
  <c r="G12"/>
  <c r="G13"/>
  <c r="G14"/>
  <c r="G15"/>
  <c r="G16"/>
  <c r="G17"/>
  <c r="G18"/>
  <c r="G19"/>
  <c r="G8"/>
  <c r="F9"/>
  <c r="F10"/>
  <c r="F11"/>
  <c r="F12"/>
  <c r="F13"/>
  <c r="F14"/>
  <c r="F15"/>
  <c r="F16"/>
  <c r="F17"/>
  <c r="F18"/>
  <c r="F19"/>
  <c r="F8"/>
  <c r="E9"/>
  <c r="E10"/>
  <c r="E11"/>
  <c r="E12"/>
  <c r="E13"/>
  <c r="E14"/>
  <c r="E15"/>
  <c r="E16"/>
  <c r="E17"/>
  <c r="E18"/>
  <c r="E19"/>
  <c r="E8"/>
  <c r="H6"/>
  <c r="G6"/>
  <c r="F6"/>
  <c r="E6"/>
  <c r="D8"/>
  <c r="H12" s="1"/>
  <c r="H13" s="1"/>
  <c r="H14" s="1"/>
  <c r="H15" s="1"/>
  <c r="H16" s="1"/>
  <c r="H17" s="1"/>
  <c r="H18" s="1"/>
  <c r="H19" s="1"/>
  <c r="D11"/>
  <c r="D12"/>
  <c r="D13"/>
  <c r="D14"/>
  <c r="D15"/>
  <c r="D16"/>
  <c r="D17"/>
  <c r="D18"/>
  <c r="D19"/>
  <c r="D10"/>
  <c r="D10" i="6"/>
  <c r="E10"/>
  <c r="G8"/>
  <c r="G10" s="1"/>
  <c r="F8"/>
  <c r="F10" s="1"/>
  <c r="C7"/>
  <c r="C10" s="1"/>
  <c r="H8"/>
  <c r="H7"/>
  <c r="H6"/>
  <c r="H5"/>
  <c r="E69" i="5"/>
  <c r="F69"/>
  <c r="G69"/>
  <c r="H69"/>
  <c r="I69"/>
  <c r="E70"/>
  <c r="E72" s="1"/>
  <c r="E22" i="8" s="1"/>
  <c r="F70" i="5"/>
  <c r="F72" s="1"/>
  <c r="F22" i="8" s="1"/>
  <c r="G70" i="5"/>
  <c r="H70"/>
  <c r="I70"/>
  <c r="D70"/>
  <c r="D69"/>
  <c r="G60"/>
  <c r="H60"/>
  <c r="I60"/>
  <c r="F61"/>
  <c r="G61"/>
  <c r="H61"/>
  <c r="I61"/>
  <c r="F62"/>
  <c r="G62"/>
  <c r="H62"/>
  <c r="I62"/>
  <c r="E63"/>
  <c r="F63"/>
  <c r="G63"/>
  <c r="H63"/>
  <c r="I63"/>
  <c r="F64"/>
  <c r="G64"/>
  <c r="H64"/>
  <c r="I64"/>
  <c r="F65"/>
  <c r="G65"/>
  <c r="H65"/>
  <c r="I65"/>
  <c r="D65"/>
  <c r="D64"/>
  <c r="D63"/>
  <c r="K63" s="1"/>
  <c r="D62"/>
  <c r="D61"/>
  <c r="D60"/>
  <c r="I72"/>
  <c r="I22" i="8" s="1"/>
  <c r="H72" i="5"/>
  <c r="H22" i="8" s="1"/>
  <c r="G72" i="5"/>
  <c r="G22" i="8" s="1"/>
  <c r="D72" i="5"/>
  <c r="D22" i="8" s="1"/>
  <c r="I67" i="5"/>
  <c r="H67"/>
  <c r="G67"/>
  <c r="D67"/>
  <c r="I52"/>
  <c r="I51"/>
  <c r="H52"/>
  <c r="H51"/>
  <c r="G52"/>
  <c r="G51"/>
  <c r="F52"/>
  <c r="F51"/>
  <c r="E52"/>
  <c r="E51"/>
  <c r="D52"/>
  <c r="D51"/>
  <c r="I47"/>
  <c r="I46"/>
  <c r="I45"/>
  <c r="I44"/>
  <c r="I43"/>
  <c r="I42"/>
  <c r="H47"/>
  <c r="H46"/>
  <c r="H45"/>
  <c r="H44"/>
  <c r="H43"/>
  <c r="H42"/>
  <c r="G47"/>
  <c r="G46"/>
  <c r="G45"/>
  <c r="G44"/>
  <c r="G43"/>
  <c r="G42"/>
  <c r="F45"/>
  <c r="F43"/>
  <c r="E47"/>
  <c r="E45"/>
  <c r="D47"/>
  <c r="D46"/>
  <c r="D45"/>
  <c r="D44"/>
  <c r="D43"/>
  <c r="D42"/>
  <c r="K52"/>
  <c r="I54"/>
  <c r="I21" i="8" s="1"/>
  <c r="G54" i="5"/>
  <c r="G21" i="8" s="1"/>
  <c r="D54" i="5"/>
  <c r="D21" i="8" s="1"/>
  <c r="K45" i="5"/>
  <c r="I49"/>
  <c r="H49"/>
  <c r="G49"/>
  <c r="D49"/>
  <c r="H34"/>
  <c r="E33"/>
  <c r="F33"/>
  <c r="G33"/>
  <c r="I33"/>
  <c r="E34"/>
  <c r="F34"/>
  <c r="G34"/>
  <c r="I34"/>
  <c r="D34"/>
  <c r="D33"/>
  <c r="H33" s="1"/>
  <c r="I29"/>
  <c r="I28"/>
  <c r="I27"/>
  <c r="I26"/>
  <c r="I25"/>
  <c r="I24"/>
  <c r="H29"/>
  <c r="H28"/>
  <c r="H27"/>
  <c r="H26"/>
  <c r="H25"/>
  <c r="H24"/>
  <c r="G29"/>
  <c r="G28"/>
  <c r="G27"/>
  <c r="G26"/>
  <c r="G25"/>
  <c r="G24"/>
  <c r="F29"/>
  <c r="F28"/>
  <c r="F27"/>
  <c r="F26"/>
  <c r="D29"/>
  <c r="D28"/>
  <c r="D27"/>
  <c r="D26"/>
  <c r="D25"/>
  <c r="D24"/>
  <c r="I36"/>
  <c r="I20" i="8" s="1"/>
  <c r="I24" s="1"/>
  <c r="G36" i="5"/>
  <c r="G20" i="8" s="1"/>
  <c r="G24" s="1"/>
  <c r="E36" i="5"/>
  <c r="E20" i="8" s="1"/>
  <c r="D36" i="5"/>
  <c r="D20" i="8" s="1"/>
  <c r="D24" s="1"/>
  <c r="B29" i="5"/>
  <c r="B47" s="1"/>
  <c r="B65" s="1"/>
  <c r="B28"/>
  <c r="B46" s="1"/>
  <c r="B64" s="1"/>
  <c r="B27"/>
  <c r="B45" s="1"/>
  <c r="B63" s="1"/>
  <c r="B26"/>
  <c r="B44" s="1"/>
  <c r="B62" s="1"/>
  <c r="B25"/>
  <c r="B43" s="1"/>
  <c r="B61" s="1"/>
  <c r="I31"/>
  <c r="H31"/>
  <c r="G31"/>
  <c r="D31"/>
  <c r="B24"/>
  <c r="B42" s="1"/>
  <c r="B60" s="1"/>
  <c r="H16"/>
  <c r="G15"/>
  <c r="I15"/>
  <c r="G16"/>
  <c r="I16"/>
  <c r="D16"/>
  <c r="D15"/>
  <c r="H15" s="1"/>
  <c r="H18" s="1"/>
  <c r="I11"/>
  <c r="I10"/>
  <c r="I9"/>
  <c r="I8"/>
  <c r="I7"/>
  <c r="I6"/>
  <c r="I13" s="1"/>
  <c r="H11"/>
  <c r="H10"/>
  <c r="H9"/>
  <c r="H8"/>
  <c r="H7"/>
  <c r="H6"/>
  <c r="H13" s="1"/>
  <c r="G11"/>
  <c r="G10"/>
  <c r="G9"/>
  <c r="G8"/>
  <c r="G7"/>
  <c r="G6"/>
  <c r="G13" s="1"/>
  <c r="F9"/>
  <c r="D11"/>
  <c r="D10"/>
  <c r="D9"/>
  <c r="D8"/>
  <c r="D7"/>
  <c r="D6"/>
  <c r="B11"/>
  <c r="B10"/>
  <c r="B9"/>
  <c r="B8"/>
  <c r="B7"/>
  <c r="B6"/>
  <c r="E67" i="4"/>
  <c r="G28" i="6" s="1"/>
  <c r="G30" s="1"/>
  <c r="D67" i="4"/>
  <c r="G38" i="6" s="1"/>
  <c r="G40" s="1"/>
  <c r="E64" i="4"/>
  <c r="E65" s="1"/>
  <c r="E66" s="1"/>
  <c r="E63"/>
  <c r="C25" i="6" s="1"/>
  <c r="D64" i="4"/>
  <c r="D65" s="1"/>
  <c r="D66" s="1"/>
  <c r="D63"/>
  <c r="C35" i="6" s="1"/>
  <c r="C64" i="4"/>
  <c r="D15" i="6" s="1"/>
  <c r="D20" s="1"/>
  <c r="C63" i="4"/>
  <c r="C15" i="6" s="1"/>
  <c r="F67" i="4"/>
  <c r="G67" s="1"/>
  <c r="I67" s="1"/>
  <c r="F64"/>
  <c r="N10" i="2" s="1"/>
  <c r="C10" s="1"/>
  <c r="C11" s="1"/>
  <c r="C12" s="1"/>
  <c r="C13" s="1"/>
  <c r="C14" s="1"/>
  <c r="C15" s="1"/>
  <c r="C16" s="1"/>
  <c r="C17" s="1"/>
  <c r="C18" s="1"/>
  <c r="C19" s="1"/>
  <c r="C20" s="1"/>
  <c r="C21" s="1"/>
  <c r="B64" i="4"/>
  <c r="B65" s="1"/>
  <c r="B66" s="1"/>
  <c r="B67" s="1"/>
  <c r="F63"/>
  <c r="I63" s="1"/>
  <c r="F54"/>
  <c r="F56"/>
  <c r="F55"/>
  <c r="F53"/>
  <c r="F52"/>
  <c r="C8" i="2"/>
  <c r="C9" s="1"/>
  <c r="M27" i="4"/>
  <c r="M26"/>
  <c r="F7"/>
  <c r="D32"/>
  <c r="I10" i="8" s="1"/>
  <c r="E32" i="4"/>
  <c r="I9" i="8" s="1"/>
  <c r="D27" i="4"/>
  <c r="H10" i="8" s="1"/>
  <c r="E27" i="4"/>
  <c r="H9" i="8" s="1"/>
  <c r="D16" i="4"/>
  <c r="D22" s="1"/>
  <c r="E16"/>
  <c r="M11" i="2" s="1"/>
  <c r="D10" i="4"/>
  <c r="L10" i="2" s="1"/>
  <c r="E10" i="4"/>
  <c r="M10" i="2" s="1"/>
  <c r="D6" i="4"/>
  <c r="L9" i="2" s="1"/>
  <c r="E6" i="4"/>
  <c r="M9" i="2" s="1"/>
  <c r="C32" i="4"/>
  <c r="I8" i="8" s="1"/>
  <c r="I12" s="1"/>
  <c r="C27" i="4"/>
  <c r="H8" i="8" s="1"/>
  <c r="C16" i="4"/>
  <c r="K11" i="2" s="1"/>
  <c r="C10" i="4"/>
  <c r="K10" i="2" s="1"/>
  <c r="C6" i="4"/>
  <c r="B53"/>
  <c r="B54" s="1"/>
  <c r="B55" s="1"/>
  <c r="B56" s="1"/>
  <c r="J27"/>
  <c r="J28" s="1"/>
  <c r="C66" i="3"/>
  <c r="F66"/>
  <c r="G66"/>
  <c r="H66"/>
  <c r="C67"/>
  <c r="E67"/>
  <c r="F8" i="5" s="1"/>
  <c r="F67" i="3"/>
  <c r="G67"/>
  <c r="H67"/>
  <c r="C68"/>
  <c r="E68"/>
  <c r="F68"/>
  <c r="G68"/>
  <c r="H68"/>
  <c r="C69"/>
  <c r="F69"/>
  <c r="G69"/>
  <c r="H69"/>
  <c r="C70"/>
  <c r="F70"/>
  <c r="G70"/>
  <c r="H70"/>
  <c r="F65"/>
  <c r="G65"/>
  <c r="H65"/>
  <c r="C65"/>
  <c r="C93"/>
  <c r="D93"/>
  <c r="E43" i="5" s="1"/>
  <c r="K43" s="1"/>
  <c r="E93" i="3"/>
  <c r="F93"/>
  <c r="G93"/>
  <c r="H93"/>
  <c r="C94"/>
  <c r="D94"/>
  <c r="E44" i="5" s="1"/>
  <c r="E94" i="3"/>
  <c r="F44" i="5" s="1"/>
  <c r="F94" i="3"/>
  <c r="G94"/>
  <c r="H94"/>
  <c r="C95"/>
  <c r="D95"/>
  <c r="E95"/>
  <c r="F95"/>
  <c r="G95"/>
  <c r="H95"/>
  <c r="C96"/>
  <c r="D96"/>
  <c r="E46" i="5" s="1"/>
  <c r="E96" i="3"/>
  <c r="F46" i="5" s="1"/>
  <c r="F96" i="3"/>
  <c r="G96"/>
  <c r="H96"/>
  <c r="C97"/>
  <c r="D97"/>
  <c r="E97"/>
  <c r="F47" i="5" s="1"/>
  <c r="K47" s="1"/>
  <c r="F97" i="3"/>
  <c r="G97"/>
  <c r="H97"/>
  <c r="D92"/>
  <c r="E42" i="5" s="1"/>
  <c r="E92" i="3"/>
  <c r="F42" i="5" s="1"/>
  <c r="F92" i="3"/>
  <c r="G92"/>
  <c r="H92"/>
  <c r="C92"/>
  <c r="C84"/>
  <c r="D84"/>
  <c r="E61" i="5" s="1"/>
  <c r="K61" s="1"/>
  <c r="E84" i="3"/>
  <c r="F84"/>
  <c r="G84"/>
  <c r="H84"/>
  <c r="C85"/>
  <c r="D85"/>
  <c r="E62" i="5" s="1"/>
  <c r="K62" s="1"/>
  <c r="E85" i="3"/>
  <c r="F85"/>
  <c r="G85"/>
  <c r="H85"/>
  <c r="C86"/>
  <c r="D86"/>
  <c r="E86"/>
  <c r="F86"/>
  <c r="G86"/>
  <c r="H86"/>
  <c r="C87"/>
  <c r="D87"/>
  <c r="E64" i="5" s="1"/>
  <c r="E87" i="3"/>
  <c r="F87"/>
  <c r="G87"/>
  <c r="H87"/>
  <c r="C88"/>
  <c r="D88"/>
  <c r="E65" i="5" s="1"/>
  <c r="K65" s="1"/>
  <c r="E88" i="3"/>
  <c r="F88"/>
  <c r="G88"/>
  <c r="H88"/>
  <c r="D83"/>
  <c r="E60" i="5" s="1"/>
  <c r="E83" i="3"/>
  <c r="F60" i="5" s="1"/>
  <c r="F67" s="1"/>
  <c r="F83" i="3"/>
  <c r="G83"/>
  <c r="H83"/>
  <c r="C83"/>
  <c r="D74"/>
  <c r="E24" i="5" s="1"/>
  <c r="E74" i="3"/>
  <c r="F24" i="5" s="1"/>
  <c r="F74" i="3"/>
  <c r="G74"/>
  <c r="H74"/>
  <c r="D75"/>
  <c r="D66" s="1"/>
  <c r="E75"/>
  <c r="E66" s="1"/>
  <c r="F7" i="5" s="1"/>
  <c r="F75" i="3"/>
  <c r="G75"/>
  <c r="H75"/>
  <c r="D76"/>
  <c r="E26" i="5" s="1"/>
  <c r="K26" s="1"/>
  <c r="E76" i="3"/>
  <c r="F76"/>
  <c r="G76"/>
  <c r="H76"/>
  <c r="D77"/>
  <c r="E27" i="5" s="1"/>
  <c r="E77" i="3"/>
  <c r="F77"/>
  <c r="G77"/>
  <c r="H77"/>
  <c r="D78"/>
  <c r="E28" i="5" s="1"/>
  <c r="K28" s="1"/>
  <c r="E78" i="3"/>
  <c r="F78"/>
  <c r="G78"/>
  <c r="H78"/>
  <c r="D79"/>
  <c r="D70" s="1"/>
  <c r="E79"/>
  <c r="F79"/>
  <c r="G79"/>
  <c r="H79"/>
  <c r="C75"/>
  <c r="C76"/>
  <c r="C77"/>
  <c r="C78"/>
  <c r="C79"/>
  <c r="C74"/>
  <c r="H98"/>
  <c r="G98"/>
  <c r="F98"/>
  <c r="E98"/>
  <c r="D98"/>
  <c r="C98"/>
  <c r="I97"/>
  <c r="I96"/>
  <c r="I95"/>
  <c r="I94"/>
  <c r="I93"/>
  <c r="I92"/>
  <c r="H89"/>
  <c r="G89"/>
  <c r="F89"/>
  <c r="E89"/>
  <c r="D89"/>
  <c r="C89"/>
  <c r="I88"/>
  <c r="I87"/>
  <c r="I86"/>
  <c r="I85"/>
  <c r="I84"/>
  <c r="I83"/>
  <c r="H80"/>
  <c r="G80"/>
  <c r="F80"/>
  <c r="E80"/>
  <c r="D80"/>
  <c r="C80"/>
  <c r="I79"/>
  <c r="I78"/>
  <c r="I77"/>
  <c r="I76"/>
  <c r="I75"/>
  <c r="I74"/>
  <c r="F71"/>
  <c r="G71"/>
  <c r="H71"/>
  <c r="C71"/>
  <c r="H25"/>
  <c r="C5"/>
  <c r="D5"/>
  <c r="E5"/>
  <c r="F5"/>
  <c r="G5"/>
  <c r="H5"/>
  <c r="C6"/>
  <c r="D6"/>
  <c r="E6"/>
  <c r="F6"/>
  <c r="G6"/>
  <c r="H6"/>
  <c r="C7"/>
  <c r="D7"/>
  <c r="E7"/>
  <c r="F7"/>
  <c r="G7"/>
  <c r="H7"/>
  <c r="C8"/>
  <c r="D8"/>
  <c r="E8"/>
  <c r="F8"/>
  <c r="G8"/>
  <c r="H8"/>
  <c r="C9"/>
  <c r="D9"/>
  <c r="E9"/>
  <c r="F9"/>
  <c r="G9"/>
  <c r="H9"/>
  <c r="C10"/>
  <c r="D10"/>
  <c r="E10"/>
  <c r="F10"/>
  <c r="G10"/>
  <c r="H10"/>
  <c r="C11"/>
  <c r="D11"/>
  <c r="E11"/>
  <c r="F11"/>
  <c r="G11"/>
  <c r="H11"/>
  <c r="C12"/>
  <c r="D12"/>
  <c r="E12"/>
  <c r="F12"/>
  <c r="G12"/>
  <c r="H12"/>
  <c r="C13"/>
  <c r="D13"/>
  <c r="E13"/>
  <c r="F13"/>
  <c r="G13"/>
  <c r="H13"/>
  <c r="C14"/>
  <c r="D14"/>
  <c r="E14"/>
  <c r="F14"/>
  <c r="G14"/>
  <c r="H14"/>
  <c r="C15"/>
  <c r="D15"/>
  <c r="E15"/>
  <c r="F15"/>
  <c r="G15"/>
  <c r="H15"/>
  <c r="D4"/>
  <c r="E4"/>
  <c r="F4"/>
  <c r="G4"/>
  <c r="H4"/>
  <c r="C4"/>
  <c r="H61"/>
  <c r="G61"/>
  <c r="F61"/>
  <c r="E61"/>
  <c r="D61"/>
  <c r="C61"/>
  <c r="I60"/>
  <c r="I59"/>
  <c r="I58"/>
  <c r="I57"/>
  <c r="I56"/>
  <c r="I55"/>
  <c r="I54"/>
  <c r="I53"/>
  <c r="I52"/>
  <c r="I51"/>
  <c r="I50"/>
  <c r="I49"/>
  <c r="H46"/>
  <c r="G46"/>
  <c r="F46"/>
  <c r="E46"/>
  <c r="D46"/>
  <c r="C46"/>
  <c r="I45"/>
  <c r="I44"/>
  <c r="I43"/>
  <c r="I42"/>
  <c r="I41"/>
  <c r="I40"/>
  <c r="I39"/>
  <c r="I38"/>
  <c r="I37"/>
  <c r="I36"/>
  <c r="I35"/>
  <c r="I34"/>
  <c r="H31"/>
  <c r="G31"/>
  <c r="F31"/>
  <c r="E31"/>
  <c r="D31"/>
  <c r="C31"/>
  <c r="I30"/>
  <c r="I29"/>
  <c r="I28"/>
  <c r="I27"/>
  <c r="I26"/>
  <c r="I25"/>
  <c r="I24"/>
  <c r="I23"/>
  <c r="I22"/>
  <c r="I21"/>
  <c r="I20"/>
  <c r="I19"/>
  <c r="I5"/>
  <c r="I6"/>
  <c r="I7"/>
  <c r="I8"/>
  <c r="I9"/>
  <c r="I10"/>
  <c r="I11"/>
  <c r="I12"/>
  <c r="I13"/>
  <c r="I14"/>
  <c r="I15"/>
  <c r="I4"/>
  <c r="D16"/>
  <c r="E16"/>
  <c r="F16"/>
  <c r="G16"/>
  <c r="H16"/>
  <c r="C16"/>
  <c r="K22" i="8" l="1"/>
  <c r="H12"/>
  <c r="G10"/>
  <c r="L12" i="2"/>
  <c r="H15" i="6"/>
  <c r="L11" i="2"/>
  <c r="L13"/>
  <c r="K14"/>
  <c r="M14"/>
  <c r="N9"/>
  <c r="B10" s="1"/>
  <c r="G68" i="4"/>
  <c r="I68" s="1"/>
  <c r="I64"/>
  <c r="F68"/>
  <c r="C22"/>
  <c r="E22"/>
  <c r="D35" i="6"/>
  <c r="D40" s="1"/>
  <c r="K9" i="2"/>
  <c r="K13"/>
  <c r="M13"/>
  <c r="L14"/>
  <c r="N14" s="1"/>
  <c r="C58" s="1"/>
  <c r="C59" s="1"/>
  <c r="C60" s="1"/>
  <c r="C61" s="1"/>
  <c r="C65" i="4"/>
  <c r="C66" s="1"/>
  <c r="D25" i="6"/>
  <c r="D30" s="1"/>
  <c r="E16"/>
  <c r="E8" i="8"/>
  <c r="C26" i="6"/>
  <c r="D9" i="8"/>
  <c r="E36" i="6"/>
  <c r="E10" i="8"/>
  <c r="I26"/>
  <c r="C16" i="6"/>
  <c r="C17" s="1"/>
  <c r="C20" s="1"/>
  <c r="D8" i="8"/>
  <c r="E26" i="6"/>
  <c r="E30" s="1"/>
  <c r="E9" i="8"/>
  <c r="C37" i="6"/>
  <c r="H37" s="1"/>
  <c r="D10" i="8"/>
  <c r="F27" i="6"/>
  <c r="F37"/>
  <c r="E40"/>
  <c r="F17"/>
  <c r="E20"/>
  <c r="C27"/>
  <c r="F28"/>
  <c r="F30" s="1"/>
  <c r="C36"/>
  <c r="H10"/>
  <c r="H17"/>
  <c r="K44" i="5"/>
  <c r="F54"/>
  <c r="F21" i="8" s="1"/>
  <c r="E70" i="3"/>
  <c r="F11" i="5" s="1"/>
  <c r="F15"/>
  <c r="F18" s="1"/>
  <c r="F49"/>
  <c r="E69" i="3"/>
  <c r="F10" i="5" s="1"/>
  <c r="F16"/>
  <c r="K34"/>
  <c r="F36"/>
  <c r="F20" i="8" s="1"/>
  <c r="F31" i="5"/>
  <c r="F25"/>
  <c r="E65" i="3"/>
  <c r="K46" i="5"/>
  <c r="E49"/>
  <c r="I98" i="3"/>
  <c r="K70" i="5"/>
  <c r="K64"/>
  <c r="E67"/>
  <c r="I89" i="3"/>
  <c r="D68"/>
  <c r="K27" i="5"/>
  <c r="E16"/>
  <c r="K16" s="1"/>
  <c r="E11"/>
  <c r="K11" s="1"/>
  <c r="I70" i="3"/>
  <c r="E29" i="5"/>
  <c r="K29" s="1"/>
  <c r="D69" i="3"/>
  <c r="D67"/>
  <c r="E7" i="5"/>
  <c r="I66" i="3"/>
  <c r="E15" i="5"/>
  <c r="I80" i="3"/>
  <c r="K7" i="5"/>
  <c r="E25"/>
  <c r="K25" s="1"/>
  <c r="D65" i="3"/>
  <c r="G21" i="7"/>
  <c r="F21"/>
  <c r="E21"/>
  <c r="D21"/>
  <c r="D22" s="1"/>
  <c r="H21"/>
  <c r="E18" i="5"/>
  <c r="G18"/>
  <c r="D76"/>
  <c r="F76"/>
  <c r="I18"/>
  <c r="E76"/>
  <c r="G76"/>
  <c r="I76"/>
  <c r="D18"/>
  <c r="K15"/>
  <c r="E54"/>
  <c r="E21" i="8" s="1"/>
  <c r="K60" i="5"/>
  <c r="K67" s="1"/>
  <c r="K69"/>
  <c r="K42"/>
  <c r="K49" s="1"/>
  <c r="H54"/>
  <c r="H21" i="8" s="1"/>
  <c r="K51" i="5"/>
  <c r="K54" s="1"/>
  <c r="K24"/>
  <c r="H36"/>
  <c r="K33"/>
  <c r="D13"/>
  <c r="F65" i="4"/>
  <c r="F66"/>
  <c r="I61" i="3"/>
  <c r="I46"/>
  <c r="I31"/>
  <c r="I16"/>
  <c r="H7" i="2"/>
  <c r="H26" i="6" l="1"/>
  <c r="H16"/>
  <c r="K21" i="8"/>
  <c r="H27" i="6"/>
  <c r="F9" i="8"/>
  <c r="I65" i="4"/>
  <c r="N11" i="2"/>
  <c r="C22" s="1"/>
  <c r="C23" s="1"/>
  <c r="C24" s="1"/>
  <c r="C25" s="1"/>
  <c r="C26" s="1"/>
  <c r="C27" s="1"/>
  <c r="C28" s="1"/>
  <c r="C29" s="1"/>
  <c r="C30" s="1"/>
  <c r="C31" s="1"/>
  <c r="C32" s="1"/>
  <c r="C33" s="1"/>
  <c r="G9" i="8"/>
  <c r="M12" i="2"/>
  <c r="K9" i="8"/>
  <c r="H25" i="6"/>
  <c r="G8" i="8"/>
  <c r="G12" s="1"/>
  <c r="G26" s="1"/>
  <c r="K12" i="2"/>
  <c r="H35" i="6"/>
  <c r="H76" i="5"/>
  <c r="H20" i="8"/>
  <c r="H24" s="1"/>
  <c r="H26" s="1"/>
  <c r="K18" i="5"/>
  <c r="K36"/>
  <c r="K31"/>
  <c r="K72"/>
  <c r="E31"/>
  <c r="F24" i="8"/>
  <c r="H28" i="6"/>
  <c r="H30" s="1"/>
  <c r="K20" i="8"/>
  <c r="K24" s="1"/>
  <c r="E24"/>
  <c r="F10"/>
  <c r="K10" s="1"/>
  <c r="F8"/>
  <c r="F12" s="1"/>
  <c r="F26" s="1"/>
  <c r="D12"/>
  <c r="D26" s="1"/>
  <c r="D27" s="1"/>
  <c r="K8"/>
  <c r="E12"/>
  <c r="E26" s="1"/>
  <c r="E27" s="1"/>
  <c r="C30" i="6"/>
  <c r="F18"/>
  <c r="H18" s="1"/>
  <c r="F38"/>
  <c r="H38" s="1"/>
  <c r="H36"/>
  <c r="C40"/>
  <c r="H20"/>
  <c r="E71" i="3"/>
  <c r="F6" i="5"/>
  <c r="F13" s="1"/>
  <c r="E9"/>
  <c r="K9" s="1"/>
  <c r="I68" i="3"/>
  <c r="E10" i="5"/>
  <c r="K10" s="1"/>
  <c r="I69" i="3"/>
  <c r="E8" i="5"/>
  <c r="K8" s="1"/>
  <c r="I67" i="3"/>
  <c r="E6" i="5"/>
  <c r="I65" i="3"/>
  <c r="I71" s="1"/>
  <c r="D71"/>
  <c r="E22" i="7"/>
  <c r="F22" s="1"/>
  <c r="G22" s="1"/>
  <c r="H22" s="1"/>
  <c r="I66" i="4"/>
  <c r="I70" s="1"/>
  <c r="N12" i="2"/>
  <c r="F70" i="4"/>
  <c r="K76" i="5"/>
  <c r="F27" i="8" l="1"/>
  <c r="G27" s="1"/>
  <c r="H27" s="1"/>
  <c r="I27" s="1"/>
  <c r="K12"/>
  <c r="K26" s="1"/>
  <c r="H40" i="6"/>
  <c r="F40"/>
  <c r="F20"/>
  <c r="E13" i="5"/>
  <c r="K6"/>
  <c r="K13" s="1"/>
  <c r="C34" i="2"/>
  <c r="C37"/>
  <c r="C45"/>
  <c r="D119"/>
  <c r="C122" s="1"/>
  <c r="F7"/>
  <c r="B8" s="1"/>
  <c r="C35" l="1"/>
  <c r="C36" s="1"/>
  <c r="C43"/>
  <c r="C41"/>
  <c r="C39"/>
  <c r="C44"/>
  <c r="C42"/>
  <c r="C40"/>
  <c r="C38"/>
  <c r="F8"/>
  <c r="B9" s="1"/>
  <c r="H9" s="1"/>
  <c r="H8"/>
  <c r="F20" i="4"/>
  <c r="F25"/>
  <c r="F24"/>
  <c r="F30"/>
  <c r="F41" s="1"/>
  <c r="F29"/>
  <c r="F8"/>
  <c r="F6"/>
  <c r="F9" i="2" s="1"/>
  <c r="F22" i="4"/>
  <c r="F33"/>
  <c r="F28"/>
  <c r="F27"/>
  <c r="N13" i="2" s="1"/>
  <c r="C55" s="1"/>
  <c r="F23" i="4"/>
  <c r="F19"/>
  <c r="E17"/>
  <c r="F17" s="1"/>
  <c r="D38"/>
  <c r="F14"/>
  <c r="F13"/>
  <c r="E15" i="2" s="1"/>
  <c r="F11" i="4"/>
  <c r="F10"/>
  <c r="E51" i="2" l="1"/>
  <c r="C52"/>
  <c r="C56"/>
  <c r="C51"/>
  <c r="C46"/>
  <c r="C47" s="1"/>
  <c r="C48" s="1"/>
  <c r="N15"/>
  <c r="K13" i="4"/>
  <c r="E38"/>
  <c r="C50" i="2"/>
  <c r="C54"/>
  <c r="C49"/>
  <c r="C53"/>
  <c r="C57"/>
  <c r="E39"/>
  <c r="E27"/>
  <c r="K11" i="4"/>
  <c r="F10" i="2"/>
  <c r="B11" s="1"/>
  <c r="H10"/>
  <c r="F32" i="4"/>
  <c r="K12"/>
  <c r="F16"/>
  <c r="C119" i="2" l="1"/>
  <c r="E119"/>
  <c r="C123" s="1"/>
  <c r="K10" i="4"/>
  <c r="K15" s="1"/>
  <c r="K18" s="1"/>
  <c r="F11" i="2"/>
  <c r="B12" s="1"/>
  <c r="H11"/>
  <c r="C121" l="1"/>
  <c r="C124" s="1"/>
  <c r="F12"/>
  <c r="B13" s="1"/>
  <c r="H12"/>
  <c r="F13" l="1"/>
  <c r="B14" s="1"/>
  <c r="H13"/>
  <c r="F14" l="1"/>
  <c r="B15" s="1"/>
  <c r="H14"/>
  <c r="F15" l="1"/>
  <c r="B16" s="1"/>
  <c r="H15"/>
  <c r="F16" l="1"/>
  <c r="B17" s="1"/>
  <c r="H16"/>
  <c r="F17" l="1"/>
  <c r="B18" s="1"/>
  <c r="H17"/>
  <c r="F18" l="1"/>
  <c r="B19" s="1"/>
  <c r="H18"/>
  <c r="F19" l="1"/>
  <c r="B20" s="1"/>
  <c r="H19"/>
  <c r="F20" l="1"/>
  <c r="B21" s="1"/>
  <c r="H20"/>
  <c r="F21" l="1"/>
  <c r="B22" s="1"/>
  <c r="H21"/>
  <c r="F22" l="1"/>
  <c r="B23" s="1"/>
  <c r="H22"/>
  <c r="F23" l="1"/>
  <c r="B24" s="1"/>
  <c r="H23"/>
  <c r="F24" l="1"/>
  <c r="B25" s="1"/>
  <c r="H24"/>
  <c r="F25" l="1"/>
  <c r="B26" s="1"/>
  <c r="H25"/>
  <c r="F26" l="1"/>
  <c r="B27" s="1"/>
  <c r="H26"/>
  <c r="F27" l="1"/>
  <c r="B28" s="1"/>
  <c r="H27"/>
  <c r="F28" l="1"/>
  <c r="B29" s="1"/>
  <c r="H28"/>
  <c r="F29" l="1"/>
  <c r="B30" s="1"/>
  <c r="H29"/>
  <c r="F30" l="1"/>
  <c r="B31" s="1"/>
  <c r="H30"/>
  <c r="F31" l="1"/>
  <c r="B32" s="1"/>
  <c r="H31"/>
  <c r="F32" l="1"/>
  <c r="B33" s="1"/>
  <c r="H32"/>
  <c r="F33" l="1"/>
  <c r="B34" s="1"/>
  <c r="H33"/>
  <c r="F34" l="1"/>
  <c r="B35" s="1"/>
  <c r="H34"/>
  <c r="F35" l="1"/>
  <c r="B36" s="1"/>
  <c r="H35"/>
  <c r="F36" l="1"/>
  <c r="B37" s="1"/>
  <c r="H36"/>
  <c r="F37" l="1"/>
  <c r="B38" s="1"/>
  <c r="H37"/>
  <c r="F38" l="1"/>
  <c r="B39" s="1"/>
  <c r="H38"/>
  <c r="F39" l="1"/>
  <c r="B40" s="1"/>
  <c r="H39"/>
  <c r="F40" l="1"/>
  <c r="B41" s="1"/>
  <c r="H40"/>
  <c r="F41" l="1"/>
  <c r="B42" s="1"/>
  <c r="H41"/>
  <c r="F42" l="1"/>
  <c r="B43" s="1"/>
  <c r="H42"/>
  <c r="F43" l="1"/>
  <c r="B44" s="1"/>
  <c r="H43"/>
  <c r="F44" l="1"/>
  <c r="B45" s="1"/>
  <c r="H44"/>
  <c r="F45" l="1"/>
  <c r="B46" s="1"/>
  <c r="H45"/>
  <c r="F46" l="1"/>
  <c r="B47" s="1"/>
  <c r="H46"/>
  <c r="F47" l="1"/>
  <c r="B48" s="1"/>
  <c r="H47"/>
  <c r="F48" l="1"/>
  <c r="B49" s="1"/>
  <c r="F49" s="1"/>
  <c r="B50" s="1"/>
  <c r="H50" s="1"/>
  <c r="H48"/>
  <c r="H49" l="1"/>
  <c r="F50" l="1"/>
  <c r="B51" s="1"/>
  <c r="F51" l="1"/>
  <c r="B52" s="1"/>
  <c r="H51"/>
  <c r="F52" l="1"/>
  <c r="B53" s="1"/>
  <c r="H52"/>
  <c r="F53" l="1"/>
  <c r="B54" s="1"/>
  <c r="H53"/>
  <c r="F54" l="1"/>
  <c r="B55" s="1"/>
  <c r="H54"/>
  <c r="F55" l="1"/>
  <c r="B56" s="1"/>
  <c r="H55"/>
  <c r="F56" l="1"/>
  <c r="B57" s="1"/>
  <c r="H56"/>
  <c r="F57" l="1"/>
  <c r="B58" s="1"/>
  <c r="H57"/>
  <c r="F58" l="1"/>
  <c r="B59" s="1"/>
  <c r="H58"/>
  <c r="F59" l="1"/>
  <c r="B60" s="1"/>
  <c r="H59"/>
  <c r="F60" l="1"/>
  <c r="B61" s="1"/>
  <c r="H60"/>
  <c r="F61" l="1"/>
  <c r="B62" s="1"/>
  <c r="H61"/>
  <c r="J61" l="1"/>
  <c r="C36" i="4"/>
  <c r="C43" s="1"/>
  <c r="C45" s="1"/>
  <c r="H62" i="2"/>
  <c r="F62"/>
  <c r="B63" s="1"/>
  <c r="C38" i="4" l="1"/>
  <c r="F38" s="1"/>
  <c r="F36"/>
  <c r="F43" s="1"/>
  <c r="F45" s="1"/>
  <c r="F63" i="2"/>
  <c r="B64" s="1"/>
  <c r="H63"/>
  <c r="F64" l="1"/>
  <c r="B65" s="1"/>
  <c r="H64"/>
  <c r="F65" l="1"/>
  <c r="B66" s="1"/>
  <c r="H65"/>
  <c r="F66" l="1"/>
  <c r="B67" s="1"/>
  <c r="H66"/>
  <c r="F67" l="1"/>
  <c r="B68" s="1"/>
  <c r="H67"/>
  <c r="F68" l="1"/>
  <c r="B69" s="1"/>
  <c r="H68"/>
  <c r="F69" l="1"/>
  <c r="B70" s="1"/>
  <c r="H69"/>
  <c r="F70" l="1"/>
  <c r="B71" s="1"/>
  <c r="H70"/>
  <c r="F71" l="1"/>
  <c r="B72" s="1"/>
  <c r="H71"/>
  <c r="F72" l="1"/>
  <c r="B73" s="1"/>
  <c r="H72"/>
  <c r="F73" l="1"/>
  <c r="B74" s="1"/>
  <c r="H73"/>
  <c r="F74" l="1"/>
  <c r="B75" s="1"/>
  <c r="H74"/>
  <c r="F75" l="1"/>
  <c r="B76" s="1"/>
  <c r="H75"/>
  <c r="F76" l="1"/>
  <c r="B77" s="1"/>
  <c r="H76"/>
  <c r="F77" l="1"/>
  <c r="B78" s="1"/>
  <c r="H77"/>
  <c r="F78" l="1"/>
  <c r="B79" s="1"/>
  <c r="H78"/>
  <c r="F79" l="1"/>
  <c r="B80" s="1"/>
  <c r="H79"/>
  <c r="F80" l="1"/>
  <c r="B81" s="1"/>
  <c r="H80"/>
  <c r="F81" l="1"/>
  <c r="B82" s="1"/>
  <c r="H81"/>
  <c r="F82" l="1"/>
  <c r="B83" s="1"/>
  <c r="H82"/>
  <c r="F83" l="1"/>
  <c r="B84" s="1"/>
  <c r="H83"/>
  <c r="F84" l="1"/>
  <c r="B85" s="1"/>
  <c r="H84"/>
  <c r="F85" l="1"/>
  <c r="B86" s="1"/>
  <c r="H85"/>
  <c r="F86" l="1"/>
  <c r="B87" s="1"/>
  <c r="H86"/>
  <c r="F87" l="1"/>
  <c r="B88" s="1"/>
  <c r="H87"/>
  <c r="F88" l="1"/>
  <c r="B89" s="1"/>
  <c r="H88"/>
  <c r="F89" l="1"/>
  <c r="B90" s="1"/>
  <c r="H89"/>
  <c r="F90" l="1"/>
  <c r="B91" s="1"/>
  <c r="H90"/>
  <c r="F91" l="1"/>
  <c r="B92" s="1"/>
  <c r="H91"/>
  <c r="F92" l="1"/>
  <c r="B93" s="1"/>
  <c r="H92"/>
  <c r="F93" l="1"/>
  <c r="B94" s="1"/>
  <c r="H93"/>
  <c r="F94" l="1"/>
  <c r="B95" s="1"/>
  <c r="H94"/>
  <c r="F95" l="1"/>
  <c r="B96" s="1"/>
  <c r="H95"/>
  <c r="F96" l="1"/>
  <c r="B97" s="1"/>
  <c r="H96"/>
  <c r="F97" l="1"/>
  <c r="B98" s="1"/>
  <c r="H97"/>
  <c r="F98" l="1"/>
  <c r="B99" s="1"/>
  <c r="H98"/>
  <c r="F99" l="1"/>
  <c r="B100" s="1"/>
  <c r="H99"/>
  <c r="F100" l="1"/>
  <c r="B101" s="1"/>
  <c r="H100"/>
  <c r="F101" l="1"/>
  <c r="B102" s="1"/>
  <c r="H101"/>
  <c r="F102" l="1"/>
  <c r="B103" s="1"/>
  <c r="H102"/>
  <c r="F103" l="1"/>
  <c r="B104" s="1"/>
  <c r="H103"/>
  <c r="F104" l="1"/>
  <c r="B105" s="1"/>
  <c r="H104"/>
  <c r="F105" l="1"/>
  <c r="B106" s="1"/>
  <c r="H105"/>
  <c r="F106" l="1"/>
  <c r="B107" s="1"/>
  <c r="H106"/>
  <c r="F107" l="1"/>
  <c r="B108" s="1"/>
  <c r="H107"/>
  <c r="F108" l="1"/>
  <c r="B109" s="1"/>
  <c r="H108"/>
  <c r="F109" l="1"/>
  <c r="B110" s="1"/>
  <c r="H109"/>
  <c r="F110" l="1"/>
  <c r="B111" s="1"/>
  <c r="H110"/>
  <c r="F111" l="1"/>
  <c r="B112" s="1"/>
  <c r="H111"/>
  <c r="F112" l="1"/>
  <c r="B113" s="1"/>
  <c r="H112"/>
  <c r="F113" l="1"/>
  <c r="B114" s="1"/>
  <c r="H113"/>
  <c r="F114" l="1"/>
  <c r="B115" s="1"/>
  <c r="H114"/>
  <c r="F115" l="1"/>
  <c r="B116" s="1"/>
  <c r="H115"/>
  <c r="F116" l="1"/>
  <c r="B117" s="1"/>
  <c r="B130" s="1"/>
  <c r="H116"/>
  <c r="H130" l="1"/>
  <c r="B131"/>
  <c r="F117"/>
  <c r="H117"/>
  <c r="H119" s="1"/>
  <c r="C125" l="1"/>
  <c r="C126" s="1"/>
  <c r="H147"/>
  <c r="H131"/>
  <c r="B132"/>
  <c r="B133" l="1"/>
  <c r="H132"/>
  <c r="B134" l="1"/>
  <c r="H133"/>
  <c r="B135" l="1"/>
  <c r="H134"/>
  <c r="B136" l="1"/>
  <c r="H135"/>
  <c r="B137" l="1"/>
  <c r="H136"/>
  <c r="B138" l="1"/>
  <c r="H137"/>
  <c r="B139" l="1"/>
  <c r="H138"/>
  <c r="B140" l="1"/>
  <c r="H139"/>
  <c r="B141" l="1"/>
  <c r="H140"/>
  <c r="B142" l="1"/>
  <c r="H141"/>
  <c r="B143" l="1"/>
  <c r="H142"/>
  <c r="B144" l="1"/>
  <c r="H143"/>
  <c r="B145" l="1"/>
  <c r="H145" s="1"/>
  <c r="H144"/>
  <c r="H146" l="1"/>
  <c r="H148" s="1"/>
  <c r="H152" l="1"/>
  <c r="H154" s="1"/>
  <c r="I154" s="1"/>
  <c r="K29" i="8"/>
  <c r="K30" s="1"/>
  <c r="J5" i="9" s="1"/>
  <c r="G11" l="1"/>
  <c r="H11" s="1"/>
  <c r="M11" s="1"/>
  <c r="G12"/>
  <c r="H12" s="1"/>
  <c r="M12" s="1"/>
  <c r="G7"/>
  <c r="H7" s="1"/>
  <c r="M7" s="1"/>
  <c r="G6"/>
  <c r="G9"/>
  <c r="H9" s="1"/>
  <c r="M9" s="1"/>
  <c r="G8"/>
  <c r="H8" s="1"/>
  <c r="M8" s="1"/>
  <c r="G10"/>
  <c r="H10" s="1"/>
  <c r="M10" s="1"/>
  <c r="H6" l="1"/>
  <c r="M6" s="1"/>
  <c r="M13" s="1"/>
  <c r="G14"/>
</calcChain>
</file>

<file path=xl/sharedStrings.xml><?xml version="1.0" encoding="utf-8"?>
<sst xmlns="http://schemas.openxmlformats.org/spreadsheetml/2006/main" count="316" uniqueCount="123">
  <si>
    <t>PDI</t>
  </si>
  <si>
    <t>ANDI</t>
  </si>
  <si>
    <t>LDI</t>
  </si>
  <si>
    <t>2003</t>
  </si>
  <si>
    <t>PILS allowed</t>
  </si>
  <si>
    <t>2004</t>
  </si>
  <si>
    <t>2005</t>
  </si>
  <si>
    <t>2006</t>
  </si>
  <si>
    <t>Total</t>
  </si>
  <si>
    <t>2002</t>
  </si>
  <si>
    <t>recorded in 2003</t>
  </si>
  <si>
    <t>PILS true-up</t>
  </si>
  <si>
    <t>accumulated interest</t>
  </si>
  <si>
    <t>Account 1562 PILS variance</t>
  </si>
  <si>
    <t>PILS billed</t>
  </si>
  <si>
    <t>2001</t>
  </si>
  <si>
    <t>Opening Balance</t>
  </si>
  <si>
    <t>PILs Proxy</t>
  </si>
  <si>
    <t>PILs Billed</t>
  </si>
  <si>
    <t>True-up</t>
  </si>
  <si>
    <t>Ending Balance</t>
  </si>
  <si>
    <t>Interest Rate</t>
  </si>
  <si>
    <t>Interest Amount</t>
  </si>
  <si>
    <t>Annual Proxy</t>
  </si>
  <si>
    <t>2002 and 2003 Oct Ytd revenue billed was recorded in October 2003</t>
  </si>
  <si>
    <t>UMS was not able to record PIL revenue separately until then</t>
  </si>
  <si>
    <t>Summary:</t>
  </si>
  <si>
    <t>True-up adj</t>
  </si>
  <si>
    <t>Interest</t>
  </si>
  <si>
    <t>PETERBOROUGH DISTRIBUTION INC.</t>
  </si>
  <si>
    <t>Account 1562:  Deferred PILs - carrying charges</t>
  </si>
  <si>
    <t>Fixed - Residential</t>
  </si>
  <si>
    <t>Fixed - GS &lt; 50</t>
  </si>
  <si>
    <t>Fixed - GS &gt; 50</t>
  </si>
  <si>
    <t>Fixed - Large User</t>
  </si>
  <si>
    <t>Fixed - Street Lighting</t>
  </si>
  <si>
    <t>Fixed - Sentinel Lighting</t>
  </si>
  <si>
    <t>Variable - Residential</t>
  </si>
  <si>
    <t>Variable - GS &lt; 50</t>
  </si>
  <si>
    <t>Variable - GS &gt; 50</t>
  </si>
  <si>
    <t>Variable - Large User</t>
  </si>
  <si>
    <t>Variable - Street Lighting</t>
  </si>
  <si>
    <t>Variable - Sentinel Lighting</t>
  </si>
  <si>
    <t>Consolidated PDI</t>
  </si>
  <si>
    <t>PIL REVENUE BILLED</t>
  </si>
  <si>
    <t>Residential</t>
  </si>
  <si>
    <t>GS &lt; 50</t>
  </si>
  <si>
    <t>GS &gt; 50</t>
  </si>
  <si>
    <t>Large User</t>
  </si>
  <si>
    <t>Street Lighting</t>
  </si>
  <si>
    <t>Sentinel Lighting</t>
  </si>
  <si>
    <t>2001 PILS</t>
  </si>
  <si>
    <t>2002 PILS</t>
  </si>
  <si>
    <t>Total in Rates</t>
  </si>
  <si>
    <t>March - Dec = 10/12</t>
  </si>
  <si>
    <t>PILS Rate adjustment</t>
  </si>
  <si>
    <t>Deferral adjustment</t>
  </si>
  <si>
    <t>OCT - Dec</t>
  </si>
  <si>
    <t>Mar - Feb</t>
  </si>
  <si>
    <t>3 months 01 9 month 05</t>
  </si>
  <si>
    <t xml:space="preserve">USED for </t>
  </si>
  <si>
    <t>Interest January 2011 to April 2012</t>
  </si>
  <si>
    <t>Add interest charges at December 31, 2010</t>
  </si>
  <si>
    <t>Total interest charges to April 30, 2012</t>
  </si>
  <si>
    <t>Total PILS Billed to Customers</t>
  </si>
  <si>
    <t>Rate Class / Fiscal Year</t>
  </si>
  <si>
    <t>Fixed</t>
  </si>
  <si>
    <t>Variable</t>
  </si>
  <si>
    <t>Approved PILS Proxy Amount by Rate Year</t>
  </si>
  <si>
    <t>TOTAL</t>
  </si>
  <si>
    <t>2002 Mar 1 - 2003 Feb 28</t>
  </si>
  <si>
    <t>2003 Mar 1 - 2004 Mar 31</t>
  </si>
  <si>
    <t>2004 Apr 1 - 2005 Mar 31</t>
  </si>
  <si>
    <t>2005 Apr 1 - 2006 Apr 30</t>
  </si>
  <si>
    <t>Billed PILS per Fiscal Year, by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</si>
  <si>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</si>
  <si>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</si>
  <si>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</si>
  <si>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</si>
  <si>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</si>
  <si>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</si>
  <si>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</si>
  <si>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</si>
  <si>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</si>
  <si>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</si>
  <si>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</si>
  <si>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</si>
  <si>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Accumulative</t>
  </si>
  <si>
    <t>2001           Proxy</t>
  </si>
  <si>
    <t>2002    Proxy</t>
  </si>
  <si>
    <t>2003    Proxy</t>
  </si>
  <si>
    <t>2004    Proxy</t>
  </si>
  <si>
    <t>2005    Proxy</t>
  </si>
  <si>
    <t>CONSOLIDATED PETERBOROUGH DISTRIBUTION INC. PILS PROXY SUMMARY</t>
  </si>
  <si>
    <t>PETERBOROUGH DISTRIBUTION INC. PILS PROXY SUMMARY</t>
  </si>
  <si>
    <t>LAKEFIELD DISTRIBUTION INC. PILS PROXY SUMMARY</t>
  </si>
  <si>
    <t>ASPHODEL-NORWOOD DISTRIBUTION INC. PILS PROXY SUMMARY</t>
  </si>
  <si>
    <t>Board Approved PILs</t>
  </si>
  <si>
    <t>True-ups</t>
  </si>
  <si>
    <t>PILs Billed to Customers</t>
  </si>
  <si>
    <t>Total Approved</t>
  </si>
  <si>
    <t>Total Billed</t>
  </si>
  <si>
    <t>Account 1562 Continuity - Summary</t>
  </si>
  <si>
    <t>Interest May 1, 2006 to April 30 2012</t>
  </si>
  <si>
    <t>Account 1562 Disposition Balance</t>
  </si>
  <si>
    <t>Rate Class</t>
  </si>
  <si>
    <t>Metered kW</t>
  </si>
  <si>
    <t>General Service Less Than 50 kW</t>
  </si>
  <si>
    <t>General Service 50 to 4,999 kW</t>
  </si>
  <si>
    <t>Large Use - Regular</t>
  </si>
  <si>
    <t>Unmetered Scattered Load</t>
  </si>
  <si>
    <t>Metered        kWh</t>
  </si>
  <si>
    <t>Distribution Revenue</t>
  </si>
  <si>
    <t>Rev %</t>
  </si>
  <si>
    <t>% of Account 1562</t>
  </si>
  <si>
    <t>Proposed Rate Rider</t>
  </si>
  <si>
    <t>$</t>
  </si>
  <si>
    <t>per</t>
  </si>
  <si>
    <t>kWh</t>
  </si>
  <si>
    <t>kW</t>
  </si>
  <si>
    <t>PILs proxy</t>
  </si>
  <si>
    <t>Adjustments</t>
  </si>
  <si>
    <t>PILs billed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</si>
</sst>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_);\(0\)"/>
    <numFmt numFmtId="167" formatCode="0.0%"/>
    <numFmt numFmtId="168" formatCode="_(* #,##0.0000_);_(* \(#,##0.00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43" fontId="2" fillId="0" borderId="0" xfId="1" applyFont="1"/>
    <xf numFmtId="43" fontId="2" fillId="0" borderId="0" xfId="1" quotePrefix="1" applyFont="1"/>
    <xf numFmtId="164" fontId="0" fillId="0" borderId="0" xfId="0" applyNumberFormat="1"/>
    <xf numFmtId="10" fontId="0" fillId="0" borderId="0" xfId="2" applyNumberFormat="1" applyFont="1"/>
    <xf numFmtId="43" fontId="0" fillId="0" borderId="0" xfId="1" applyFont="1"/>
    <xf numFmtId="165" fontId="0" fillId="0" borderId="0" xfId="1" applyNumberFormat="1" applyFont="1"/>
    <xf numFmtId="165" fontId="0" fillId="0" borderId="0" xfId="0" applyNumberFormat="1"/>
    <xf numFmtId="0" fontId="0" fillId="2" borderId="0" xfId="0" applyFill="1"/>
    <xf numFmtId="43" fontId="0" fillId="2" borderId="0" xfId="1" applyFont="1" applyFill="1"/>
    <xf numFmtId="165" fontId="0" fillId="2" borderId="0" xfId="1" applyNumberFormat="1" applyFont="1" applyFill="1"/>
    <xf numFmtId="165" fontId="0" fillId="2" borderId="1" xfId="1" applyNumberFormat="1" applyFont="1" applyFill="1" applyBorder="1"/>
    <xf numFmtId="0" fontId="0" fillId="0" borderId="2" xfId="0" applyBorder="1"/>
    <xf numFmtId="0" fontId="4" fillId="3" borderId="0" xfId="0" applyFont="1" applyFill="1" applyBorder="1" applyAlignment="1">
      <alignment horizontal="centerContinuous" wrapText="1"/>
    </xf>
    <xf numFmtId="0" fontId="4" fillId="3" borderId="2" xfId="0" applyFont="1" applyFill="1" applyBorder="1" applyAlignment="1">
      <alignment horizontal="center" wrapText="1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center" wrapText="1"/>
    </xf>
    <xf numFmtId="164" fontId="0" fillId="0" borderId="2" xfId="0" applyNumberFormat="1" applyBorder="1"/>
    <xf numFmtId="165" fontId="0" fillId="0" borderId="2" xfId="1" applyNumberFormat="1" applyFont="1" applyBorder="1"/>
    <xf numFmtId="10" fontId="0" fillId="0" borderId="2" xfId="2" applyNumberFormat="1" applyFont="1" applyBorder="1"/>
    <xf numFmtId="0" fontId="4" fillId="4" borderId="2" xfId="0" applyFont="1" applyFill="1" applyBorder="1"/>
    <xf numFmtId="43" fontId="4" fillId="4" borderId="2" xfId="1" applyFont="1" applyFill="1" applyBorder="1"/>
    <xf numFmtId="165" fontId="4" fillId="4" borderId="2" xfId="1" applyNumberFormat="1" applyFont="1" applyFill="1" applyBorder="1"/>
    <xf numFmtId="165" fontId="4" fillId="2" borderId="4" xfId="1" applyNumberFormat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5" xfId="1" applyFont="1" applyBorder="1"/>
    <xf numFmtId="43" fontId="0" fillId="0" borderId="0" xfId="0" applyNumberFormat="1" applyBorder="1"/>
    <xf numFmtId="0" fontId="4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166" fontId="2" fillId="0" borderId="0" xfId="1" applyNumberFormat="1" applyFont="1"/>
    <xf numFmtId="165" fontId="1" fillId="0" borderId="0" xfId="1" applyNumberFormat="1" applyFont="1" applyBorder="1"/>
    <xf numFmtId="165" fontId="0" fillId="6" borderId="0" xfId="1" applyNumberFormat="1" applyFont="1" applyFill="1"/>
    <xf numFmtId="0" fontId="0" fillId="0" borderId="0" xfId="0" applyFill="1"/>
    <xf numFmtId="165" fontId="0" fillId="0" borderId="0" xfId="1" applyNumberFormat="1" applyFont="1" applyFill="1"/>
    <xf numFmtId="165" fontId="0" fillId="0" borderId="1" xfId="1" applyNumberFormat="1" applyFont="1" applyBorder="1"/>
    <xf numFmtId="165" fontId="4" fillId="0" borderId="5" xfId="0" applyNumberFormat="1" applyFont="1" applyBorder="1"/>
    <xf numFmtId="43" fontId="0" fillId="0" borderId="0" xfId="0" applyNumberFormat="1"/>
    <xf numFmtId="43" fontId="0" fillId="0" borderId="2" xfId="0" applyNumberFormat="1" applyBorder="1"/>
    <xf numFmtId="0" fontId="4" fillId="0" borderId="2" xfId="0" applyFont="1" applyBorder="1"/>
    <xf numFmtId="0" fontId="4" fillId="0" borderId="3" xfId="0" applyFont="1" applyBorder="1"/>
    <xf numFmtId="165" fontId="0" fillId="0" borderId="2" xfId="0" applyNumberFormat="1" applyBorder="1"/>
    <xf numFmtId="0" fontId="4" fillId="7" borderId="3" xfId="0" applyFont="1" applyFill="1" applyBorder="1"/>
    <xf numFmtId="0" fontId="4" fillId="7" borderId="3" xfId="0" applyFont="1" applyFill="1" applyBorder="1" applyAlignment="1">
      <alignment horizontal="center"/>
    </xf>
    <xf numFmtId="165" fontId="4" fillId="7" borderId="0" xfId="0" applyNumberFormat="1" applyFont="1" applyFill="1"/>
    <xf numFmtId="165" fontId="4" fillId="7" borderId="2" xfId="0" applyNumberFormat="1" applyFont="1" applyFill="1" applyBorder="1"/>
    <xf numFmtId="0" fontId="0" fillId="7" borderId="0" xfId="0" applyFill="1"/>
    <xf numFmtId="0" fontId="4" fillId="7" borderId="2" xfId="0" applyFont="1" applyFill="1" applyBorder="1"/>
    <xf numFmtId="43" fontId="4" fillId="7" borderId="2" xfId="0" applyNumberFormat="1" applyFont="1" applyFill="1" applyBorder="1"/>
    <xf numFmtId="3" fontId="0" fillId="0" borderId="0" xfId="0" applyNumberFormat="1"/>
    <xf numFmtId="3" fontId="0" fillId="0" borderId="0" xfId="1" applyNumberFormat="1" applyFont="1"/>
    <xf numFmtId="3" fontId="0" fillId="0" borderId="2" xfId="1" applyNumberFormat="1" applyFont="1" applyBorder="1"/>
    <xf numFmtId="3" fontId="0" fillId="0" borderId="2" xfId="0" applyNumberFormat="1" applyBorder="1"/>
    <xf numFmtId="165" fontId="1" fillId="0" borderId="2" xfId="1" applyNumberFormat="1" applyFont="1" applyBorder="1"/>
    <xf numFmtId="165" fontId="1" fillId="7" borderId="0" xfId="1" applyNumberFormat="1" applyFont="1" applyFill="1" applyBorder="1"/>
    <xf numFmtId="165" fontId="1" fillId="7" borderId="2" xfId="1" applyNumberFormat="1" applyFont="1" applyFill="1" applyBorder="1"/>
    <xf numFmtId="165" fontId="0" fillId="7" borderId="0" xfId="1" applyNumberFormat="1" applyFont="1" applyFill="1" applyBorder="1"/>
    <xf numFmtId="165" fontId="4" fillId="7" borderId="2" xfId="1" applyNumberFormat="1" applyFont="1" applyFill="1" applyBorder="1"/>
    <xf numFmtId="0" fontId="0" fillId="7" borderId="0" xfId="0" applyFill="1" applyBorder="1"/>
    <xf numFmtId="0" fontId="4" fillId="7" borderId="0" xfId="0" applyFont="1" applyFill="1" applyBorder="1"/>
    <xf numFmtId="3" fontId="4" fillId="7" borderId="0" xfId="0" applyNumberFormat="1" applyFont="1" applyFill="1" applyBorder="1"/>
    <xf numFmtId="3" fontId="4" fillId="7" borderId="2" xfId="0" applyNumberFormat="1" applyFont="1" applyFill="1" applyBorder="1"/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1" applyNumberFormat="1" applyFont="1" applyBorder="1"/>
    <xf numFmtId="165" fontId="0" fillId="0" borderId="0" xfId="1" applyNumberFormat="1" applyFont="1" applyBorder="1"/>
    <xf numFmtId="0" fontId="0" fillId="0" borderId="2" xfId="0" applyFont="1" applyBorder="1"/>
    <xf numFmtId="165" fontId="4" fillId="0" borderId="2" xfId="0" applyNumberFormat="1" applyFont="1" applyBorder="1"/>
    <xf numFmtId="165" fontId="4" fillId="7" borderId="0" xfId="0" applyNumberFormat="1" applyFont="1" applyFill="1" applyBorder="1"/>
    <xf numFmtId="165" fontId="4" fillId="7" borderId="0" xfId="1" applyNumberFormat="1" applyFont="1" applyFill="1"/>
    <xf numFmtId="165" fontId="4" fillId="7" borderId="0" xfId="1" applyNumberFormat="1" applyFont="1" applyFill="1" applyBorder="1"/>
    <xf numFmtId="165" fontId="0" fillId="7" borderId="0" xfId="1" applyNumberFormat="1" applyFont="1" applyFill="1"/>
    <xf numFmtId="167" fontId="0" fillId="0" borderId="0" xfId="2" applyNumberFormat="1" applyFont="1"/>
    <xf numFmtId="167" fontId="4" fillId="0" borderId="2" xfId="0" applyNumberFormat="1" applyFont="1" applyBorder="1"/>
    <xf numFmtId="167" fontId="0" fillId="0" borderId="2" xfId="2" applyNumberFormat="1" applyFont="1" applyBorder="1"/>
    <xf numFmtId="0" fontId="4" fillId="7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168" fontId="4" fillId="7" borderId="0" xfId="0" applyNumberFormat="1" applyFont="1" applyFill="1"/>
    <xf numFmtId="168" fontId="4" fillId="7" borderId="2" xfId="0" applyNumberFormat="1" applyFont="1" applyFill="1" applyBorder="1"/>
    <xf numFmtId="43" fontId="2" fillId="0" borderId="2" xfId="1" applyFont="1" applyBorder="1"/>
    <xf numFmtId="43" fontId="3" fillId="0" borderId="2" xfId="1" applyFont="1" applyBorder="1"/>
    <xf numFmtId="43" fontId="3" fillId="0" borderId="2" xfId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Rates/OEB%202012/PILS/2012_IRM_Rate_Generator_V1.4_PDI_NEW%20PILS_201203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J4" t="str">
            <v>$/kWh</v>
          </cell>
        </row>
        <row r="5">
          <cell r="J5" t="str">
            <v>$/kW</v>
          </cell>
        </row>
        <row r="6">
          <cell r="J6" t="str">
            <v>$/kVA</v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70"/>
  <sheetViews>
    <sheetView topLeftCell="A19" workbookViewId="0">
      <selection activeCell="F40" sqref="F40:F42"/>
    </sheetView>
  </sheetViews>
  <sheetFormatPr defaultRowHeight="12.75"/>
  <cols>
    <col min="1" max="1" width="9.28515625" style="1" bestFit="1" customWidth="1"/>
    <col min="2" max="2" width="20.5703125" style="1" bestFit="1" customWidth="1"/>
    <col min="3" max="6" width="14.7109375" style="1" customWidth="1"/>
    <col min="7" max="7" width="12.85546875" style="1" bestFit="1" customWidth="1"/>
    <col min="8" max="8" width="9.140625" style="1"/>
    <col min="9" max="10" width="12.85546875" style="1" bestFit="1" customWidth="1"/>
    <col min="11" max="11" width="13.5703125" style="1" bestFit="1" customWidth="1"/>
    <col min="12" max="12" width="9.140625" style="1"/>
    <col min="13" max="13" width="12.85546875" style="1" bestFit="1" customWidth="1"/>
    <col min="14" max="16384" width="9.140625" style="1"/>
  </cols>
  <sheetData>
    <row r="2" spans="1:11" ht="13.5" thickBot="1">
      <c r="A2" s="86"/>
      <c r="B2" s="86"/>
      <c r="C2" s="86"/>
      <c r="D2" s="86"/>
      <c r="E2" s="86"/>
      <c r="F2" s="86"/>
    </row>
    <row r="3" spans="1:11">
      <c r="A3" s="89" t="s">
        <v>13</v>
      </c>
      <c r="B3" s="89"/>
      <c r="C3" s="89"/>
      <c r="D3" s="89"/>
      <c r="E3" s="89"/>
      <c r="F3" s="89"/>
    </row>
    <row r="4" spans="1:11" ht="13.5" thickBot="1">
      <c r="A4" s="86"/>
      <c r="B4" s="86"/>
      <c r="C4" s="88" t="s">
        <v>0</v>
      </c>
      <c r="D4" s="88" t="s">
        <v>1</v>
      </c>
      <c r="E4" s="88" t="s">
        <v>2</v>
      </c>
      <c r="F4" s="88" t="s">
        <v>8</v>
      </c>
    </row>
    <row r="6" spans="1:11">
      <c r="A6" s="2" t="s">
        <v>15</v>
      </c>
      <c r="B6" s="1" t="s">
        <v>4</v>
      </c>
      <c r="C6" s="1">
        <f>+C52</f>
        <v>519048</v>
      </c>
      <c r="D6" s="1">
        <f t="shared" ref="D6:E6" si="0">+D52</f>
        <v>2146</v>
      </c>
      <c r="E6" s="1">
        <f t="shared" si="0"/>
        <v>6474</v>
      </c>
      <c r="F6" s="1">
        <f>SUM(C6:E6)</f>
        <v>527668</v>
      </c>
    </row>
    <row r="7" spans="1:11">
      <c r="A7" s="2"/>
      <c r="B7" s="1" t="s">
        <v>56</v>
      </c>
      <c r="C7" s="1">
        <v>3757</v>
      </c>
      <c r="D7" s="1">
        <v>-187</v>
      </c>
      <c r="E7" s="1">
        <v>55</v>
      </c>
      <c r="F7" s="1">
        <f>SUM(C7:E7)</f>
        <v>3625</v>
      </c>
    </row>
    <row r="8" spans="1:11">
      <c r="B8" s="1" t="s">
        <v>14</v>
      </c>
      <c r="C8" s="1">
        <v>0</v>
      </c>
      <c r="D8" s="1">
        <v>0</v>
      </c>
      <c r="E8" s="1">
        <v>0</v>
      </c>
      <c r="F8" s="1">
        <f>SUM(C8:E8)</f>
        <v>0</v>
      </c>
    </row>
    <row r="10" spans="1:11">
      <c r="A10" s="2" t="s">
        <v>9</v>
      </c>
      <c r="B10" s="1" t="s">
        <v>4</v>
      </c>
      <c r="C10" s="1">
        <f>+C53</f>
        <v>1893596</v>
      </c>
      <c r="D10" s="1">
        <f t="shared" ref="D10:E10" si="1">+D53</f>
        <v>9069</v>
      </c>
      <c r="E10" s="1">
        <f t="shared" si="1"/>
        <v>23860</v>
      </c>
      <c r="F10" s="1">
        <f>SUM(C10:E10)</f>
        <v>1926525</v>
      </c>
      <c r="H10" s="1" t="s">
        <v>10</v>
      </c>
      <c r="K10" s="1">
        <f>+F6+F10+F16+F22+F27+F32</f>
        <v>9564918.8333333321</v>
      </c>
    </row>
    <row r="11" spans="1:11">
      <c r="B11" s="1" t="s">
        <v>14</v>
      </c>
      <c r="C11" s="1">
        <v>-1892285.5</v>
      </c>
      <c r="D11" s="1">
        <v>-7504.52</v>
      </c>
      <c r="E11" s="1">
        <v>-25665.38</v>
      </c>
      <c r="F11" s="1">
        <f>SUM(C11:E11)</f>
        <v>-1925455.4</v>
      </c>
      <c r="K11" s="1">
        <f>+F13+F19+F24+F29</f>
        <v>133663</v>
      </c>
    </row>
    <row r="12" spans="1:11">
      <c r="K12" s="1">
        <f>+F14+F20+F25+F30</f>
        <v>-208672</v>
      </c>
    </row>
    <row r="13" spans="1:11">
      <c r="A13" s="2" t="s">
        <v>9</v>
      </c>
      <c r="B13" s="1" t="s">
        <v>11</v>
      </c>
      <c r="C13" s="1">
        <v>-46941</v>
      </c>
      <c r="D13" s="1">
        <v>0</v>
      </c>
      <c r="E13" s="1">
        <v>0</v>
      </c>
      <c r="F13" s="1">
        <f>SUM(C13:E13)</f>
        <v>-46941</v>
      </c>
      <c r="K13" s="1">
        <f>+F11+F17+F23+F28+F33</f>
        <v>-9167138.8499999996</v>
      </c>
    </row>
    <row r="14" spans="1:11">
      <c r="A14" s="2" t="s">
        <v>9</v>
      </c>
      <c r="B14" s="1" t="s">
        <v>56</v>
      </c>
      <c r="C14" s="1">
        <v>-2198</v>
      </c>
      <c r="D14" s="1">
        <v>347</v>
      </c>
      <c r="E14" s="1">
        <v>1313</v>
      </c>
      <c r="F14" s="1">
        <f>SUM(C14:E14)</f>
        <v>-538</v>
      </c>
    </row>
    <row r="15" spans="1:11">
      <c r="K15" s="1">
        <f>SUM(K10:K14)</f>
        <v>322770.98333333246</v>
      </c>
    </row>
    <row r="16" spans="1:11">
      <c r="A16" s="2" t="s">
        <v>3</v>
      </c>
      <c r="B16" s="1" t="s">
        <v>4</v>
      </c>
      <c r="C16" s="1">
        <f>+C52+C53</f>
        <v>2412644</v>
      </c>
      <c r="D16" s="1">
        <f t="shared" ref="D16:E16" si="2">+D52+D53</f>
        <v>11215</v>
      </c>
      <c r="E16" s="1">
        <f t="shared" si="2"/>
        <v>30334</v>
      </c>
      <c r="F16" s="1">
        <f>SUM(C16:E16)</f>
        <v>2454193</v>
      </c>
    </row>
    <row r="17" spans="1:13">
      <c r="B17" s="1" t="s">
        <v>14</v>
      </c>
      <c r="C17" s="1">
        <v>-2462174.7200000002</v>
      </c>
      <c r="D17" s="1">
        <v>-10920.14</v>
      </c>
      <c r="E17" s="1">
        <f>-30556.77</f>
        <v>-30556.77</v>
      </c>
      <c r="F17" s="1">
        <f>SUM(C17:E17)</f>
        <v>-2503651.6300000004</v>
      </c>
      <c r="K17" s="1">
        <v>378035</v>
      </c>
    </row>
    <row r="18" spans="1:13">
      <c r="K18" s="1">
        <f>+K17-K15</f>
        <v>55264.016666667536</v>
      </c>
    </row>
    <row r="19" spans="1:13">
      <c r="A19" s="2" t="s">
        <v>3</v>
      </c>
      <c r="B19" s="1" t="s">
        <v>11</v>
      </c>
      <c r="C19" s="1">
        <v>0</v>
      </c>
      <c r="D19" s="1">
        <v>0</v>
      </c>
      <c r="E19" s="1">
        <v>-480</v>
      </c>
      <c r="F19" s="1">
        <f>SUM(C19:E19)</f>
        <v>-480</v>
      </c>
    </row>
    <row r="20" spans="1:13">
      <c r="B20" s="1" t="s">
        <v>56</v>
      </c>
      <c r="C20" s="1">
        <v>-87277</v>
      </c>
      <c r="D20" s="1">
        <v>725</v>
      </c>
      <c r="E20" s="1">
        <v>17754</v>
      </c>
      <c r="F20" s="1">
        <f>SUM(C20:E20)</f>
        <v>-68798</v>
      </c>
    </row>
    <row r="22" spans="1:13">
      <c r="A22" s="2" t="s">
        <v>5</v>
      </c>
      <c r="B22" s="1" t="s">
        <v>4</v>
      </c>
      <c r="C22" s="1">
        <f>+C16/12*3+C10*0.75</f>
        <v>2023358</v>
      </c>
      <c r="D22" s="1">
        <f>+D16/12*3+D10*0.75</f>
        <v>9605.5</v>
      </c>
      <c r="E22" s="1">
        <f>+E16/12*3+E10*0.75</f>
        <v>25478.5</v>
      </c>
      <c r="F22" s="1">
        <f t="shared" ref="F22:F25" si="3">SUM(C22:E22)</f>
        <v>2058442</v>
      </c>
    </row>
    <row r="23" spans="1:13">
      <c r="B23" s="1" t="s">
        <v>14</v>
      </c>
      <c r="C23" s="1">
        <v>-1968733.3</v>
      </c>
      <c r="D23" s="1">
        <v>-9710.32</v>
      </c>
      <c r="E23" s="1">
        <v>-22402.04</v>
      </c>
      <c r="F23" s="1">
        <f t="shared" si="3"/>
        <v>-2000845.6600000001</v>
      </c>
    </row>
    <row r="24" spans="1:13">
      <c r="B24" s="1" t="s">
        <v>11</v>
      </c>
      <c r="C24" s="1">
        <v>0</v>
      </c>
      <c r="D24" s="1">
        <v>0</v>
      </c>
      <c r="E24" s="1">
        <v>0</v>
      </c>
      <c r="F24" s="1">
        <f t="shared" si="3"/>
        <v>0</v>
      </c>
    </row>
    <row r="25" spans="1:13">
      <c r="B25" s="1" t="s">
        <v>56</v>
      </c>
      <c r="C25" s="1">
        <v>-183605</v>
      </c>
      <c r="D25" s="1">
        <v>-743</v>
      </c>
      <c r="E25" s="1">
        <v>16731</v>
      </c>
      <c r="F25" s="1">
        <f t="shared" si="3"/>
        <v>-167617</v>
      </c>
      <c r="J25" s="1">
        <v>519048</v>
      </c>
      <c r="K25" s="1" t="s">
        <v>51</v>
      </c>
    </row>
    <row r="26" spans="1:13">
      <c r="J26" s="1">
        <v>1893596</v>
      </c>
      <c r="K26" s="1" t="s">
        <v>52</v>
      </c>
      <c r="M26" s="1">
        <f>+J26*0.833333333333333</f>
        <v>1577996.666666666</v>
      </c>
    </row>
    <row r="27" spans="1:13">
      <c r="A27" s="2" t="s">
        <v>6</v>
      </c>
      <c r="B27" s="1" t="s">
        <v>4</v>
      </c>
      <c r="C27" s="1">
        <f>+C53*0.25+C56*0.75</f>
        <v>1912263.5</v>
      </c>
      <c r="D27" s="1">
        <f t="shared" ref="D27:E27" si="4">+D53*0.25+D56*0.75</f>
        <v>9330</v>
      </c>
      <c r="E27" s="1">
        <f t="shared" si="4"/>
        <v>25279</v>
      </c>
      <c r="F27" s="1">
        <f t="shared" ref="F27:F30" si="5">SUM(C27:E27)</f>
        <v>1946872.5</v>
      </c>
      <c r="J27" s="1">
        <f>+J26+J25</f>
        <v>2412644</v>
      </c>
      <c r="K27" s="1" t="s">
        <v>53</v>
      </c>
      <c r="M27" s="1">
        <f>+M26+J25</f>
        <v>2097044.666666666</v>
      </c>
    </row>
    <row r="28" spans="1:13">
      <c r="B28" s="1" t="s">
        <v>14</v>
      </c>
      <c r="C28" s="1">
        <v>-1997799.16</v>
      </c>
      <c r="F28" s="1">
        <f t="shared" si="5"/>
        <v>-1997799.16</v>
      </c>
      <c r="J28" s="1">
        <f>+J27*0.833333333333333</f>
        <v>2010536.666666666</v>
      </c>
      <c r="K28" s="1" t="s">
        <v>54</v>
      </c>
    </row>
    <row r="29" spans="1:13">
      <c r="B29" s="1" t="s">
        <v>11</v>
      </c>
      <c r="C29" s="1">
        <v>181084</v>
      </c>
      <c r="D29" s="1">
        <v>0</v>
      </c>
      <c r="F29" s="1">
        <f t="shared" si="5"/>
        <v>181084</v>
      </c>
    </row>
    <row r="30" spans="1:13">
      <c r="B30" s="1" t="s">
        <v>56</v>
      </c>
      <c r="C30" s="1">
        <v>28281</v>
      </c>
      <c r="F30" s="1">
        <f t="shared" si="5"/>
        <v>28281</v>
      </c>
    </row>
    <row r="32" spans="1:13">
      <c r="A32" s="2" t="s">
        <v>7</v>
      </c>
      <c r="B32" s="1" t="s">
        <v>4</v>
      </c>
      <c r="C32" s="1">
        <f>+C56*0.333333333333333</f>
        <v>639495.33333333267</v>
      </c>
      <c r="D32" s="1">
        <f t="shared" ref="D32:E32" si="6">+D56*0.333333333333333</f>
        <v>3138.9999999999968</v>
      </c>
      <c r="E32" s="1">
        <f t="shared" si="6"/>
        <v>8583.9999999999909</v>
      </c>
      <c r="F32" s="1">
        <f t="shared" ref="F32:F33" si="7">SUM(C32:E32)</f>
        <v>651218.33333333267</v>
      </c>
    </row>
    <row r="33" spans="1:6">
      <c r="B33" s="1" t="s">
        <v>14</v>
      </c>
      <c r="C33" s="1">
        <v>-739387</v>
      </c>
      <c r="F33" s="1">
        <f t="shared" si="7"/>
        <v>-739387</v>
      </c>
    </row>
    <row r="36" spans="1:6" ht="13.5" thickBot="1">
      <c r="A36" s="86"/>
      <c r="B36" s="86" t="s">
        <v>12</v>
      </c>
      <c r="C36" s="86">
        <f>SUM('Carrying Charges'!H7:H61)</f>
        <v>124022.6082708335</v>
      </c>
      <c r="D36" s="86"/>
      <c r="E36" s="86"/>
      <c r="F36" s="86">
        <f t="shared" ref="F36" si="8">SUM(C36:E36)</f>
        <v>124022.6082708335</v>
      </c>
    </row>
    <row r="38" spans="1:6" ht="13.5" thickBot="1">
      <c r="A38" s="86"/>
      <c r="B38" s="87" t="s">
        <v>8</v>
      </c>
      <c r="C38" s="87">
        <f>SUM(C6:C37)</f>
        <v>357148.76160416577</v>
      </c>
      <c r="D38" s="87">
        <f>SUM(D6:D37)</f>
        <v>16511.519999999997</v>
      </c>
      <c r="E38" s="87">
        <f>SUM(E6:E37)</f>
        <v>76758.309999999983</v>
      </c>
      <c r="F38" s="87">
        <f t="shared" ref="F38" si="9">SUM(C38:E38)</f>
        <v>450418.59160416579</v>
      </c>
    </row>
    <row r="40" spans="1:6">
      <c r="B40" s="1" t="s">
        <v>120</v>
      </c>
      <c r="C40" s="1">
        <f>+C6+C10+C16+C22+C27+C32</f>
        <v>9400404.8333333321</v>
      </c>
      <c r="D40" s="1">
        <f>+D6+D10+D16+D22+D27+D32</f>
        <v>44504.5</v>
      </c>
      <c r="E40" s="1">
        <f>+E6+E10+E16+E22+E27+E32</f>
        <v>120009.49999999999</v>
      </c>
      <c r="F40" s="1">
        <f>+F6+F10+F16+F22+F27+F32</f>
        <v>9564918.8333333321</v>
      </c>
    </row>
    <row r="41" spans="1:6">
      <c r="B41" s="1" t="s">
        <v>121</v>
      </c>
      <c r="C41" s="1">
        <f>+C7+C13+C14+C19+C20+C24+C25+C29+C30</f>
        <v>-106899</v>
      </c>
      <c r="D41" s="1">
        <f>+D7+D13+D14+D19+D20+D24+D25+D29+D30</f>
        <v>142</v>
      </c>
      <c r="E41" s="1">
        <f>+E7+E13+E14+E19+E20+E24+E25+E29+E30</f>
        <v>35373</v>
      </c>
      <c r="F41" s="1">
        <f>+F7+F13+F14+F19+F20+F24+F25+F29+F30</f>
        <v>-71384</v>
      </c>
    </row>
    <row r="42" spans="1:6">
      <c r="B42" s="1" t="s">
        <v>122</v>
      </c>
      <c r="C42" s="1">
        <f>+C8+C11+C17+C23+C28+C33</f>
        <v>-9060379.6799999997</v>
      </c>
      <c r="D42" s="1">
        <f>+D8+D11+D17+D23+D28+D33</f>
        <v>-28134.98</v>
      </c>
      <c r="E42" s="1">
        <f>+E8+E11+E17+E23+E28+E33</f>
        <v>-78624.19</v>
      </c>
      <c r="F42" s="1">
        <f>+F8+F11+F17+F23+F28+F33</f>
        <v>-9167138.8499999996</v>
      </c>
    </row>
    <row r="43" spans="1:6" ht="13.5" thickBot="1">
      <c r="A43" s="86"/>
      <c r="B43" s="86" t="s">
        <v>28</v>
      </c>
      <c r="C43" s="86">
        <f>+C36</f>
        <v>124022.6082708335</v>
      </c>
      <c r="D43" s="86">
        <f>+D36</f>
        <v>0</v>
      </c>
      <c r="E43" s="86">
        <f>+E36</f>
        <v>0</v>
      </c>
      <c r="F43" s="86">
        <f>+F36</f>
        <v>124022.6082708335</v>
      </c>
    </row>
    <row r="45" spans="1:6" ht="13.5" thickBot="1">
      <c r="A45" s="86"/>
      <c r="B45" s="87" t="s">
        <v>8</v>
      </c>
      <c r="C45" s="87">
        <f>SUM(C40:C44)</f>
        <v>357148.76160416589</v>
      </c>
      <c r="D45" s="87">
        <f>SUM(D40:D44)</f>
        <v>16511.52</v>
      </c>
      <c r="E45" s="87">
        <f>SUM(E40:E44)</f>
        <v>76758.31</v>
      </c>
      <c r="F45" s="87">
        <f>SUM(F40:F44)</f>
        <v>450418.59160416597</v>
      </c>
    </row>
    <row r="50" spans="2:9">
      <c r="C50" s="1" t="s">
        <v>0</v>
      </c>
      <c r="D50" s="1" t="s">
        <v>1</v>
      </c>
      <c r="E50" s="1" t="s">
        <v>2</v>
      </c>
    </row>
    <row r="51" spans="2:9">
      <c r="B51" s="1" t="s">
        <v>55</v>
      </c>
    </row>
    <row r="52" spans="2:9">
      <c r="B52" s="33">
        <v>2001</v>
      </c>
      <c r="C52" s="1">
        <v>519048</v>
      </c>
      <c r="D52" s="1">
        <v>2146</v>
      </c>
      <c r="E52" s="1">
        <v>6474</v>
      </c>
      <c r="F52" s="1">
        <f>SUM(C52:E52)</f>
        <v>527668</v>
      </c>
    </row>
    <row r="53" spans="2:9">
      <c r="B53" s="33">
        <f>+B52+1</f>
        <v>2002</v>
      </c>
      <c r="C53" s="1">
        <v>1893596</v>
      </c>
      <c r="D53" s="1">
        <v>9069</v>
      </c>
      <c r="E53" s="1">
        <v>23860</v>
      </c>
      <c r="F53" s="1">
        <f>SUM(C53:E53)</f>
        <v>1926525</v>
      </c>
    </row>
    <row r="54" spans="2:9">
      <c r="B54" s="33">
        <f>+B53+1</f>
        <v>2003</v>
      </c>
      <c r="C54" s="1">
        <v>0</v>
      </c>
      <c r="D54" s="1">
        <v>0</v>
      </c>
      <c r="E54" s="1">
        <v>0</v>
      </c>
      <c r="F54" s="1">
        <f>SUM(C54:E54)</f>
        <v>0</v>
      </c>
    </row>
    <row r="55" spans="2:9">
      <c r="B55" s="33">
        <f>+B54+1</f>
        <v>2004</v>
      </c>
      <c r="C55" s="1">
        <v>0</v>
      </c>
      <c r="D55" s="1">
        <v>0</v>
      </c>
      <c r="E55" s="1">
        <v>0</v>
      </c>
      <c r="F55" s="1">
        <f>SUM(C55:E55)</f>
        <v>0</v>
      </c>
    </row>
    <row r="56" spans="2:9">
      <c r="B56" s="33">
        <f>+B55+1</f>
        <v>2005</v>
      </c>
      <c r="C56" s="1">
        <v>1918486</v>
      </c>
      <c r="D56" s="1">
        <v>9417</v>
      </c>
      <c r="E56" s="1">
        <v>25752</v>
      </c>
      <c r="F56" s="1">
        <f>SUM(C56:E56)</f>
        <v>1953655</v>
      </c>
    </row>
    <row r="60" spans="2:9">
      <c r="B60" s="1" t="s">
        <v>60</v>
      </c>
    </row>
    <row r="61" spans="2:9">
      <c r="C61" s="1" t="s">
        <v>0</v>
      </c>
      <c r="D61" s="1" t="s">
        <v>1</v>
      </c>
      <c r="E61" s="1" t="s">
        <v>2</v>
      </c>
    </row>
    <row r="62" spans="2:9">
      <c r="B62" s="1" t="s">
        <v>55</v>
      </c>
    </row>
    <row r="63" spans="2:9">
      <c r="B63" s="33">
        <v>2001</v>
      </c>
      <c r="C63" s="1">
        <f t="shared" ref="C63:E64" si="10">+C52</f>
        <v>519048</v>
      </c>
      <c r="D63" s="1">
        <f t="shared" si="10"/>
        <v>2146</v>
      </c>
      <c r="E63" s="1">
        <f t="shared" si="10"/>
        <v>6474</v>
      </c>
      <c r="F63" s="1">
        <f>SUM(C63:E63)</f>
        <v>527668</v>
      </c>
      <c r="I63" s="1">
        <f>+F63</f>
        <v>527668</v>
      </c>
    </row>
    <row r="64" spans="2:9">
      <c r="B64" s="33">
        <f>+B63+1</f>
        <v>2002</v>
      </c>
      <c r="C64" s="1">
        <f t="shared" si="10"/>
        <v>1893596</v>
      </c>
      <c r="D64" s="1">
        <f t="shared" si="10"/>
        <v>9069</v>
      </c>
      <c r="E64" s="1">
        <f t="shared" si="10"/>
        <v>23860</v>
      </c>
      <c r="F64" s="1">
        <f>SUM(C64:E64)</f>
        <v>1926525</v>
      </c>
      <c r="I64" s="1">
        <f>+F64</f>
        <v>1926525</v>
      </c>
    </row>
    <row r="65" spans="2:9">
      <c r="B65" s="33">
        <f>+B64+1</f>
        <v>2003</v>
      </c>
      <c r="C65" s="1">
        <f>+C64+C63</f>
        <v>2412644</v>
      </c>
      <c r="D65" s="1">
        <f>+D64+D63</f>
        <v>11215</v>
      </c>
      <c r="E65" s="1">
        <f>+E64+E63</f>
        <v>30334</v>
      </c>
      <c r="F65" s="1">
        <f>SUM(C65:E65)</f>
        <v>2454193</v>
      </c>
      <c r="I65" s="1">
        <f>+F65</f>
        <v>2454193</v>
      </c>
    </row>
    <row r="66" spans="2:9">
      <c r="B66" s="33">
        <f>+B65+1</f>
        <v>2004</v>
      </c>
      <c r="C66" s="1">
        <f>+C65/12*3+C64*0.75</f>
        <v>2023358</v>
      </c>
      <c r="D66" s="1">
        <f>+D65/12*3+D64*0.75</f>
        <v>9605.5</v>
      </c>
      <c r="E66" s="1">
        <f>+E65/12*3+E64*0.75</f>
        <v>25478.5</v>
      </c>
      <c r="F66" s="1">
        <f>SUM(C66:E66)</f>
        <v>2058442</v>
      </c>
      <c r="I66" s="1">
        <f>+F66</f>
        <v>2058442</v>
      </c>
    </row>
    <row r="67" spans="2:9">
      <c r="B67" s="33">
        <f>+B66+1</f>
        <v>2005</v>
      </c>
      <c r="C67" s="1">
        <v>1918486</v>
      </c>
      <c r="D67" s="1">
        <f>+D56</f>
        <v>9417</v>
      </c>
      <c r="E67" s="1">
        <f>+E56</f>
        <v>25752</v>
      </c>
      <c r="F67" s="1">
        <f>SUM(C67:E67)</f>
        <v>1953655</v>
      </c>
      <c r="G67" s="1">
        <f>+F67*0.75</f>
        <v>1465241.25</v>
      </c>
      <c r="I67" s="1">
        <f>+G67</f>
        <v>1465241.25</v>
      </c>
    </row>
    <row r="68" spans="2:9">
      <c r="F68" s="1">
        <f>+F67/12*4</f>
        <v>651218.33333333337</v>
      </c>
      <c r="G68" s="1">
        <f>+F67*0.333333333333333</f>
        <v>651218.33333333267</v>
      </c>
      <c r="I68" s="1">
        <f>+G68</f>
        <v>651218.33333333267</v>
      </c>
    </row>
    <row r="70" spans="2:9">
      <c r="F70" s="1">
        <f>SUM(F63:F68)</f>
        <v>9571701.333333334</v>
      </c>
      <c r="I70" s="1">
        <f>SUM(I63:I69)</f>
        <v>9083287.5833333321</v>
      </c>
    </row>
  </sheetData>
  <mergeCells count="1">
    <mergeCell ref="A3:F3"/>
  </mergeCells>
  <pageMargins left="0.7" right="0.7" top="0.75" bottom="0.75" header="0.3" footer="0.3"/>
  <pageSetup orientation="portrait" r:id="rId1"/>
  <headerFooter>
    <oddFooter>&amp;L&amp;8&amp;Z&amp;F</oddFooter>
  </headerFooter>
  <ignoredErrors>
    <ignoredError sqref="A32 A27 A22 A19 A16 A13:A14 A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54"/>
  <sheetViews>
    <sheetView showGridLines="0" workbookViewId="0">
      <pane ySplit="5" topLeftCell="A129" activePane="bottomLeft" state="frozen"/>
      <selection pane="bottomLeft" activeCell="H58" sqref="H58:H61"/>
    </sheetView>
  </sheetViews>
  <sheetFormatPr defaultRowHeight="15"/>
  <cols>
    <col min="1" max="1" width="9.7109375" bestFit="1" customWidth="1"/>
    <col min="2" max="8" width="12.7109375" customWidth="1"/>
    <col min="11" max="14" width="12.7109375" customWidth="1"/>
  </cols>
  <sheetData>
    <row r="2" spans="1:15" ht="15.75" thickBot="1">
      <c r="A2" s="12"/>
      <c r="B2" s="12"/>
      <c r="C2" s="12"/>
      <c r="D2" s="12"/>
      <c r="E2" s="12"/>
      <c r="F2" s="12"/>
      <c r="G2" s="12"/>
      <c r="H2" s="12"/>
    </row>
    <row r="3" spans="1:15">
      <c r="A3" s="90" t="s">
        <v>29</v>
      </c>
      <c r="B3" s="90"/>
      <c r="C3" s="90"/>
      <c r="D3" s="90"/>
      <c r="E3" s="90"/>
      <c r="F3" s="90"/>
      <c r="G3" s="90"/>
      <c r="H3" s="90"/>
    </row>
    <row r="4" spans="1:15" ht="15.75" thickBot="1">
      <c r="A4" s="91" t="s">
        <v>30</v>
      </c>
      <c r="B4" s="91"/>
      <c r="C4" s="91"/>
      <c r="D4" s="91"/>
      <c r="E4" s="91"/>
      <c r="F4" s="91"/>
      <c r="G4" s="91"/>
      <c r="H4" s="91"/>
    </row>
    <row r="5" spans="1:15" ht="30.75" thickBot="1">
      <c r="A5" s="15"/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</row>
    <row r="6" spans="1:15" ht="15.75" thickBot="1">
      <c r="C6" s="36"/>
      <c r="K6" s="12"/>
      <c r="L6" s="12"/>
      <c r="M6" s="12"/>
      <c r="N6" s="12"/>
    </row>
    <row r="7" spans="1:15">
      <c r="A7" s="3">
        <v>37165</v>
      </c>
      <c r="B7" s="6">
        <v>0</v>
      </c>
      <c r="C7" s="37"/>
      <c r="D7" s="6"/>
      <c r="E7" s="6"/>
      <c r="F7" s="6">
        <f>SUM(B7:E7)</f>
        <v>0</v>
      </c>
      <c r="G7" s="4">
        <v>7.2499999999999995E-2</v>
      </c>
      <c r="H7" s="6">
        <f>B7*G7/12</f>
        <v>0</v>
      </c>
      <c r="K7" s="13" t="s">
        <v>23</v>
      </c>
      <c r="L7" s="13"/>
      <c r="M7" s="13"/>
      <c r="N7" s="13"/>
    </row>
    <row r="8" spans="1:15" ht="15.75" thickBot="1">
      <c r="A8" s="3">
        <v>37196</v>
      </c>
      <c r="B8" s="6">
        <f>F7</f>
        <v>0</v>
      </c>
      <c r="C8" s="37">
        <f>+C7</f>
        <v>0</v>
      </c>
      <c r="D8" s="6"/>
      <c r="E8" s="6"/>
      <c r="F8" s="6">
        <f t="shared" ref="F8:F71" si="0">SUM(B8:E8)</f>
        <v>0</v>
      </c>
      <c r="G8" s="4">
        <v>7.2499999999999995E-2</v>
      </c>
      <c r="H8" s="6">
        <f t="shared" ref="H8:H71" si="1">B8*G8/12</f>
        <v>0</v>
      </c>
      <c r="K8" s="14" t="s">
        <v>0</v>
      </c>
      <c r="L8" s="14" t="s">
        <v>1</v>
      </c>
      <c r="M8" s="14" t="s">
        <v>2</v>
      </c>
      <c r="N8" s="14" t="s">
        <v>8</v>
      </c>
    </row>
    <row r="9" spans="1:15">
      <c r="A9" s="3">
        <v>37226</v>
      </c>
      <c r="B9" s="6">
        <f t="shared" ref="B9:B72" si="2">F8</f>
        <v>0</v>
      </c>
      <c r="C9" s="37">
        <f>+C8</f>
        <v>0</v>
      </c>
      <c r="D9" s="6"/>
      <c r="E9" s="6"/>
      <c r="F9" s="6">
        <f t="shared" si="0"/>
        <v>0</v>
      </c>
      <c r="G9" s="4">
        <v>7.2499999999999995E-2</v>
      </c>
      <c r="H9" s="6">
        <f t="shared" si="1"/>
        <v>0</v>
      </c>
      <c r="J9">
        <v>2001</v>
      </c>
      <c r="K9" s="6">
        <f>+'Revised IRM Balance'!C6</f>
        <v>519048</v>
      </c>
      <c r="L9" s="6">
        <f>+'Revised IRM Balance'!D6</f>
        <v>2146</v>
      </c>
      <c r="M9" s="6">
        <f>+'Revised IRM Balance'!E6</f>
        <v>6474</v>
      </c>
      <c r="N9" s="35">
        <f>+'Revised IRM Balance'!F63</f>
        <v>527668</v>
      </c>
      <c r="O9" t="s">
        <v>57</v>
      </c>
    </row>
    <row r="10" spans="1:15">
      <c r="A10" s="3">
        <v>37257</v>
      </c>
      <c r="B10" s="6">
        <f>+N9</f>
        <v>527668</v>
      </c>
      <c r="C10" s="37">
        <f>+N10/12</f>
        <v>160543.75</v>
      </c>
      <c r="D10" s="6"/>
      <c r="E10" s="6"/>
      <c r="F10" s="6">
        <f t="shared" si="0"/>
        <v>688211.75</v>
      </c>
      <c r="G10" s="4">
        <v>7.2499999999999995E-2</v>
      </c>
      <c r="H10" s="6">
        <f t="shared" si="1"/>
        <v>3187.9941666666668</v>
      </c>
      <c r="J10">
        <v>2002</v>
      </c>
      <c r="K10" s="6">
        <f>+'Revised IRM Balance'!C10</f>
        <v>1893596</v>
      </c>
      <c r="L10" s="6">
        <f>+'Revised IRM Balance'!D10</f>
        <v>9069</v>
      </c>
      <c r="M10" s="6">
        <f>+'Revised IRM Balance'!E10</f>
        <v>23860</v>
      </c>
      <c r="N10" s="35">
        <f>+'Revised IRM Balance'!F64</f>
        <v>1926525</v>
      </c>
      <c r="O10" t="s">
        <v>58</v>
      </c>
    </row>
    <row r="11" spans="1:15">
      <c r="A11" s="3">
        <v>37288</v>
      </c>
      <c r="B11" s="6">
        <f t="shared" si="2"/>
        <v>688211.75</v>
      </c>
      <c r="C11" s="37">
        <f t="shared" ref="C11:C21" si="3">+C10</f>
        <v>160543.75</v>
      </c>
      <c r="D11" s="6"/>
      <c r="E11" s="6"/>
      <c r="F11" s="6">
        <f t="shared" si="0"/>
        <v>848755.5</v>
      </c>
      <c r="G11" s="4">
        <v>7.2499999999999995E-2</v>
      </c>
      <c r="H11" s="6">
        <f t="shared" si="1"/>
        <v>4157.9459895833324</v>
      </c>
      <c r="J11">
        <v>2003</v>
      </c>
      <c r="K11" s="6">
        <f>+'Revised IRM Balance'!C16</f>
        <v>2412644</v>
      </c>
      <c r="L11" s="6">
        <f>+'Revised IRM Balance'!D16</f>
        <v>11215</v>
      </c>
      <c r="M11" s="6">
        <f>+'Revised IRM Balance'!E16</f>
        <v>30334</v>
      </c>
      <c r="N11" s="35">
        <f>+'Revised IRM Balance'!F65</f>
        <v>2454193</v>
      </c>
      <c r="O11" t="s">
        <v>58</v>
      </c>
    </row>
    <row r="12" spans="1:15">
      <c r="A12" s="3">
        <v>37316</v>
      </c>
      <c r="B12" s="6">
        <f t="shared" si="2"/>
        <v>848755.5</v>
      </c>
      <c r="C12" s="37">
        <f t="shared" si="3"/>
        <v>160543.75</v>
      </c>
      <c r="D12" s="6">
        <v>-151141</v>
      </c>
      <c r="E12" s="6"/>
      <c r="F12" s="6">
        <f t="shared" si="0"/>
        <v>858158.25</v>
      </c>
      <c r="G12" s="4">
        <v>7.2499999999999995E-2</v>
      </c>
      <c r="H12" s="6">
        <f t="shared" si="1"/>
        <v>5127.8978124999994</v>
      </c>
      <c r="J12">
        <v>2004</v>
      </c>
      <c r="K12" s="6">
        <f>+'Revised IRM Balance'!C22</f>
        <v>2023358</v>
      </c>
      <c r="L12" s="6">
        <f>+'Revised IRM Balance'!D22</f>
        <v>9605.5</v>
      </c>
      <c r="M12" s="6">
        <f>+'Revised IRM Balance'!E22</f>
        <v>25478.5</v>
      </c>
      <c r="N12" s="35">
        <f>+'Revised IRM Balance'!F66</f>
        <v>2058442</v>
      </c>
      <c r="O12" t="s">
        <v>58</v>
      </c>
    </row>
    <row r="13" spans="1:15">
      <c r="A13" s="3">
        <v>37347</v>
      </c>
      <c r="B13" s="6">
        <f t="shared" si="2"/>
        <v>858158.25</v>
      </c>
      <c r="C13" s="37">
        <f t="shared" si="3"/>
        <v>160543.75</v>
      </c>
      <c r="D13" s="6">
        <v>-206672</v>
      </c>
      <c r="E13" s="6"/>
      <c r="F13" s="6">
        <f t="shared" si="0"/>
        <v>812030</v>
      </c>
      <c r="G13" s="4">
        <v>7.2499999999999995E-2</v>
      </c>
      <c r="H13" s="6">
        <f t="shared" si="1"/>
        <v>5184.70609375</v>
      </c>
      <c r="J13">
        <v>2005</v>
      </c>
      <c r="K13" s="6">
        <f>+'Revised IRM Balance'!C27</f>
        <v>1912263.5</v>
      </c>
      <c r="L13" s="6">
        <f>+'Revised IRM Balance'!D27</f>
        <v>9330</v>
      </c>
      <c r="M13" s="6">
        <f>+'Revised IRM Balance'!E27</f>
        <v>25279</v>
      </c>
      <c r="N13" s="35">
        <f>+'Revised IRM Balance'!F27</f>
        <v>1946872.5</v>
      </c>
      <c r="O13" t="s">
        <v>59</v>
      </c>
    </row>
    <row r="14" spans="1:15">
      <c r="A14" s="3">
        <v>37377</v>
      </c>
      <c r="B14" s="6">
        <f t="shared" si="2"/>
        <v>812030</v>
      </c>
      <c r="C14" s="37">
        <f t="shared" si="3"/>
        <v>160543.75</v>
      </c>
      <c r="D14" s="6">
        <v>-140038</v>
      </c>
      <c r="E14" s="6"/>
      <c r="F14" s="6">
        <f t="shared" si="0"/>
        <v>832535.75</v>
      </c>
      <c r="G14" s="4">
        <v>7.2499999999999995E-2</v>
      </c>
      <c r="H14" s="6">
        <f t="shared" si="1"/>
        <v>4906.0145833333327</v>
      </c>
      <c r="J14">
        <v>2006</v>
      </c>
      <c r="K14" s="34">
        <f>+'Revised IRM Balance'!C32</f>
        <v>639495.33333333267</v>
      </c>
      <c r="L14" s="34">
        <f>+'Revised IRM Balance'!D32</f>
        <v>3138.9999999999968</v>
      </c>
      <c r="M14" s="34">
        <f>+'Revised IRM Balance'!E32</f>
        <v>8583.9999999999909</v>
      </c>
      <c r="N14" s="6">
        <f>SUM(K14:M14)</f>
        <v>651218.33333333267</v>
      </c>
    </row>
    <row r="15" spans="1:15">
      <c r="A15" s="3">
        <v>37408</v>
      </c>
      <c r="B15" s="6">
        <f t="shared" si="2"/>
        <v>832535.75</v>
      </c>
      <c r="C15" s="37">
        <f t="shared" si="3"/>
        <v>160543.75</v>
      </c>
      <c r="D15" s="6">
        <v>-186103</v>
      </c>
      <c r="E15" s="6">
        <f>SUM('Revised IRM Balance'!F13:F14)+'Revised IRM Balance'!F7</f>
        <v>-43854</v>
      </c>
      <c r="F15" s="6">
        <f t="shared" si="0"/>
        <v>763122.5</v>
      </c>
      <c r="G15" s="4">
        <v>7.2499999999999995E-2</v>
      </c>
      <c r="H15" s="6">
        <f t="shared" si="1"/>
        <v>5029.9034895833329</v>
      </c>
      <c r="N15" s="7">
        <f>SUM(N9:N14)</f>
        <v>9564918.8333333321</v>
      </c>
    </row>
    <row r="16" spans="1:15">
      <c r="A16" s="3">
        <v>37438</v>
      </c>
      <c r="B16" s="6">
        <f t="shared" si="2"/>
        <v>763122.5</v>
      </c>
      <c r="C16" s="37">
        <f t="shared" si="3"/>
        <v>160543.75</v>
      </c>
      <c r="D16" s="6">
        <v>-200417</v>
      </c>
      <c r="E16" s="6"/>
      <c r="F16" s="6">
        <f t="shared" si="0"/>
        <v>723249.25</v>
      </c>
      <c r="G16" s="4">
        <v>7.2499999999999995E-2</v>
      </c>
      <c r="H16" s="6">
        <f t="shared" si="1"/>
        <v>4610.5317708333332</v>
      </c>
    </row>
    <row r="17" spans="1:11">
      <c r="A17" s="3">
        <v>37469</v>
      </c>
      <c r="B17" s="6">
        <f t="shared" si="2"/>
        <v>723249.25</v>
      </c>
      <c r="C17" s="37">
        <f t="shared" si="3"/>
        <v>160543.75</v>
      </c>
      <c r="D17" s="6">
        <v>-211488</v>
      </c>
      <c r="E17" s="6"/>
      <c r="F17" s="6">
        <f t="shared" si="0"/>
        <v>672305</v>
      </c>
      <c r="G17" s="4">
        <v>7.2499999999999995E-2</v>
      </c>
      <c r="H17" s="6">
        <f t="shared" si="1"/>
        <v>4369.6308854166664</v>
      </c>
      <c r="J17" t="s">
        <v>24</v>
      </c>
    </row>
    <row r="18" spans="1:11">
      <c r="A18" s="3">
        <v>37500</v>
      </c>
      <c r="B18" s="6">
        <f t="shared" si="2"/>
        <v>672305</v>
      </c>
      <c r="C18" s="37">
        <f t="shared" si="3"/>
        <v>160543.75</v>
      </c>
      <c r="D18" s="6">
        <v>-208471</v>
      </c>
      <c r="E18" s="6"/>
      <c r="F18" s="6">
        <f t="shared" si="0"/>
        <v>624377.75</v>
      </c>
      <c r="G18" s="4">
        <v>7.2499999999999995E-2</v>
      </c>
      <c r="H18" s="6">
        <f t="shared" si="1"/>
        <v>4061.8427083333331</v>
      </c>
      <c r="J18" t="s">
        <v>25</v>
      </c>
    </row>
    <row r="19" spans="1:11">
      <c r="A19" s="3">
        <v>37530</v>
      </c>
      <c r="B19" s="6">
        <f t="shared" si="2"/>
        <v>624377.75</v>
      </c>
      <c r="C19" s="37">
        <f t="shared" si="3"/>
        <v>160543.75</v>
      </c>
      <c r="D19" s="6">
        <v>-212635</v>
      </c>
      <c r="E19" s="6"/>
      <c r="F19" s="6">
        <f t="shared" si="0"/>
        <v>572286.5</v>
      </c>
      <c r="G19" s="4">
        <v>7.2499999999999995E-2</v>
      </c>
      <c r="H19" s="6">
        <f t="shared" si="1"/>
        <v>3772.2822395833332</v>
      </c>
    </row>
    <row r="20" spans="1:11">
      <c r="A20" s="3">
        <v>37561</v>
      </c>
      <c r="B20" s="6">
        <f t="shared" si="2"/>
        <v>572286.5</v>
      </c>
      <c r="C20" s="37">
        <f t="shared" si="3"/>
        <v>160543.75</v>
      </c>
      <c r="D20" s="6">
        <v>-221964</v>
      </c>
      <c r="E20" s="6"/>
      <c r="F20" s="6">
        <f t="shared" si="0"/>
        <v>510866.25</v>
      </c>
      <c r="G20" s="4">
        <v>7.2499999999999995E-2</v>
      </c>
      <c r="H20" s="6">
        <f t="shared" si="1"/>
        <v>3457.564270833333</v>
      </c>
    </row>
    <row r="21" spans="1:11">
      <c r="A21" s="3">
        <v>37591</v>
      </c>
      <c r="B21" s="6">
        <f t="shared" si="2"/>
        <v>510866.25</v>
      </c>
      <c r="C21" s="37">
        <f t="shared" si="3"/>
        <v>160543.75</v>
      </c>
      <c r="D21" s="6">
        <v>-186525</v>
      </c>
      <c r="E21" s="6"/>
      <c r="F21" s="6">
        <f t="shared" si="0"/>
        <v>484885</v>
      </c>
      <c r="G21" s="4">
        <v>7.2499999999999995E-2</v>
      </c>
      <c r="H21" s="6">
        <f t="shared" si="1"/>
        <v>3086.4835937499997</v>
      </c>
      <c r="K21" s="7"/>
    </row>
    <row r="22" spans="1:11">
      <c r="A22" s="3">
        <v>37622</v>
      </c>
      <c r="B22" s="6">
        <f t="shared" si="2"/>
        <v>484885</v>
      </c>
      <c r="C22" s="37">
        <f>+N11/12</f>
        <v>204516.08333333334</v>
      </c>
      <c r="D22" s="6">
        <v>-262379</v>
      </c>
      <c r="E22" s="6"/>
      <c r="F22" s="6">
        <f t="shared" si="0"/>
        <v>427022.08333333337</v>
      </c>
      <c r="G22" s="4">
        <v>7.2499999999999995E-2</v>
      </c>
      <c r="H22" s="6">
        <f t="shared" si="1"/>
        <v>2929.5135416666667</v>
      </c>
    </row>
    <row r="23" spans="1:11">
      <c r="A23" s="3">
        <v>37653</v>
      </c>
      <c r="B23" s="6">
        <f t="shared" si="2"/>
        <v>427022.08333333337</v>
      </c>
      <c r="C23" s="37">
        <f t="shared" ref="C23:C33" si="4">+C22</f>
        <v>204516.08333333334</v>
      </c>
      <c r="D23" s="6">
        <v>-201939</v>
      </c>
      <c r="E23" s="6"/>
      <c r="F23" s="6">
        <f t="shared" si="0"/>
        <v>429599.16666666674</v>
      </c>
      <c r="G23" s="4">
        <v>7.2499999999999995E-2</v>
      </c>
      <c r="H23" s="6">
        <f t="shared" si="1"/>
        <v>2579.9250868055556</v>
      </c>
    </row>
    <row r="24" spans="1:11">
      <c r="A24" s="3">
        <v>37681</v>
      </c>
      <c r="B24" s="6">
        <f t="shared" si="2"/>
        <v>429599.16666666674</v>
      </c>
      <c r="C24" s="37">
        <f t="shared" si="4"/>
        <v>204516.08333333334</v>
      </c>
      <c r="D24" s="6">
        <v>-212915</v>
      </c>
      <c r="E24" s="6"/>
      <c r="F24" s="6">
        <f t="shared" si="0"/>
        <v>421200.25000000012</v>
      </c>
      <c r="G24" s="4">
        <v>7.2499999999999995E-2</v>
      </c>
      <c r="H24" s="6">
        <f t="shared" si="1"/>
        <v>2595.4949652777782</v>
      </c>
    </row>
    <row r="25" spans="1:11">
      <c r="A25" s="3">
        <v>37712</v>
      </c>
      <c r="B25" s="6">
        <f t="shared" si="2"/>
        <v>421200.25000000012</v>
      </c>
      <c r="C25" s="37">
        <f t="shared" si="4"/>
        <v>204516.08333333334</v>
      </c>
      <c r="D25" s="6">
        <v>-213848</v>
      </c>
      <c r="E25" s="6"/>
      <c r="F25" s="6">
        <f t="shared" si="0"/>
        <v>411868.33333333349</v>
      </c>
      <c r="G25" s="4">
        <v>7.2499999999999995E-2</v>
      </c>
      <c r="H25" s="6">
        <f t="shared" si="1"/>
        <v>2544.7515104166673</v>
      </c>
    </row>
    <row r="26" spans="1:11">
      <c r="A26" s="3">
        <v>37742</v>
      </c>
      <c r="B26" s="6">
        <f t="shared" si="2"/>
        <v>411868.33333333349</v>
      </c>
      <c r="C26" s="37">
        <f t="shared" si="4"/>
        <v>204516.08333333334</v>
      </c>
      <c r="D26" s="6">
        <v>-216770</v>
      </c>
      <c r="E26" s="6"/>
      <c r="F26" s="6">
        <f t="shared" si="0"/>
        <v>399614.41666666686</v>
      </c>
      <c r="G26" s="4">
        <v>7.2499999999999995E-2</v>
      </c>
      <c r="H26" s="6">
        <f t="shared" si="1"/>
        <v>2488.3711805555563</v>
      </c>
    </row>
    <row r="27" spans="1:11">
      <c r="A27" s="3">
        <v>37773</v>
      </c>
      <c r="B27" s="6">
        <f t="shared" si="2"/>
        <v>399614.41666666686</v>
      </c>
      <c r="C27" s="37">
        <f t="shared" si="4"/>
        <v>204516.08333333334</v>
      </c>
      <c r="D27" s="6">
        <v>-196238</v>
      </c>
      <c r="E27" s="6">
        <f>SUM('Revised IRM Balance'!F19:F20)</f>
        <v>-69278</v>
      </c>
      <c r="F27" s="6">
        <f t="shared" si="0"/>
        <v>338614.50000000023</v>
      </c>
      <c r="G27" s="4">
        <v>7.2499999999999995E-2</v>
      </c>
      <c r="H27" s="6">
        <f t="shared" si="1"/>
        <v>2414.3371006944453</v>
      </c>
    </row>
    <row r="28" spans="1:11">
      <c r="A28" s="3">
        <v>37803</v>
      </c>
      <c r="B28" s="6">
        <f t="shared" si="2"/>
        <v>338614.50000000023</v>
      </c>
      <c r="C28" s="37">
        <f t="shared" si="4"/>
        <v>204516.08333333334</v>
      </c>
      <c r="D28" s="6">
        <v>-200502</v>
      </c>
      <c r="E28" s="6"/>
      <c r="F28" s="6">
        <f t="shared" si="0"/>
        <v>342628.5833333336</v>
      </c>
      <c r="G28" s="4">
        <v>7.2499999999999995E-2</v>
      </c>
      <c r="H28" s="6">
        <f t="shared" si="1"/>
        <v>2045.7959375000012</v>
      </c>
    </row>
    <row r="29" spans="1:11">
      <c r="A29" s="3">
        <v>37834</v>
      </c>
      <c r="B29" s="6">
        <f t="shared" si="2"/>
        <v>342628.5833333336</v>
      </c>
      <c r="C29" s="37">
        <f t="shared" si="4"/>
        <v>204516.08333333334</v>
      </c>
      <c r="D29" s="6">
        <v>-196245</v>
      </c>
      <c r="E29" s="6"/>
      <c r="F29" s="6">
        <f t="shared" si="0"/>
        <v>350899.66666666698</v>
      </c>
      <c r="G29" s="4">
        <v>7.2499999999999995E-2</v>
      </c>
      <c r="H29" s="6">
        <f t="shared" si="1"/>
        <v>2070.0476909722238</v>
      </c>
    </row>
    <row r="30" spans="1:11">
      <c r="A30" s="3">
        <v>37865</v>
      </c>
      <c r="B30" s="6">
        <f t="shared" si="2"/>
        <v>350899.66666666698</v>
      </c>
      <c r="C30" s="37">
        <f t="shared" si="4"/>
        <v>204516.08333333334</v>
      </c>
      <c r="D30" s="6">
        <v>-201182</v>
      </c>
      <c r="E30" s="6"/>
      <c r="F30" s="6">
        <f t="shared" si="0"/>
        <v>354233.75000000035</v>
      </c>
      <c r="G30" s="4">
        <v>7.2499999999999995E-2</v>
      </c>
      <c r="H30" s="6">
        <f t="shared" si="1"/>
        <v>2120.0188194444463</v>
      </c>
    </row>
    <row r="31" spans="1:11">
      <c r="A31" s="3">
        <v>37895</v>
      </c>
      <c r="B31" s="6">
        <f t="shared" si="2"/>
        <v>354233.75000000035</v>
      </c>
      <c r="C31" s="37">
        <f t="shared" si="4"/>
        <v>204516.08333333334</v>
      </c>
      <c r="D31" s="6">
        <v>-203053</v>
      </c>
      <c r="E31" s="6"/>
      <c r="F31" s="6">
        <f t="shared" si="0"/>
        <v>355696.83333333372</v>
      </c>
      <c r="G31" s="4">
        <v>7.2499999999999995E-2</v>
      </c>
      <c r="H31" s="6">
        <f t="shared" si="1"/>
        <v>2140.1622395833351</v>
      </c>
    </row>
    <row r="32" spans="1:11">
      <c r="A32" s="3">
        <v>37926</v>
      </c>
      <c r="B32" s="6">
        <f t="shared" si="2"/>
        <v>355696.83333333372</v>
      </c>
      <c r="C32" s="37">
        <f t="shared" si="4"/>
        <v>204516.08333333334</v>
      </c>
      <c r="D32" s="6">
        <v>-193104</v>
      </c>
      <c r="E32" s="6"/>
      <c r="F32" s="6">
        <f t="shared" si="0"/>
        <v>367108.91666666709</v>
      </c>
      <c r="G32" s="4">
        <v>7.2499999999999995E-2</v>
      </c>
      <c r="H32" s="6">
        <f t="shared" si="1"/>
        <v>2149.001701388891</v>
      </c>
      <c r="K32" s="7"/>
    </row>
    <row r="33" spans="1:11">
      <c r="A33" s="3">
        <v>37956</v>
      </c>
      <c r="B33" s="6">
        <f t="shared" si="2"/>
        <v>367108.91666666709</v>
      </c>
      <c r="C33" s="37">
        <f t="shared" si="4"/>
        <v>204516.08333333334</v>
      </c>
      <c r="D33" s="6">
        <v>-205477</v>
      </c>
      <c r="E33" s="6"/>
      <c r="F33" s="6">
        <f t="shared" si="0"/>
        <v>366148.00000000047</v>
      </c>
      <c r="G33" s="4">
        <v>7.2499999999999995E-2</v>
      </c>
      <c r="H33" s="6">
        <f t="shared" si="1"/>
        <v>2217.9497048611133</v>
      </c>
    </row>
    <row r="34" spans="1:11">
      <c r="A34" s="3">
        <v>37987</v>
      </c>
      <c r="B34" s="6">
        <f t="shared" si="2"/>
        <v>366148.00000000047</v>
      </c>
      <c r="C34" s="37">
        <f>+N12/12</f>
        <v>171536.83333333334</v>
      </c>
      <c r="D34" s="6">
        <v>-238588</v>
      </c>
      <c r="E34" s="6"/>
      <c r="F34" s="6">
        <f t="shared" si="0"/>
        <v>299096.83333333384</v>
      </c>
      <c r="G34" s="4">
        <v>7.2499999999999995E-2</v>
      </c>
      <c r="H34" s="6">
        <f t="shared" si="1"/>
        <v>2212.1441666666692</v>
      </c>
    </row>
    <row r="35" spans="1:11">
      <c r="A35" s="3">
        <v>38018</v>
      </c>
      <c r="B35" s="6">
        <f t="shared" si="2"/>
        <v>299096.83333333384</v>
      </c>
      <c r="C35" s="37">
        <f>+C34</f>
        <v>171536.83333333334</v>
      </c>
      <c r="D35" s="6">
        <v>-216276</v>
      </c>
      <c r="E35" s="6"/>
      <c r="F35" s="6">
        <f t="shared" si="0"/>
        <v>254357.66666666721</v>
      </c>
      <c r="G35" s="4">
        <v>7.2499999999999995E-2</v>
      </c>
      <c r="H35" s="6">
        <f t="shared" si="1"/>
        <v>1807.0433680555586</v>
      </c>
    </row>
    <row r="36" spans="1:11">
      <c r="A36" s="3">
        <v>38047</v>
      </c>
      <c r="B36" s="6">
        <f t="shared" si="2"/>
        <v>254357.66666666721</v>
      </c>
      <c r="C36" s="37">
        <f>+C35</f>
        <v>171536.83333333334</v>
      </c>
      <c r="D36" s="6">
        <v>-241869</v>
      </c>
      <c r="E36" s="6"/>
      <c r="F36" s="6">
        <f t="shared" si="0"/>
        <v>184025.50000000058</v>
      </c>
      <c r="G36" s="4">
        <v>7.2499999999999995E-2</v>
      </c>
      <c r="H36" s="6">
        <f t="shared" si="1"/>
        <v>1536.7442361111143</v>
      </c>
    </row>
    <row r="37" spans="1:11">
      <c r="A37" s="3">
        <v>38078</v>
      </c>
      <c r="B37" s="6">
        <f t="shared" si="2"/>
        <v>184025.50000000058</v>
      </c>
      <c r="C37" s="37">
        <f>$N$12/12</f>
        <v>171536.83333333334</v>
      </c>
      <c r="D37" s="6">
        <v>-158799</v>
      </c>
      <c r="E37" s="6"/>
      <c r="F37" s="6">
        <f t="shared" si="0"/>
        <v>196763.33333333395</v>
      </c>
      <c r="G37" s="4">
        <v>7.2499999999999995E-2</v>
      </c>
      <c r="H37" s="6">
        <f t="shared" si="1"/>
        <v>1111.8207291666702</v>
      </c>
    </row>
    <row r="38" spans="1:11">
      <c r="A38" s="3">
        <v>38108</v>
      </c>
      <c r="B38" s="6">
        <f t="shared" si="2"/>
        <v>196763.33333333395</v>
      </c>
      <c r="C38" s="37">
        <f t="shared" ref="C38:C44" si="5">$N$12/12</f>
        <v>171536.83333333334</v>
      </c>
      <c r="D38" s="6">
        <v>-129377</v>
      </c>
      <c r="E38" s="6"/>
      <c r="F38" s="6">
        <f t="shared" si="0"/>
        <v>238923.16666666733</v>
      </c>
      <c r="G38" s="4">
        <v>7.2499999999999995E-2</v>
      </c>
      <c r="H38" s="6">
        <f t="shared" si="1"/>
        <v>1188.7784722222259</v>
      </c>
    </row>
    <row r="39" spans="1:11">
      <c r="A39" s="3">
        <v>38139</v>
      </c>
      <c r="B39" s="6">
        <f t="shared" si="2"/>
        <v>238923.16666666733</v>
      </c>
      <c r="C39" s="37">
        <f t="shared" si="5"/>
        <v>171536.83333333334</v>
      </c>
      <c r="D39" s="6">
        <v>-142390</v>
      </c>
      <c r="E39" s="6">
        <f>SUM('Revised IRM Balance'!F24:F25)</f>
        <v>-167617</v>
      </c>
      <c r="F39" s="6">
        <f t="shared" si="0"/>
        <v>100453.0000000007</v>
      </c>
      <c r="G39" s="4">
        <v>7.2499999999999995E-2</v>
      </c>
      <c r="H39" s="6">
        <f t="shared" si="1"/>
        <v>1443.4941319444486</v>
      </c>
    </row>
    <row r="40" spans="1:11">
      <c r="A40" s="3">
        <v>38169</v>
      </c>
      <c r="B40" s="6">
        <f t="shared" si="2"/>
        <v>100453.0000000007</v>
      </c>
      <c r="C40" s="37">
        <f t="shared" si="5"/>
        <v>171536.83333333334</v>
      </c>
      <c r="D40" s="6">
        <v>-142495</v>
      </c>
      <c r="E40" s="6"/>
      <c r="F40" s="6">
        <f t="shared" si="0"/>
        <v>129494.83333333407</v>
      </c>
      <c r="G40" s="4">
        <v>7.2499999999999995E-2</v>
      </c>
      <c r="H40" s="6">
        <f t="shared" si="1"/>
        <v>606.90354166667078</v>
      </c>
    </row>
    <row r="41" spans="1:11">
      <c r="A41" s="3">
        <v>38200</v>
      </c>
      <c r="B41" s="6">
        <f t="shared" si="2"/>
        <v>129494.83333333407</v>
      </c>
      <c r="C41" s="37">
        <f t="shared" si="5"/>
        <v>171536.83333333334</v>
      </c>
      <c r="D41" s="6">
        <v>-152092</v>
      </c>
      <c r="E41" s="6"/>
      <c r="F41" s="6">
        <f t="shared" si="0"/>
        <v>148939.66666666744</v>
      </c>
      <c r="G41" s="4">
        <v>7.2499999999999995E-2</v>
      </c>
      <c r="H41" s="6">
        <f t="shared" si="1"/>
        <v>782.36461805555984</v>
      </c>
    </row>
    <row r="42" spans="1:11">
      <c r="A42" s="3">
        <v>38231</v>
      </c>
      <c r="B42" s="6">
        <f t="shared" si="2"/>
        <v>148939.66666666744</v>
      </c>
      <c r="C42" s="37">
        <f t="shared" si="5"/>
        <v>171536.83333333334</v>
      </c>
      <c r="D42" s="6">
        <v>-141740</v>
      </c>
      <c r="E42" s="6"/>
      <c r="F42" s="6">
        <f t="shared" si="0"/>
        <v>178736.50000000081</v>
      </c>
      <c r="G42" s="4">
        <v>7.2499999999999995E-2</v>
      </c>
      <c r="H42" s="6">
        <f t="shared" si="1"/>
        <v>899.84381944444897</v>
      </c>
    </row>
    <row r="43" spans="1:11">
      <c r="A43" s="3">
        <v>38261</v>
      </c>
      <c r="B43" s="6">
        <f t="shared" si="2"/>
        <v>178736.50000000081</v>
      </c>
      <c r="C43" s="37">
        <f t="shared" si="5"/>
        <v>171536.83333333334</v>
      </c>
      <c r="D43" s="6">
        <v>-137911</v>
      </c>
      <c r="E43" s="6"/>
      <c r="F43" s="6">
        <f t="shared" si="0"/>
        <v>212362.33333333419</v>
      </c>
      <c r="G43" s="4">
        <v>7.2499999999999995E-2</v>
      </c>
      <c r="H43" s="6">
        <f t="shared" si="1"/>
        <v>1079.8663541666715</v>
      </c>
    </row>
    <row r="44" spans="1:11">
      <c r="A44" s="3">
        <v>38292</v>
      </c>
      <c r="B44" s="6">
        <f t="shared" si="2"/>
        <v>212362.33333333419</v>
      </c>
      <c r="C44" s="37">
        <f t="shared" si="5"/>
        <v>171536.83333333334</v>
      </c>
      <c r="D44" s="6">
        <v>-148052</v>
      </c>
      <c r="E44" s="6"/>
      <c r="F44" s="6">
        <f t="shared" si="0"/>
        <v>235847.16666666756</v>
      </c>
      <c r="G44" s="4">
        <v>7.2499999999999995E-2</v>
      </c>
      <c r="H44" s="6">
        <f t="shared" si="1"/>
        <v>1283.0224305555605</v>
      </c>
    </row>
    <row r="45" spans="1:11">
      <c r="A45" s="3">
        <v>38322</v>
      </c>
      <c r="B45" s="6">
        <f t="shared" si="2"/>
        <v>235847.16666666756</v>
      </c>
      <c r="C45" s="37">
        <f>$N$12/12</f>
        <v>171536.83333333334</v>
      </c>
      <c r="D45" s="6">
        <v>-151257</v>
      </c>
      <c r="E45" s="6"/>
      <c r="F45" s="6">
        <f t="shared" si="0"/>
        <v>256127.00000000093</v>
      </c>
      <c r="G45" s="4">
        <v>7.2499999999999995E-2</v>
      </c>
      <c r="H45" s="6">
        <f t="shared" si="1"/>
        <v>1424.9099652777832</v>
      </c>
      <c r="K45" s="7"/>
    </row>
    <row r="46" spans="1:11">
      <c r="A46" s="3">
        <v>38353</v>
      </c>
      <c r="B46" s="6">
        <f t="shared" si="2"/>
        <v>256127.00000000093</v>
      </c>
      <c r="C46" s="37">
        <f>+N13/12</f>
        <v>162239.375</v>
      </c>
      <c r="D46" s="6">
        <v>-200649</v>
      </c>
      <c r="E46" s="6"/>
      <c r="F46" s="6">
        <f t="shared" si="0"/>
        <v>217717.37500000093</v>
      </c>
      <c r="G46" s="4">
        <v>7.2499999999999995E-2</v>
      </c>
      <c r="H46" s="6">
        <f t="shared" si="1"/>
        <v>1547.4339583333388</v>
      </c>
    </row>
    <row r="47" spans="1:11">
      <c r="A47" s="3">
        <v>38384</v>
      </c>
      <c r="B47" s="6">
        <f t="shared" si="2"/>
        <v>217717.37500000093</v>
      </c>
      <c r="C47" s="37">
        <f>+C46</f>
        <v>162239.375</v>
      </c>
      <c r="D47" s="6">
        <v>-173974</v>
      </c>
      <c r="E47" s="6"/>
      <c r="F47" s="6">
        <f t="shared" si="0"/>
        <v>205982.75000000093</v>
      </c>
      <c r="G47" s="4">
        <v>7.2499999999999995E-2</v>
      </c>
      <c r="H47" s="6">
        <f t="shared" si="1"/>
        <v>1315.3758072916723</v>
      </c>
    </row>
    <row r="48" spans="1:11">
      <c r="A48" s="3">
        <v>38412</v>
      </c>
      <c r="B48" s="6">
        <f t="shared" si="2"/>
        <v>205982.75000000093</v>
      </c>
      <c r="C48" s="37">
        <f>+C47</f>
        <v>162239.375</v>
      </c>
      <c r="D48" s="6">
        <v>-187684</v>
      </c>
      <c r="E48" s="6"/>
      <c r="F48" s="6">
        <f t="shared" si="0"/>
        <v>180538.12500000093</v>
      </c>
      <c r="G48" s="4">
        <v>7.2499999999999995E-2</v>
      </c>
      <c r="H48" s="6">
        <f t="shared" si="1"/>
        <v>1244.479114583339</v>
      </c>
    </row>
    <row r="49" spans="1:10">
      <c r="A49" s="3">
        <v>38443</v>
      </c>
      <c r="B49" s="6">
        <f t="shared" si="2"/>
        <v>180538.12500000093</v>
      </c>
      <c r="C49" s="37">
        <f>$N$13/12</f>
        <v>162239.375</v>
      </c>
      <c r="D49" s="6">
        <v>-183405</v>
      </c>
      <c r="E49" s="6"/>
      <c r="F49" s="6">
        <f>SUM(B49:E49)</f>
        <v>159372.50000000093</v>
      </c>
      <c r="G49" s="4">
        <v>7.2499999999999995E-2</v>
      </c>
      <c r="H49" s="6">
        <f t="shared" si="1"/>
        <v>1090.7511718750054</v>
      </c>
    </row>
    <row r="50" spans="1:10">
      <c r="A50" s="3">
        <v>38473</v>
      </c>
      <c r="B50" s="6">
        <f>F49</f>
        <v>159372.50000000093</v>
      </c>
      <c r="C50" s="37">
        <f t="shared" ref="C50:C57" si="6">$N$13/12</f>
        <v>162239.375</v>
      </c>
      <c r="D50" s="6">
        <v>-143491</v>
      </c>
      <c r="E50" s="6"/>
      <c r="F50" s="6">
        <f t="shared" si="0"/>
        <v>178120.87500000093</v>
      </c>
      <c r="G50" s="4">
        <v>7.2499999999999995E-2</v>
      </c>
      <c r="H50" s="6">
        <f>B50*G50/12</f>
        <v>962.87552083333878</v>
      </c>
    </row>
    <row r="51" spans="1:10">
      <c r="A51" s="3">
        <v>38504</v>
      </c>
      <c r="B51" s="6">
        <f t="shared" si="2"/>
        <v>178120.87500000093</v>
      </c>
      <c r="C51" s="37">
        <f t="shared" si="6"/>
        <v>162239.375</v>
      </c>
      <c r="D51" s="6">
        <v>-153616</v>
      </c>
      <c r="E51" s="6">
        <f>+'Revised IRM Balance'!F29+'Revised IRM Balance'!F30</f>
        <v>209365</v>
      </c>
      <c r="F51" s="6">
        <f t="shared" si="0"/>
        <v>396109.25000000093</v>
      </c>
      <c r="G51" s="4">
        <v>7.2499999999999995E-2</v>
      </c>
      <c r="H51" s="6">
        <f t="shared" si="1"/>
        <v>1076.1469531250057</v>
      </c>
    </row>
    <row r="52" spans="1:10">
      <c r="A52" s="3">
        <v>38534</v>
      </c>
      <c r="B52" s="6">
        <f t="shared" si="2"/>
        <v>396109.25000000093</v>
      </c>
      <c r="C52" s="37">
        <f t="shared" si="6"/>
        <v>162239.375</v>
      </c>
      <c r="D52" s="6">
        <v>-149922</v>
      </c>
      <c r="E52" s="6"/>
      <c r="F52" s="6">
        <f t="shared" si="0"/>
        <v>408426.62500000093</v>
      </c>
      <c r="G52" s="4">
        <v>7.2499999999999995E-2</v>
      </c>
      <c r="H52" s="6">
        <f t="shared" si="1"/>
        <v>2393.1600520833385</v>
      </c>
    </row>
    <row r="53" spans="1:10">
      <c r="A53" s="3">
        <v>38565</v>
      </c>
      <c r="B53" s="6">
        <f t="shared" si="2"/>
        <v>408426.62500000093</v>
      </c>
      <c r="C53" s="37">
        <f t="shared" si="6"/>
        <v>162239.375</v>
      </c>
      <c r="D53" s="6">
        <v>-192603</v>
      </c>
      <c r="E53" s="6"/>
      <c r="F53" s="6">
        <f t="shared" si="0"/>
        <v>378063.00000000093</v>
      </c>
      <c r="G53" s="4">
        <v>7.2499999999999995E-2</v>
      </c>
      <c r="H53" s="6">
        <f t="shared" si="1"/>
        <v>2467.5775260416722</v>
      </c>
    </row>
    <row r="54" spans="1:10">
      <c r="A54" s="3">
        <v>38596</v>
      </c>
      <c r="B54" s="6">
        <f t="shared" si="2"/>
        <v>378063.00000000093</v>
      </c>
      <c r="C54" s="37">
        <f t="shared" si="6"/>
        <v>162239.375</v>
      </c>
      <c r="D54" s="6">
        <v>-168176</v>
      </c>
      <c r="E54" s="6"/>
      <c r="F54" s="6">
        <f t="shared" si="0"/>
        <v>372126.37500000093</v>
      </c>
      <c r="G54" s="4">
        <v>7.2499999999999995E-2</v>
      </c>
      <c r="H54" s="6">
        <f t="shared" si="1"/>
        <v>2284.1306250000057</v>
      </c>
    </row>
    <row r="55" spans="1:10">
      <c r="A55" s="3">
        <v>38626</v>
      </c>
      <c r="B55" s="6">
        <f t="shared" si="2"/>
        <v>372126.37500000093</v>
      </c>
      <c r="C55" s="37">
        <f t="shared" si="6"/>
        <v>162239.375</v>
      </c>
      <c r="D55" s="6">
        <v>-144284</v>
      </c>
      <c r="E55" s="6"/>
      <c r="F55" s="6">
        <f t="shared" si="0"/>
        <v>390081.75000000093</v>
      </c>
      <c r="G55" s="4">
        <v>7.2499999999999995E-2</v>
      </c>
      <c r="H55" s="6">
        <f t="shared" si="1"/>
        <v>2248.2635156250058</v>
      </c>
    </row>
    <row r="56" spans="1:10">
      <c r="A56" s="3">
        <v>38657</v>
      </c>
      <c r="B56" s="6">
        <f t="shared" si="2"/>
        <v>390081.75000000093</v>
      </c>
      <c r="C56" s="37">
        <f t="shared" si="6"/>
        <v>162239.375</v>
      </c>
      <c r="D56" s="6">
        <v>-148853</v>
      </c>
      <c r="E56" s="6"/>
      <c r="F56" s="6">
        <f t="shared" si="0"/>
        <v>403468.12500000093</v>
      </c>
      <c r="G56" s="4">
        <v>7.2499999999999995E-2</v>
      </c>
      <c r="H56" s="6">
        <f t="shared" si="1"/>
        <v>2356.7439062500057</v>
      </c>
    </row>
    <row r="57" spans="1:10">
      <c r="A57" s="3">
        <v>38687</v>
      </c>
      <c r="B57" s="6">
        <f t="shared" si="2"/>
        <v>403468.12500000093</v>
      </c>
      <c r="C57" s="37">
        <f t="shared" si="6"/>
        <v>162239.375</v>
      </c>
      <c r="D57" s="6">
        <v>-151143</v>
      </c>
      <c r="E57" s="6"/>
      <c r="F57" s="6">
        <f t="shared" si="0"/>
        <v>414564.50000000093</v>
      </c>
      <c r="G57" s="4">
        <v>7.2499999999999995E-2</v>
      </c>
      <c r="H57" s="6">
        <f t="shared" si="1"/>
        <v>2437.6199218750057</v>
      </c>
    </row>
    <row r="58" spans="1:10">
      <c r="A58" s="3">
        <v>38718</v>
      </c>
      <c r="B58" s="6">
        <f t="shared" si="2"/>
        <v>414564.50000000093</v>
      </c>
      <c r="C58" s="37">
        <f>+N14/4</f>
        <v>162804.58333333317</v>
      </c>
      <c r="D58" s="6">
        <v>-210752</v>
      </c>
      <c r="E58" s="6"/>
      <c r="F58" s="6">
        <f t="shared" si="0"/>
        <v>366617.08333333407</v>
      </c>
      <c r="G58" s="4">
        <v>7.2499999999999995E-2</v>
      </c>
      <c r="H58" s="6">
        <f t="shared" si="1"/>
        <v>2504.660520833339</v>
      </c>
    </row>
    <row r="59" spans="1:10">
      <c r="A59" s="3">
        <v>38749</v>
      </c>
      <c r="B59" s="6">
        <f t="shared" si="2"/>
        <v>366617.08333333407</v>
      </c>
      <c r="C59" s="37">
        <f>+C58</f>
        <v>162804.58333333317</v>
      </c>
      <c r="D59" s="6">
        <v>-179742</v>
      </c>
      <c r="E59" s="6"/>
      <c r="F59" s="6">
        <f t="shared" si="0"/>
        <v>349679.66666666721</v>
      </c>
      <c r="G59" s="4">
        <v>7.2499999999999995E-2</v>
      </c>
      <c r="H59" s="6">
        <f t="shared" si="1"/>
        <v>2214.9782118055596</v>
      </c>
    </row>
    <row r="60" spans="1:10">
      <c r="A60" s="3">
        <v>38777</v>
      </c>
      <c r="B60" s="6">
        <f t="shared" si="2"/>
        <v>349679.66666666721</v>
      </c>
      <c r="C60" s="37">
        <f>+C59</f>
        <v>162804.58333333317</v>
      </c>
      <c r="D60" s="6">
        <v>-181858</v>
      </c>
      <c r="E60" s="6"/>
      <c r="F60" s="6">
        <f t="shared" si="0"/>
        <v>330626.25000000035</v>
      </c>
      <c r="G60" s="4">
        <v>7.2499999999999995E-2</v>
      </c>
      <c r="H60" s="6">
        <f t="shared" si="1"/>
        <v>2112.6479861111143</v>
      </c>
    </row>
    <row r="61" spans="1:10">
      <c r="A61" s="3">
        <v>38808</v>
      </c>
      <c r="B61" s="6">
        <f t="shared" si="2"/>
        <v>330626.25000000035</v>
      </c>
      <c r="C61" s="37">
        <f>+C60</f>
        <v>162804.58333333317</v>
      </c>
      <c r="D61" s="6">
        <v>-167035</v>
      </c>
      <c r="E61" s="6"/>
      <c r="F61" s="6">
        <f t="shared" si="0"/>
        <v>326395.83333333349</v>
      </c>
      <c r="G61" s="4">
        <v>4.1399999999999999E-2</v>
      </c>
      <c r="H61" s="6">
        <f t="shared" si="1"/>
        <v>1140.6605625000013</v>
      </c>
      <c r="J61" s="7">
        <f>SUM(H7:H61)</f>
        <v>124022.6082708335</v>
      </c>
    </row>
    <row r="62" spans="1:10">
      <c r="A62" s="3">
        <v>38838</v>
      </c>
      <c r="B62" s="6">
        <f>F61</f>
        <v>326395.83333333349</v>
      </c>
      <c r="C62" s="37"/>
      <c r="D62" s="6"/>
      <c r="E62" s="6"/>
      <c r="F62" s="6">
        <f t="shared" si="0"/>
        <v>326395.83333333349</v>
      </c>
      <c r="G62" s="4">
        <v>4.1399999999999999E-2</v>
      </c>
      <c r="H62" s="6">
        <f t="shared" si="1"/>
        <v>1126.0656250000004</v>
      </c>
    </row>
    <row r="63" spans="1:10">
      <c r="A63" s="3">
        <v>38869</v>
      </c>
      <c r="B63" s="6">
        <f t="shared" si="2"/>
        <v>326395.83333333349</v>
      </c>
      <c r="C63" s="37"/>
      <c r="D63" s="6"/>
      <c r="E63" s="6"/>
      <c r="F63" s="6">
        <f t="shared" si="0"/>
        <v>326395.83333333349</v>
      </c>
      <c r="G63" s="4">
        <v>4.1399999999999999E-2</v>
      </c>
      <c r="H63" s="6">
        <f t="shared" si="1"/>
        <v>1126.0656250000004</v>
      </c>
    </row>
    <row r="64" spans="1:10">
      <c r="A64" s="3">
        <v>38899</v>
      </c>
      <c r="B64" s="6">
        <f t="shared" si="2"/>
        <v>326395.83333333349</v>
      </c>
      <c r="C64" s="37"/>
      <c r="D64" s="6"/>
      <c r="E64" s="6"/>
      <c r="F64" s="6">
        <f t="shared" si="0"/>
        <v>326395.83333333349</v>
      </c>
      <c r="G64" s="4">
        <v>4.5900000000000003E-2</v>
      </c>
      <c r="H64" s="6">
        <f t="shared" si="1"/>
        <v>1248.4640625000006</v>
      </c>
    </row>
    <row r="65" spans="1:8">
      <c r="A65" s="3">
        <v>38930</v>
      </c>
      <c r="B65" s="6">
        <f t="shared" si="2"/>
        <v>326395.83333333349</v>
      </c>
      <c r="C65" s="37"/>
      <c r="D65" s="6"/>
      <c r="E65" s="6"/>
      <c r="F65" s="6">
        <f t="shared" si="0"/>
        <v>326395.83333333349</v>
      </c>
      <c r="G65" s="4">
        <v>4.5900000000000003E-2</v>
      </c>
      <c r="H65" s="6">
        <f t="shared" si="1"/>
        <v>1248.4640625000006</v>
      </c>
    </row>
    <row r="66" spans="1:8">
      <c r="A66" s="3">
        <v>38961</v>
      </c>
      <c r="B66" s="6">
        <f t="shared" si="2"/>
        <v>326395.83333333349</v>
      </c>
      <c r="C66" s="37"/>
      <c r="D66" s="6"/>
      <c r="E66" s="6"/>
      <c r="F66" s="6">
        <f t="shared" si="0"/>
        <v>326395.83333333349</v>
      </c>
      <c r="G66" s="4">
        <v>4.5900000000000003E-2</v>
      </c>
      <c r="H66" s="6">
        <f t="shared" si="1"/>
        <v>1248.4640625000006</v>
      </c>
    </row>
    <row r="67" spans="1:8">
      <c r="A67" s="3">
        <v>38991</v>
      </c>
      <c r="B67" s="6">
        <f t="shared" si="2"/>
        <v>326395.83333333349</v>
      </c>
      <c r="C67" s="37"/>
      <c r="D67" s="6"/>
      <c r="E67" s="6"/>
      <c r="F67" s="6">
        <f t="shared" si="0"/>
        <v>326395.83333333349</v>
      </c>
      <c r="G67" s="4">
        <v>4.5900000000000003E-2</v>
      </c>
      <c r="H67" s="6">
        <f t="shared" si="1"/>
        <v>1248.4640625000006</v>
      </c>
    </row>
    <row r="68" spans="1:8">
      <c r="A68" s="3">
        <v>39022</v>
      </c>
      <c r="B68" s="6">
        <f t="shared" si="2"/>
        <v>326395.83333333349</v>
      </c>
      <c r="C68" s="37"/>
      <c r="D68" s="6"/>
      <c r="E68" s="6"/>
      <c r="F68" s="6">
        <f t="shared" si="0"/>
        <v>326395.83333333349</v>
      </c>
      <c r="G68" s="4">
        <v>4.5900000000000003E-2</v>
      </c>
      <c r="H68" s="6">
        <f t="shared" si="1"/>
        <v>1248.4640625000006</v>
      </c>
    </row>
    <row r="69" spans="1:8">
      <c r="A69" s="3">
        <v>39052</v>
      </c>
      <c r="B69" s="6">
        <f t="shared" si="2"/>
        <v>326395.83333333349</v>
      </c>
      <c r="C69" s="37"/>
      <c r="D69" s="6"/>
      <c r="E69" s="6"/>
      <c r="F69" s="6">
        <f t="shared" si="0"/>
        <v>326395.83333333349</v>
      </c>
      <c r="G69" s="4">
        <v>4.5900000000000003E-2</v>
      </c>
      <c r="H69" s="6">
        <f t="shared" si="1"/>
        <v>1248.4640625000006</v>
      </c>
    </row>
    <row r="70" spans="1:8">
      <c r="A70" s="3">
        <v>39083</v>
      </c>
      <c r="B70" s="6">
        <f t="shared" si="2"/>
        <v>326395.83333333349</v>
      </c>
      <c r="C70" s="37"/>
      <c r="D70" s="6"/>
      <c r="E70" s="6"/>
      <c r="F70" s="6">
        <f t="shared" si="0"/>
        <v>326395.83333333349</v>
      </c>
      <c r="G70" s="4">
        <v>4.5900000000000003E-2</v>
      </c>
      <c r="H70" s="6">
        <f t="shared" si="1"/>
        <v>1248.4640625000006</v>
      </c>
    </row>
    <row r="71" spans="1:8">
      <c r="A71" s="3">
        <v>39114</v>
      </c>
      <c r="B71" s="6">
        <f t="shared" si="2"/>
        <v>326395.83333333349</v>
      </c>
      <c r="C71" s="37"/>
      <c r="D71" s="6"/>
      <c r="E71" s="6"/>
      <c r="F71" s="6">
        <f t="shared" si="0"/>
        <v>326395.83333333349</v>
      </c>
      <c r="G71" s="4">
        <v>4.5900000000000003E-2</v>
      </c>
      <c r="H71" s="6">
        <f t="shared" si="1"/>
        <v>1248.4640625000006</v>
      </c>
    </row>
    <row r="72" spans="1:8">
      <c r="A72" s="3">
        <v>39142</v>
      </c>
      <c r="B72" s="6">
        <f t="shared" si="2"/>
        <v>326395.83333333349</v>
      </c>
      <c r="C72" s="37"/>
      <c r="D72" s="6"/>
      <c r="E72" s="6"/>
      <c r="F72" s="6">
        <f t="shared" ref="F72:F117" si="7">SUM(B72:E72)</f>
        <v>326395.83333333349</v>
      </c>
      <c r="G72" s="4">
        <v>4.5900000000000003E-2</v>
      </c>
      <c r="H72" s="6">
        <f t="shared" ref="H72:H117" si="8">B72*G72/12</f>
        <v>1248.4640625000006</v>
      </c>
    </row>
    <row r="73" spans="1:8">
      <c r="A73" s="3">
        <v>39173</v>
      </c>
      <c r="B73" s="6">
        <f t="shared" ref="B73:B117" si="9">F72</f>
        <v>326395.83333333349</v>
      </c>
      <c r="C73" s="37"/>
      <c r="D73" s="6"/>
      <c r="E73" s="6"/>
      <c r="F73" s="6">
        <f t="shared" si="7"/>
        <v>326395.83333333349</v>
      </c>
      <c r="G73" s="4">
        <v>4.5900000000000003E-2</v>
      </c>
      <c r="H73" s="6">
        <f t="shared" si="8"/>
        <v>1248.4640625000006</v>
      </c>
    </row>
    <row r="74" spans="1:8">
      <c r="A74" s="3">
        <v>39203</v>
      </c>
      <c r="B74" s="6">
        <f t="shared" si="9"/>
        <v>326395.83333333349</v>
      </c>
      <c r="C74" s="37"/>
      <c r="D74" s="6"/>
      <c r="E74" s="6"/>
      <c r="F74" s="6">
        <f t="shared" si="7"/>
        <v>326395.83333333349</v>
      </c>
      <c r="G74" s="4">
        <v>4.5900000000000003E-2</v>
      </c>
      <c r="H74" s="6">
        <f t="shared" si="8"/>
        <v>1248.4640625000006</v>
      </c>
    </row>
    <row r="75" spans="1:8">
      <c r="A75" s="3">
        <v>39234</v>
      </c>
      <c r="B75" s="6">
        <f t="shared" si="9"/>
        <v>326395.83333333349</v>
      </c>
      <c r="C75" s="37"/>
      <c r="D75" s="6"/>
      <c r="E75" s="6"/>
      <c r="F75" s="6">
        <f t="shared" si="7"/>
        <v>326395.83333333349</v>
      </c>
      <c r="G75" s="4">
        <v>4.5900000000000003E-2</v>
      </c>
      <c r="H75" s="6">
        <f t="shared" si="8"/>
        <v>1248.4640625000006</v>
      </c>
    </row>
    <row r="76" spans="1:8">
      <c r="A76" s="3">
        <v>39264</v>
      </c>
      <c r="B76" s="6">
        <f t="shared" si="9"/>
        <v>326395.83333333349</v>
      </c>
      <c r="C76" s="37"/>
      <c r="D76" s="6"/>
      <c r="E76" s="6"/>
      <c r="F76" s="6">
        <f t="shared" si="7"/>
        <v>326395.83333333349</v>
      </c>
      <c r="G76" s="4">
        <v>4.5900000000000003E-2</v>
      </c>
      <c r="H76" s="6">
        <f t="shared" si="8"/>
        <v>1248.4640625000006</v>
      </c>
    </row>
    <row r="77" spans="1:8">
      <c r="A77" s="3">
        <v>39295</v>
      </c>
      <c r="B77" s="6">
        <f t="shared" si="9"/>
        <v>326395.83333333349</v>
      </c>
      <c r="C77" s="37"/>
      <c r="D77" s="6"/>
      <c r="E77" s="6"/>
      <c r="F77" s="6">
        <f t="shared" si="7"/>
        <v>326395.83333333349</v>
      </c>
      <c r="G77" s="4">
        <v>4.5900000000000003E-2</v>
      </c>
      <c r="H77" s="6">
        <f t="shared" si="8"/>
        <v>1248.4640625000006</v>
      </c>
    </row>
    <row r="78" spans="1:8">
      <c r="A78" s="3">
        <v>39326</v>
      </c>
      <c r="B78" s="6">
        <f t="shared" si="9"/>
        <v>326395.83333333349</v>
      </c>
      <c r="C78" s="37"/>
      <c r="D78" s="6"/>
      <c r="E78" s="6"/>
      <c r="F78" s="6">
        <f t="shared" si="7"/>
        <v>326395.83333333349</v>
      </c>
      <c r="G78" s="4">
        <v>4.5900000000000003E-2</v>
      </c>
      <c r="H78" s="6">
        <f t="shared" si="8"/>
        <v>1248.4640625000006</v>
      </c>
    </row>
    <row r="79" spans="1:8">
      <c r="A79" s="3">
        <v>39356</v>
      </c>
      <c r="B79" s="6">
        <f t="shared" si="9"/>
        <v>326395.83333333349</v>
      </c>
      <c r="C79" s="37"/>
      <c r="D79" s="6"/>
      <c r="E79" s="6"/>
      <c r="F79" s="6">
        <f t="shared" si="7"/>
        <v>326395.83333333349</v>
      </c>
      <c r="G79" s="4">
        <v>5.1400000000000001E-2</v>
      </c>
      <c r="H79" s="6">
        <f t="shared" si="8"/>
        <v>1398.0621527777785</v>
      </c>
    </row>
    <row r="80" spans="1:8">
      <c r="A80" s="3">
        <v>39387</v>
      </c>
      <c r="B80" s="6">
        <f t="shared" si="9"/>
        <v>326395.83333333349</v>
      </c>
      <c r="C80" s="37"/>
      <c r="D80" s="6"/>
      <c r="E80" s="6"/>
      <c r="F80" s="6">
        <f t="shared" si="7"/>
        <v>326395.83333333349</v>
      </c>
      <c r="G80" s="4">
        <v>5.1400000000000001E-2</v>
      </c>
      <c r="H80" s="6">
        <f t="shared" si="8"/>
        <v>1398.0621527777785</v>
      </c>
    </row>
    <row r="81" spans="1:8">
      <c r="A81" s="3">
        <v>39417</v>
      </c>
      <c r="B81" s="6">
        <f t="shared" si="9"/>
        <v>326395.83333333349</v>
      </c>
      <c r="C81" s="37"/>
      <c r="D81" s="6"/>
      <c r="E81" s="6"/>
      <c r="F81" s="6">
        <f t="shared" si="7"/>
        <v>326395.83333333349</v>
      </c>
      <c r="G81" s="4">
        <v>5.1400000000000001E-2</v>
      </c>
      <c r="H81" s="6">
        <f t="shared" si="8"/>
        <v>1398.0621527777785</v>
      </c>
    </row>
    <row r="82" spans="1:8">
      <c r="A82" s="3">
        <v>39448</v>
      </c>
      <c r="B82" s="6">
        <f t="shared" si="9"/>
        <v>326395.83333333349</v>
      </c>
      <c r="C82" s="6"/>
      <c r="D82" s="6"/>
      <c r="E82" s="6"/>
      <c r="F82" s="6">
        <f t="shared" si="7"/>
        <v>326395.83333333349</v>
      </c>
      <c r="G82" s="4">
        <v>5.1400000000000001E-2</v>
      </c>
      <c r="H82" s="6">
        <f t="shared" si="8"/>
        <v>1398.0621527777785</v>
      </c>
    </row>
    <row r="83" spans="1:8">
      <c r="A83" s="3">
        <v>39479</v>
      </c>
      <c r="B83" s="6">
        <f t="shared" si="9"/>
        <v>326395.83333333349</v>
      </c>
      <c r="C83" s="6"/>
      <c r="D83" s="6"/>
      <c r="E83" s="6"/>
      <c r="F83" s="6">
        <f t="shared" si="7"/>
        <v>326395.83333333349</v>
      </c>
      <c r="G83" s="4">
        <v>5.1400000000000001E-2</v>
      </c>
      <c r="H83" s="6">
        <f t="shared" si="8"/>
        <v>1398.0621527777785</v>
      </c>
    </row>
    <row r="84" spans="1:8">
      <c r="A84" s="3">
        <v>39508</v>
      </c>
      <c r="B84" s="6">
        <f t="shared" si="9"/>
        <v>326395.83333333349</v>
      </c>
      <c r="C84" s="6"/>
      <c r="D84" s="6"/>
      <c r="E84" s="6"/>
      <c r="F84" s="6">
        <f t="shared" si="7"/>
        <v>326395.83333333349</v>
      </c>
      <c r="G84" s="4">
        <v>5.1400000000000001E-2</v>
      </c>
      <c r="H84" s="6">
        <f t="shared" si="8"/>
        <v>1398.0621527777785</v>
      </c>
    </row>
    <row r="85" spans="1:8">
      <c r="A85" s="3">
        <v>39539</v>
      </c>
      <c r="B85" s="6">
        <f t="shared" si="9"/>
        <v>326395.83333333349</v>
      </c>
      <c r="C85" s="6"/>
      <c r="D85" s="6"/>
      <c r="E85" s="6"/>
      <c r="F85" s="6">
        <f t="shared" si="7"/>
        <v>326395.83333333349</v>
      </c>
      <c r="G85" s="4">
        <v>4.0800000000000003E-2</v>
      </c>
      <c r="H85" s="6">
        <f t="shared" si="8"/>
        <v>1109.7458333333341</v>
      </c>
    </row>
    <row r="86" spans="1:8">
      <c r="A86" s="3">
        <v>39569</v>
      </c>
      <c r="B86" s="6">
        <f t="shared" si="9"/>
        <v>326395.83333333349</v>
      </c>
      <c r="C86" s="6"/>
      <c r="D86" s="6"/>
      <c r="E86" s="6"/>
      <c r="F86" s="6">
        <f t="shared" si="7"/>
        <v>326395.83333333349</v>
      </c>
      <c r="G86" s="4">
        <v>4.0800000000000003E-2</v>
      </c>
      <c r="H86" s="6">
        <f t="shared" si="8"/>
        <v>1109.7458333333341</v>
      </c>
    </row>
    <row r="87" spans="1:8">
      <c r="A87" s="3">
        <v>39600</v>
      </c>
      <c r="B87" s="6">
        <f t="shared" si="9"/>
        <v>326395.83333333349</v>
      </c>
      <c r="C87" s="6"/>
      <c r="D87" s="6"/>
      <c r="E87" s="6"/>
      <c r="F87" s="6">
        <f t="shared" si="7"/>
        <v>326395.83333333349</v>
      </c>
      <c r="G87" s="4">
        <v>4.0800000000000003E-2</v>
      </c>
      <c r="H87" s="6">
        <f t="shared" si="8"/>
        <v>1109.7458333333341</v>
      </c>
    </row>
    <row r="88" spans="1:8">
      <c r="A88" s="3">
        <v>39630</v>
      </c>
      <c r="B88" s="6">
        <f t="shared" si="9"/>
        <v>326395.83333333349</v>
      </c>
      <c r="C88" s="6"/>
      <c r="D88" s="6"/>
      <c r="E88" s="6"/>
      <c r="F88" s="6">
        <f t="shared" si="7"/>
        <v>326395.83333333349</v>
      </c>
      <c r="G88" s="4">
        <v>3.3500000000000002E-2</v>
      </c>
      <c r="H88" s="6">
        <f t="shared" si="8"/>
        <v>911.18836805555611</v>
      </c>
    </row>
    <row r="89" spans="1:8">
      <c r="A89" s="3">
        <v>39661</v>
      </c>
      <c r="B89" s="6">
        <f t="shared" si="9"/>
        <v>326395.83333333349</v>
      </c>
      <c r="C89" s="6"/>
      <c r="D89" s="6"/>
      <c r="E89" s="6"/>
      <c r="F89" s="6">
        <f t="shared" si="7"/>
        <v>326395.83333333349</v>
      </c>
      <c r="G89" s="4">
        <v>3.3500000000000002E-2</v>
      </c>
      <c r="H89" s="6">
        <f t="shared" si="8"/>
        <v>911.18836805555611</v>
      </c>
    </row>
    <row r="90" spans="1:8">
      <c r="A90" s="3">
        <v>39692</v>
      </c>
      <c r="B90" s="6">
        <f t="shared" si="9"/>
        <v>326395.83333333349</v>
      </c>
      <c r="C90" s="6"/>
      <c r="D90" s="6"/>
      <c r="E90" s="6"/>
      <c r="F90" s="6">
        <f t="shared" si="7"/>
        <v>326395.83333333349</v>
      </c>
      <c r="G90" s="4">
        <v>3.3500000000000002E-2</v>
      </c>
      <c r="H90" s="6">
        <f t="shared" si="8"/>
        <v>911.18836805555611</v>
      </c>
    </row>
    <row r="91" spans="1:8">
      <c r="A91" s="3">
        <v>39722</v>
      </c>
      <c r="B91" s="6">
        <f t="shared" si="9"/>
        <v>326395.83333333349</v>
      </c>
      <c r="C91" s="6"/>
      <c r="D91" s="6"/>
      <c r="E91" s="6"/>
      <c r="F91" s="6">
        <f t="shared" si="7"/>
        <v>326395.83333333349</v>
      </c>
      <c r="G91" s="4">
        <v>3.3500000000000002E-2</v>
      </c>
      <c r="H91" s="6">
        <f t="shared" si="8"/>
        <v>911.18836805555611</v>
      </c>
    </row>
    <row r="92" spans="1:8">
      <c r="A92" s="3">
        <v>39753</v>
      </c>
      <c r="B92" s="6">
        <f t="shared" si="9"/>
        <v>326395.83333333349</v>
      </c>
      <c r="C92" s="6"/>
      <c r="D92" s="6"/>
      <c r="E92" s="6"/>
      <c r="F92" s="6">
        <f t="shared" si="7"/>
        <v>326395.83333333349</v>
      </c>
      <c r="G92" s="4">
        <v>3.3500000000000002E-2</v>
      </c>
      <c r="H92" s="6">
        <f t="shared" si="8"/>
        <v>911.18836805555611</v>
      </c>
    </row>
    <row r="93" spans="1:8">
      <c r="A93" s="3">
        <v>39783</v>
      </c>
      <c r="B93" s="6">
        <f t="shared" si="9"/>
        <v>326395.83333333349</v>
      </c>
      <c r="C93" s="6"/>
      <c r="D93" s="6"/>
      <c r="E93" s="6"/>
      <c r="F93" s="6">
        <f t="shared" si="7"/>
        <v>326395.83333333349</v>
      </c>
      <c r="G93" s="4">
        <v>3.3500000000000002E-2</v>
      </c>
      <c r="H93" s="6">
        <f t="shared" si="8"/>
        <v>911.18836805555611</v>
      </c>
    </row>
    <row r="94" spans="1:8">
      <c r="A94" s="3">
        <v>39814</v>
      </c>
      <c r="B94" s="6">
        <f t="shared" si="9"/>
        <v>326395.83333333349</v>
      </c>
      <c r="C94" s="6"/>
      <c r="D94" s="6"/>
      <c r="E94" s="6"/>
      <c r="F94" s="6">
        <f t="shared" si="7"/>
        <v>326395.83333333349</v>
      </c>
      <c r="G94" s="4">
        <v>2.4500000000000001E-2</v>
      </c>
      <c r="H94" s="6">
        <f t="shared" si="8"/>
        <v>666.39149305555588</v>
      </c>
    </row>
    <row r="95" spans="1:8">
      <c r="A95" s="3">
        <v>39845</v>
      </c>
      <c r="B95" s="6">
        <f t="shared" si="9"/>
        <v>326395.83333333349</v>
      </c>
      <c r="C95" s="6"/>
      <c r="D95" s="6"/>
      <c r="E95" s="6"/>
      <c r="F95" s="6">
        <f t="shared" si="7"/>
        <v>326395.83333333349</v>
      </c>
      <c r="G95" s="4">
        <v>2.4500000000000001E-2</v>
      </c>
      <c r="H95" s="6">
        <f t="shared" si="8"/>
        <v>666.39149305555588</v>
      </c>
    </row>
    <row r="96" spans="1:8">
      <c r="A96" s="3">
        <v>39873</v>
      </c>
      <c r="B96" s="6">
        <f t="shared" si="9"/>
        <v>326395.83333333349</v>
      </c>
      <c r="C96" s="6"/>
      <c r="D96" s="6"/>
      <c r="E96" s="6"/>
      <c r="F96" s="6">
        <f t="shared" si="7"/>
        <v>326395.83333333349</v>
      </c>
      <c r="G96" s="4">
        <v>2.4500000000000001E-2</v>
      </c>
      <c r="H96" s="6">
        <f t="shared" si="8"/>
        <v>666.39149305555588</v>
      </c>
    </row>
    <row r="97" spans="1:8">
      <c r="A97" s="3">
        <v>39904</v>
      </c>
      <c r="B97" s="6">
        <f t="shared" si="9"/>
        <v>326395.83333333349</v>
      </c>
      <c r="C97" s="6"/>
      <c r="D97" s="6"/>
      <c r="E97" s="6"/>
      <c r="F97" s="6">
        <f t="shared" si="7"/>
        <v>326395.83333333349</v>
      </c>
      <c r="G97" s="4">
        <v>0.01</v>
      </c>
      <c r="H97" s="6">
        <f t="shared" si="8"/>
        <v>271.99652777777789</v>
      </c>
    </row>
    <row r="98" spans="1:8">
      <c r="A98" s="3">
        <v>39934</v>
      </c>
      <c r="B98" s="6">
        <f t="shared" si="9"/>
        <v>326395.83333333349</v>
      </c>
      <c r="C98" s="6"/>
      <c r="D98" s="6"/>
      <c r="E98" s="6"/>
      <c r="F98" s="6">
        <f t="shared" si="7"/>
        <v>326395.83333333349</v>
      </c>
      <c r="G98" s="4">
        <v>0.01</v>
      </c>
      <c r="H98" s="6">
        <f t="shared" si="8"/>
        <v>271.99652777777789</v>
      </c>
    </row>
    <row r="99" spans="1:8">
      <c r="A99" s="3">
        <v>39965</v>
      </c>
      <c r="B99" s="6">
        <f t="shared" si="9"/>
        <v>326395.83333333349</v>
      </c>
      <c r="C99" s="6"/>
      <c r="D99" s="6"/>
      <c r="E99" s="6"/>
      <c r="F99" s="6">
        <f t="shared" si="7"/>
        <v>326395.83333333349</v>
      </c>
      <c r="G99" s="4">
        <v>0.01</v>
      </c>
      <c r="H99" s="6">
        <f t="shared" si="8"/>
        <v>271.99652777777789</v>
      </c>
    </row>
    <row r="100" spans="1:8">
      <c r="A100" s="3">
        <v>39995</v>
      </c>
      <c r="B100" s="6">
        <f t="shared" si="9"/>
        <v>326395.83333333349</v>
      </c>
      <c r="C100" s="6"/>
      <c r="D100" s="6"/>
      <c r="E100" s="6"/>
      <c r="F100" s="6">
        <f t="shared" si="7"/>
        <v>326395.83333333349</v>
      </c>
      <c r="G100" s="4">
        <v>5.4999999999999997E-3</v>
      </c>
      <c r="H100" s="6">
        <f t="shared" si="8"/>
        <v>149.59809027777786</v>
      </c>
    </row>
    <row r="101" spans="1:8">
      <c r="A101" s="3">
        <v>40026</v>
      </c>
      <c r="B101" s="6">
        <f t="shared" si="9"/>
        <v>326395.83333333349</v>
      </c>
      <c r="C101" s="6"/>
      <c r="D101" s="6"/>
      <c r="E101" s="6"/>
      <c r="F101" s="6">
        <f t="shared" si="7"/>
        <v>326395.83333333349</v>
      </c>
      <c r="G101" s="4">
        <v>5.4999999999999997E-3</v>
      </c>
      <c r="H101" s="6">
        <f t="shared" si="8"/>
        <v>149.59809027777786</v>
      </c>
    </row>
    <row r="102" spans="1:8">
      <c r="A102" s="3">
        <v>40057</v>
      </c>
      <c r="B102" s="6">
        <f t="shared" si="9"/>
        <v>326395.83333333349</v>
      </c>
      <c r="C102" s="6"/>
      <c r="D102" s="6"/>
      <c r="E102" s="6"/>
      <c r="F102" s="6">
        <f t="shared" si="7"/>
        <v>326395.83333333349</v>
      </c>
      <c r="G102" s="4">
        <v>5.4999999999999997E-3</v>
      </c>
      <c r="H102" s="6">
        <f t="shared" si="8"/>
        <v>149.59809027777786</v>
      </c>
    </row>
    <row r="103" spans="1:8">
      <c r="A103" s="3">
        <v>40087</v>
      </c>
      <c r="B103" s="6">
        <f t="shared" si="9"/>
        <v>326395.83333333349</v>
      </c>
      <c r="C103" s="6"/>
      <c r="D103" s="6"/>
      <c r="E103" s="6"/>
      <c r="F103" s="6">
        <f t="shared" si="7"/>
        <v>326395.83333333349</v>
      </c>
      <c r="G103" s="4">
        <v>5.4999999999999997E-3</v>
      </c>
      <c r="H103" s="6">
        <f t="shared" si="8"/>
        <v>149.59809027777786</v>
      </c>
    </row>
    <row r="104" spans="1:8">
      <c r="A104" s="3">
        <v>40118</v>
      </c>
      <c r="B104" s="6">
        <f t="shared" si="9"/>
        <v>326395.83333333349</v>
      </c>
      <c r="C104" s="6"/>
      <c r="D104" s="6"/>
      <c r="E104" s="6"/>
      <c r="F104" s="6">
        <f t="shared" si="7"/>
        <v>326395.83333333349</v>
      </c>
      <c r="G104" s="4">
        <v>5.4999999999999997E-3</v>
      </c>
      <c r="H104" s="6">
        <f t="shared" si="8"/>
        <v>149.59809027777786</v>
      </c>
    </row>
    <row r="105" spans="1:8">
      <c r="A105" s="3">
        <v>40148</v>
      </c>
      <c r="B105" s="6">
        <f t="shared" si="9"/>
        <v>326395.83333333349</v>
      </c>
      <c r="C105" s="6"/>
      <c r="D105" s="6"/>
      <c r="E105" s="6"/>
      <c r="F105" s="6">
        <f t="shared" si="7"/>
        <v>326395.83333333349</v>
      </c>
      <c r="G105" s="4">
        <v>5.4999999999999997E-3</v>
      </c>
      <c r="H105" s="6">
        <f t="shared" si="8"/>
        <v>149.59809027777786</v>
      </c>
    </row>
    <row r="106" spans="1:8">
      <c r="A106" s="3">
        <v>40179</v>
      </c>
      <c r="B106" s="6">
        <f t="shared" si="9"/>
        <v>326395.83333333349</v>
      </c>
      <c r="C106" s="6"/>
      <c r="D106" s="6"/>
      <c r="E106" s="6"/>
      <c r="F106" s="6">
        <f t="shared" si="7"/>
        <v>326395.83333333349</v>
      </c>
      <c r="G106" s="4">
        <v>5.4999999999999997E-3</v>
      </c>
      <c r="H106" s="6">
        <f t="shared" si="8"/>
        <v>149.59809027777786</v>
      </c>
    </row>
    <row r="107" spans="1:8">
      <c r="A107" s="3">
        <v>40210</v>
      </c>
      <c r="B107" s="6">
        <f t="shared" si="9"/>
        <v>326395.83333333349</v>
      </c>
      <c r="C107" s="6"/>
      <c r="D107" s="6"/>
      <c r="E107" s="6"/>
      <c r="F107" s="6">
        <f t="shared" si="7"/>
        <v>326395.83333333349</v>
      </c>
      <c r="G107" s="4">
        <v>5.4999999999999997E-3</v>
      </c>
      <c r="H107" s="6">
        <f t="shared" si="8"/>
        <v>149.59809027777786</v>
      </c>
    </row>
    <row r="108" spans="1:8">
      <c r="A108" s="3">
        <v>40238</v>
      </c>
      <c r="B108" s="6">
        <f t="shared" si="9"/>
        <v>326395.83333333349</v>
      </c>
      <c r="C108" s="6"/>
      <c r="D108" s="6"/>
      <c r="E108" s="6"/>
      <c r="F108" s="6">
        <f t="shared" si="7"/>
        <v>326395.83333333349</v>
      </c>
      <c r="G108" s="4">
        <v>5.4999999999999997E-3</v>
      </c>
      <c r="H108" s="6">
        <f t="shared" si="8"/>
        <v>149.59809027777786</v>
      </c>
    </row>
    <row r="109" spans="1:8">
      <c r="A109" s="3">
        <v>40269</v>
      </c>
      <c r="B109" s="6">
        <f t="shared" si="9"/>
        <v>326395.83333333349</v>
      </c>
      <c r="C109" s="6"/>
      <c r="D109" s="6"/>
      <c r="E109" s="6"/>
      <c r="F109" s="6">
        <f t="shared" si="7"/>
        <v>326395.83333333349</v>
      </c>
      <c r="G109" s="4">
        <v>5.4999999999999997E-3</v>
      </c>
      <c r="H109" s="6">
        <f t="shared" si="8"/>
        <v>149.59809027777786</v>
      </c>
    </row>
    <row r="110" spans="1:8">
      <c r="A110" s="3">
        <v>40299</v>
      </c>
      <c r="B110" s="6">
        <f t="shared" si="9"/>
        <v>326395.83333333349</v>
      </c>
      <c r="C110" s="6"/>
      <c r="D110" s="6"/>
      <c r="E110" s="6"/>
      <c r="F110" s="6">
        <f t="shared" si="7"/>
        <v>326395.83333333349</v>
      </c>
      <c r="G110" s="4">
        <v>5.4999999999999997E-3</v>
      </c>
      <c r="H110" s="6">
        <f t="shared" si="8"/>
        <v>149.59809027777786</v>
      </c>
    </row>
    <row r="111" spans="1:8">
      <c r="A111" s="3">
        <v>40330</v>
      </c>
      <c r="B111" s="6">
        <f t="shared" si="9"/>
        <v>326395.83333333349</v>
      </c>
      <c r="C111" s="6"/>
      <c r="D111" s="6"/>
      <c r="E111" s="6"/>
      <c r="F111" s="6">
        <f t="shared" si="7"/>
        <v>326395.83333333349</v>
      </c>
      <c r="G111" s="4">
        <v>5.4999999999999997E-3</v>
      </c>
      <c r="H111" s="6">
        <f t="shared" si="8"/>
        <v>149.59809027777786</v>
      </c>
    </row>
    <row r="112" spans="1:8">
      <c r="A112" s="3">
        <v>40360</v>
      </c>
      <c r="B112" s="6">
        <f t="shared" si="9"/>
        <v>326395.83333333349</v>
      </c>
      <c r="C112" s="6"/>
      <c r="D112" s="6"/>
      <c r="E112" s="6"/>
      <c r="F112" s="6">
        <f t="shared" si="7"/>
        <v>326395.83333333349</v>
      </c>
      <c r="G112" s="4">
        <v>8.8999999999999999E-3</v>
      </c>
      <c r="H112" s="6">
        <f t="shared" si="8"/>
        <v>242.07690972222235</v>
      </c>
    </row>
    <row r="113" spans="1:8">
      <c r="A113" s="3">
        <v>40391</v>
      </c>
      <c r="B113" s="6">
        <f t="shared" si="9"/>
        <v>326395.83333333349</v>
      </c>
      <c r="C113" s="6"/>
      <c r="D113" s="6"/>
      <c r="E113" s="6"/>
      <c r="F113" s="6">
        <f t="shared" si="7"/>
        <v>326395.83333333349</v>
      </c>
      <c r="G113" s="4">
        <v>8.8999999999999999E-3</v>
      </c>
      <c r="H113" s="6">
        <f t="shared" si="8"/>
        <v>242.07690972222235</v>
      </c>
    </row>
    <row r="114" spans="1:8">
      <c r="A114" s="3">
        <v>40422</v>
      </c>
      <c r="B114" s="6">
        <f t="shared" si="9"/>
        <v>326395.83333333349</v>
      </c>
      <c r="C114" s="6"/>
      <c r="D114" s="6"/>
      <c r="E114" s="6"/>
      <c r="F114" s="6">
        <f t="shared" si="7"/>
        <v>326395.83333333349</v>
      </c>
      <c r="G114" s="4">
        <v>8.8999999999999999E-3</v>
      </c>
      <c r="H114" s="6">
        <f t="shared" si="8"/>
        <v>242.07690972222235</v>
      </c>
    </row>
    <row r="115" spans="1:8">
      <c r="A115" s="3">
        <v>40452</v>
      </c>
      <c r="B115" s="6">
        <f t="shared" si="9"/>
        <v>326395.83333333349</v>
      </c>
      <c r="C115" s="6"/>
      <c r="D115" s="6"/>
      <c r="E115" s="6"/>
      <c r="F115" s="6">
        <f t="shared" si="7"/>
        <v>326395.83333333349</v>
      </c>
      <c r="G115" s="4">
        <v>1.2E-2</v>
      </c>
      <c r="H115" s="6">
        <f t="shared" si="8"/>
        <v>326.39583333333348</v>
      </c>
    </row>
    <row r="116" spans="1:8">
      <c r="A116" s="3">
        <v>40483</v>
      </c>
      <c r="B116" s="6">
        <f t="shared" si="9"/>
        <v>326395.83333333349</v>
      </c>
      <c r="C116" s="6"/>
      <c r="D116" s="6"/>
      <c r="E116" s="6"/>
      <c r="F116" s="6">
        <f t="shared" si="7"/>
        <v>326395.83333333349</v>
      </c>
      <c r="G116" s="4">
        <v>1.2E-2</v>
      </c>
      <c r="H116" s="6">
        <f t="shared" si="8"/>
        <v>326.39583333333348</v>
      </c>
    </row>
    <row r="117" spans="1:8" ht="15.75" thickBot="1">
      <c r="A117" s="17">
        <v>40513</v>
      </c>
      <c r="B117" s="18">
        <f t="shared" si="9"/>
        <v>326395.83333333349</v>
      </c>
      <c r="C117" s="18"/>
      <c r="D117" s="18"/>
      <c r="E117" s="18"/>
      <c r="F117" s="18">
        <f t="shared" si="7"/>
        <v>326395.83333333349</v>
      </c>
      <c r="G117" s="19">
        <v>1.2E-2</v>
      </c>
      <c r="H117" s="18">
        <f t="shared" si="8"/>
        <v>326.39583333333348</v>
      </c>
    </row>
    <row r="118" spans="1:8">
      <c r="B118" s="5"/>
      <c r="C118" s="6"/>
      <c r="D118" s="6"/>
      <c r="E118" s="6"/>
      <c r="F118" s="6"/>
      <c r="H118" s="5"/>
    </row>
    <row r="119" spans="1:8" ht="15.75" thickBot="1">
      <c r="A119" s="20"/>
      <c r="B119" s="21"/>
      <c r="C119" s="22">
        <f>SUM(C7:C118)+B10</f>
        <v>9564918.833333334</v>
      </c>
      <c r="D119" s="22">
        <f>SUM(D7:D118)</f>
        <v>-9167139</v>
      </c>
      <c r="E119" s="22">
        <f>SUM(E7:E118)</f>
        <v>-71384</v>
      </c>
      <c r="F119" s="22"/>
      <c r="G119" s="20"/>
      <c r="H119" s="22">
        <f>SUM(H7:H118)</f>
        <v>168502.20045833348</v>
      </c>
    </row>
    <row r="120" spans="1:8">
      <c r="B120" s="5"/>
      <c r="C120" s="6"/>
      <c r="D120" s="6"/>
      <c r="E120" s="6"/>
      <c r="F120" s="6"/>
      <c r="H120" s="5"/>
    </row>
    <row r="121" spans="1:8">
      <c r="A121" s="8" t="s">
        <v>26</v>
      </c>
      <c r="B121" s="9" t="s">
        <v>17</v>
      </c>
      <c r="C121" s="10">
        <f>C119</f>
        <v>9564918.833333334</v>
      </c>
      <c r="D121" s="6"/>
      <c r="E121" s="6"/>
      <c r="F121" s="6"/>
      <c r="G121" s="6"/>
      <c r="H121" s="6"/>
    </row>
    <row r="122" spans="1:8">
      <c r="A122" s="8"/>
      <c r="B122" s="9" t="s">
        <v>18</v>
      </c>
      <c r="C122" s="10">
        <f>D119</f>
        <v>-9167139</v>
      </c>
      <c r="D122" s="6"/>
      <c r="E122" s="6"/>
      <c r="F122" s="6"/>
      <c r="G122" s="6"/>
      <c r="H122" s="6"/>
    </row>
    <row r="123" spans="1:8">
      <c r="A123" s="8"/>
      <c r="B123" s="9" t="s">
        <v>27</v>
      </c>
      <c r="C123" s="11">
        <f>E119</f>
        <v>-71384</v>
      </c>
      <c r="D123" s="6"/>
      <c r="E123" s="6"/>
      <c r="F123" s="6"/>
      <c r="G123" s="6"/>
      <c r="H123" s="6"/>
    </row>
    <row r="124" spans="1:8">
      <c r="A124" s="8"/>
      <c r="B124" s="9"/>
      <c r="C124" s="10">
        <f>SUM(C121:C123)</f>
        <v>326395.83333333395</v>
      </c>
      <c r="D124" s="6"/>
      <c r="E124" s="6"/>
      <c r="F124" s="6"/>
      <c r="G124" s="6"/>
      <c r="H124" s="6"/>
    </row>
    <row r="125" spans="1:8">
      <c r="A125" s="8"/>
      <c r="B125" s="9" t="s">
        <v>28</v>
      </c>
      <c r="C125" s="10">
        <f>H119</f>
        <v>168502.20045833348</v>
      </c>
      <c r="D125" s="6"/>
      <c r="E125" s="6"/>
      <c r="F125" s="6"/>
      <c r="G125" s="6"/>
      <c r="H125" s="6"/>
    </row>
    <row r="126" spans="1:8" ht="15.75" thickBot="1">
      <c r="A126" s="8"/>
      <c r="B126" s="8"/>
      <c r="C126" s="23">
        <f>SUM(C124:C125)</f>
        <v>494898.03379166743</v>
      </c>
      <c r="D126" s="6"/>
      <c r="E126" s="6"/>
      <c r="F126" s="6"/>
      <c r="G126" s="6"/>
      <c r="H126" s="6"/>
    </row>
    <row r="129" spans="1:8">
      <c r="A129" s="27" t="s">
        <v>61</v>
      </c>
    </row>
    <row r="130" spans="1:8">
      <c r="A130" s="3">
        <v>40544</v>
      </c>
      <c r="B130" s="7">
        <f>B117</f>
        <v>326395.83333333349</v>
      </c>
      <c r="F130" s="7"/>
      <c r="G130" s="4">
        <v>1.47E-2</v>
      </c>
      <c r="H130" s="6">
        <f t="shared" ref="H130:H145" si="10">B130*G130/12</f>
        <v>399.83489583333352</v>
      </c>
    </row>
    <row r="131" spans="1:8">
      <c r="A131" s="3">
        <v>40575</v>
      </c>
      <c r="B131" s="7">
        <f>B130</f>
        <v>326395.83333333349</v>
      </c>
      <c r="G131" s="4">
        <v>1.47E-2</v>
      </c>
      <c r="H131" s="6">
        <f t="shared" si="10"/>
        <v>399.83489583333352</v>
      </c>
    </row>
    <row r="132" spans="1:8">
      <c r="A132" s="3">
        <v>40603</v>
      </c>
      <c r="B132" s="7">
        <f t="shared" ref="B132:B145" si="11">B131</f>
        <v>326395.83333333349</v>
      </c>
      <c r="G132" s="4">
        <v>1.47E-2</v>
      </c>
      <c r="H132" s="6">
        <f t="shared" si="10"/>
        <v>399.83489583333352</v>
      </c>
    </row>
    <row r="133" spans="1:8">
      <c r="A133" s="3">
        <v>40634</v>
      </c>
      <c r="B133" s="7">
        <f t="shared" si="11"/>
        <v>326395.83333333349</v>
      </c>
      <c r="G133" s="4">
        <v>1.47E-2</v>
      </c>
      <c r="H133" s="6">
        <f t="shared" si="10"/>
        <v>399.83489583333352</v>
      </c>
    </row>
    <row r="134" spans="1:8">
      <c r="A134" s="3">
        <v>40664</v>
      </c>
      <c r="B134" s="7">
        <f t="shared" si="11"/>
        <v>326395.83333333349</v>
      </c>
      <c r="G134" s="4">
        <v>1.47E-2</v>
      </c>
      <c r="H134" s="6">
        <f t="shared" si="10"/>
        <v>399.83489583333352</v>
      </c>
    </row>
    <row r="135" spans="1:8">
      <c r="A135" s="3">
        <v>40695</v>
      </c>
      <c r="B135" s="7">
        <f t="shared" si="11"/>
        <v>326395.83333333349</v>
      </c>
      <c r="G135" s="4">
        <v>1.47E-2</v>
      </c>
      <c r="H135" s="6">
        <f t="shared" si="10"/>
        <v>399.83489583333352</v>
      </c>
    </row>
    <row r="136" spans="1:8">
      <c r="A136" s="3">
        <v>40725</v>
      </c>
      <c r="B136" s="7">
        <f t="shared" si="11"/>
        <v>326395.83333333349</v>
      </c>
      <c r="G136" s="4">
        <v>1.47E-2</v>
      </c>
      <c r="H136" s="6">
        <f t="shared" si="10"/>
        <v>399.83489583333352</v>
      </c>
    </row>
    <row r="137" spans="1:8">
      <c r="A137" s="3">
        <v>40756</v>
      </c>
      <c r="B137" s="7">
        <f t="shared" si="11"/>
        <v>326395.83333333349</v>
      </c>
      <c r="G137" s="4">
        <v>1.47E-2</v>
      </c>
      <c r="H137" s="6">
        <f t="shared" si="10"/>
        <v>399.83489583333352</v>
      </c>
    </row>
    <row r="138" spans="1:8">
      <c r="A138" s="3">
        <v>40787</v>
      </c>
      <c r="B138" s="7">
        <f t="shared" si="11"/>
        <v>326395.83333333349</v>
      </c>
      <c r="G138" s="4">
        <v>1.47E-2</v>
      </c>
      <c r="H138" s="6">
        <f t="shared" si="10"/>
        <v>399.83489583333352</v>
      </c>
    </row>
    <row r="139" spans="1:8">
      <c r="A139" s="3">
        <v>40817</v>
      </c>
      <c r="B139" s="7">
        <f t="shared" si="11"/>
        <v>326395.83333333349</v>
      </c>
      <c r="G139" s="4">
        <v>1.47E-2</v>
      </c>
      <c r="H139" s="6">
        <f t="shared" si="10"/>
        <v>399.83489583333352</v>
      </c>
    </row>
    <row r="140" spans="1:8">
      <c r="A140" s="3">
        <v>40848</v>
      </c>
      <c r="B140" s="7">
        <f t="shared" si="11"/>
        <v>326395.83333333349</v>
      </c>
      <c r="G140" s="4">
        <v>1.47E-2</v>
      </c>
      <c r="H140" s="6">
        <f t="shared" si="10"/>
        <v>399.83489583333352</v>
      </c>
    </row>
    <row r="141" spans="1:8">
      <c r="A141" s="3">
        <v>40878</v>
      </c>
      <c r="B141" s="7">
        <f t="shared" si="11"/>
        <v>326395.83333333349</v>
      </c>
      <c r="G141" s="4">
        <v>1.47E-2</v>
      </c>
      <c r="H141" s="6">
        <f t="shared" si="10"/>
        <v>399.83489583333352</v>
      </c>
    </row>
    <row r="142" spans="1:8">
      <c r="A142" s="3">
        <v>40909</v>
      </c>
      <c r="B142" s="7">
        <f t="shared" si="11"/>
        <v>326395.83333333349</v>
      </c>
      <c r="G142" s="4">
        <v>1.47E-2</v>
      </c>
      <c r="H142" s="6">
        <f t="shared" si="10"/>
        <v>399.83489583333352</v>
      </c>
    </row>
    <row r="143" spans="1:8">
      <c r="A143" s="3">
        <v>40940</v>
      </c>
      <c r="B143" s="7">
        <f t="shared" si="11"/>
        <v>326395.83333333349</v>
      </c>
      <c r="G143" s="4">
        <v>1.47E-2</v>
      </c>
      <c r="H143" s="6">
        <f t="shared" si="10"/>
        <v>399.83489583333352</v>
      </c>
    </row>
    <row r="144" spans="1:8">
      <c r="A144" s="3">
        <v>40969</v>
      </c>
      <c r="B144" s="7">
        <f t="shared" si="11"/>
        <v>326395.83333333349</v>
      </c>
      <c r="G144" s="4">
        <v>1.47E-2</v>
      </c>
      <c r="H144" s="6">
        <f t="shared" si="10"/>
        <v>399.83489583333352</v>
      </c>
    </row>
    <row r="145" spans="1:9">
      <c r="A145" s="3">
        <v>41000</v>
      </c>
      <c r="B145" s="7">
        <f t="shared" si="11"/>
        <v>326395.83333333349</v>
      </c>
      <c r="G145" s="4">
        <v>1.47E-2</v>
      </c>
      <c r="H145" s="38">
        <f t="shared" si="10"/>
        <v>399.83489583333352</v>
      </c>
    </row>
    <row r="146" spans="1:9">
      <c r="H146" s="7">
        <f>SUM(H130:H145)</f>
        <v>6397.3583333333363</v>
      </c>
    </row>
    <row r="147" spans="1:9">
      <c r="A147" t="s">
        <v>62</v>
      </c>
      <c r="H147" s="7">
        <f>H119</f>
        <v>168502.20045833348</v>
      </c>
    </row>
    <row r="148" spans="1:9" ht="15.75" thickBot="1">
      <c r="A148" t="s">
        <v>63</v>
      </c>
      <c r="H148" s="39">
        <f>H146+H147</f>
        <v>174899.55879166682</v>
      </c>
    </row>
    <row r="149" spans="1:9" ht="15.75" thickTop="1"/>
    <row r="152" spans="1:9">
      <c r="H152" s="7">
        <f>+C124+H148</f>
        <v>501295.39212500077</v>
      </c>
    </row>
    <row r="153" spans="1:9">
      <c r="H153">
        <v>693048</v>
      </c>
    </row>
    <row r="154" spans="1:9">
      <c r="H154" s="7">
        <f>+H152-H153</f>
        <v>-191752.60787499923</v>
      </c>
      <c r="I154">
        <f>+H154/4</f>
        <v>-47938.151968749808</v>
      </c>
    </row>
  </sheetData>
  <mergeCells count="2">
    <mergeCell ref="A3:H3"/>
    <mergeCell ref="A4:H4"/>
  </mergeCells>
  <pageMargins left="0.7" right="0.7" top="0.75" bottom="0.75" header="0.3" footer="0.3"/>
  <pageSetup scale="91" fitToHeight="0" orientation="portrait" r:id="rId1"/>
  <headerFooter>
    <oddHeader>&amp;RCarrying Charges and Continuity</oddHeader>
  </headerFooter>
  <ignoredErrors>
    <ignoredError sqref="C34 C22 B10:C10" formula="1"/>
    <ignoredError sqref="F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9"/>
  <sheetViews>
    <sheetView showGridLines="0" zoomScaleNormal="100" workbookViewId="0">
      <selection activeCell="A64" sqref="A64:I98"/>
    </sheetView>
  </sheetViews>
  <sheetFormatPr defaultRowHeight="15"/>
  <cols>
    <col min="1" max="1" width="27" customWidth="1"/>
    <col min="3" max="8" width="14.7109375" customWidth="1"/>
    <col min="9" max="9" width="15.7109375" customWidth="1"/>
    <col min="11" max="11" width="14" bestFit="1" customWidth="1"/>
  </cols>
  <sheetData>
    <row r="1" spans="1:11">
      <c r="A1" s="31" t="s">
        <v>44</v>
      </c>
      <c r="B1" s="32"/>
      <c r="C1" s="32"/>
      <c r="D1" s="32"/>
      <c r="E1" s="32"/>
      <c r="F1" s="32"/>
      <c r="G1" s="32"/>
      <c r="H1" s="32"/>
      <c r="I1" s="32"/>
    </row>
    <row r="2" spans="1:11">
      <c r="D2" s="40"/>
      <c r="E2" s="40"/>
      <c r="F2" s="40"/>
      <c r="G2" s="40"/>
      <c r="H2" s="40"/>
      <c r="I2" s="40"/>
    </row>
    <row r="3" spans="1:11">
      <c r="A3" s="27" t="s">
        <v>43</v>
      </c>
      <c r="C3" s="28">
        <v>2001</v>
      </c>
      <c r="D3" s="28">
        <v>2002</v>
      </c>
      <c r="E3" s="28">
        <v>2003</v>
      </c>
      <c r="F3" s="28">
        <v>2004</v>
      </c>
      <c r="G3" s="28">
        <v>2005</v>
      </c>
      <c r="H3" s="28">
        <v>2006</v>
      </c>
      <c r="I3" s="28" t="s">
        <v>8</v>
      </c>
    </row>
    <row r="4" spans="1:11">
      <c r="A4" s="24" t="s">
        <v>31</v>
      </c>
      <c r="B4" s="25">
        <v>3626</v>
      </c>
      <c r="C4" s="5">
        <f>C19+C34+C49</f>
        <v>0</v>
      </c>
      <c r="D4" s="5">
        <f t="shared" ref="D4:H4" si="0">D19+D34+D49</f>
        <v>-751392.0199999999</v>
      </c>
      <c r="E4" s="5">
        <f t="shared" si="0"/>
        <v>-975060.97</v>
      </c>
      <c r="F4" s="5">
        <f t="shared" si="0"/>
        <v>-294962.83</v>
      </c>
      <c r="G4" s="5">
        <f t="shared" si="0"/>
        <v>8.91</v>
      </c>
      <c r="H4" s="5">
        <f t="shared" si="0"/>
        <v>0</v>
      </c>
      <c r="I4" s="5">
        <f>SUM(C4:H4)</f>
        <v>-2021406.91</v>
      </c>
      <c r="K4" s="40"/>
    </row>
    <row r="5" spans="1:11">
      <c r="A5" s="24" t="s">
        <v>32</v>
      </c>
      <c r="B5" s="25">
        <v>3628</v>
      </c>
      <c r="C5" s="5">
        <f t="shared" ref="C5:H5" si="1">C20+C35+C50</f>
        <v>0</v>
      </c>
      <c r="D5" s="5">
        <f t="shared" si="1"/>
        <v>-222670.84000000003</v>
      </c>
      <c r="E5" s="5">
        <f t="shared" si="1"/>
        <v>-282556.38999999996</v>
      </c>
      <c r="F5" s="5">
        <f t="shared" si="1"/>
        <v>-89525.329999999987</v>
      </c>
      <c r="G5" s="5">
        <f t="shared" si="1"/>
        <v>0</v>
      </c>
      <c r="H5" s="5">
        <f t="shared" si="1"/>
        <v>0</v>
      </c>
      <c r="I5" s="5">
        <f t="shared" ref="I5:I15" si="2">SUM(C5:H5)</f>
        <v>-594752.55999999994</v>
      </c>
      <c r="K5" s="40"/>
    </row>
    <row r="6" spans="1:11">
      <c r="A6" s="26" t="s">
        <v>33</v>
      </c>
      <c r="B6" s="25">
        <v>3629</v>
      </c>
      <c r="C6" s="5">
        <f t="shared" ref="C6:H6" si="3">C21+C36+C51</f>
        <v>0</v>
      </c>
      <c r="D6" s="5">
        <f t="shared" si="3"/>
        <v>-147884.65</v>
      </c>
      <c r="E6" s="5">
        <f t="shared" si="3"/>
        <v>-191759.76</v>
      </c>
      <c r="F6" s="5">
        <f t="shared" si="3"/>
        <v>-60154.560000000005</v>
      </c>
      <c r="G6" s="5">
        <f t="shared" si="3"/>
        <v>0</v>
      </c>
      <c r="H6" s="5">
        <f t="shared" si="3"/>
        <v>0</v>
      </c>
      <c r="I6" s="5">
        <f t="shared" si="2"/>
        <v>-399798.97000000003</v>
      </c>
      <c r="K6" s="40"/>
    </row>
    <row r="7" spans="1:11">
      <c r="A7" s="26" t="s">
        <v>34</v>
      </c>
      <c r="B7" s="25">
        <v>3632</v>
      </c>
      <c r="C7" s="5">
        <f t="shared" ref="C7:H7" si="4">C22+C37+C52</f>
        <v>0</v>
      </c>
      <c r="D7" s="5">
        <f t="shared" si="4"/>
        <v>-16889.080000000002</v>
      </c>
      <c r="E7" s="5">
        <f t="shared" si="4"/>
        <v>-24716.1</v>
      </c>
      <c r="F7" s="5">
        <f t="shared" si="4"/>
        <v>-6170.46</v>
      </c>
      <c r="G7" s="5">
        <f t="shared" si="4"/>
        <v>0</v>
      </c>
      <c r="H7" s="5">
        <f t="shared" si="4"/>
        <v>0</v>
      </c>
      <c r="I7" s="5">
        <f t="shared" si="2"/>
        <v>-47775.64</v>
      </c>
      <c r="K7" s="40"/>
    </row>
    <row r="8" spans="1:11">
      <c r="A8" s="26" t="s">
        <v>35</v>
      </c>
      <c r="B8" s="25">
        <v>3633</v>
      </c>
      <c r="C8" s="5">
        <f t="shared" ref="C8:H8" si="5">C23+C38+C53</f>
        <v>0</v>
      </c>
      <c r="D8" s="5">
        <f t="shared" si="5"/>
        <v>-11693.24</v>
      </c>
      <c r="E8" s="5">
        <f t="shared" si="5"/>
        <v>-17911.439999999999</v>
      </c>
      <c r="F8" s="5">
        <f t="shared" si="5"/>
        <v>-4235.6100000000006</v>
      </c>
      <c r="G8" s="5">
        <f t="shared" si="5"/>
        <v>0</v>
      </c>
      <c r="H8" s="5">
        <f t="shared" si="5"/>
        <v>0</v>
      </c>
      <c r="I8" s="5">
        <f t="shared" si="2"/>
        <v>-33840.29</v>
      </c>
      <c r="K8" s="40"/>
    </row>
    <row r="9" spans="1:11">
      <c r="A9" s="26" t="s">
        <v>36</v>
      </c>
      <c r="B9" s="25">
        <v>3634</v>
      </c>
      <c r="C9" s="5">
        <f t="shared" ref="C9:H9" si="6">C24+C39+C54</f>
        <v>0</v>
      </c>
      <c r="D9" s="5">
        <f t="shared" si="6"/>
        <v>-982.55</v>
      </c>
      <c r="E9" s="5">
        <f t="shared" si="6"/>
        <v>-1148.26</v>
      </c>
      <c r="F9" s="5">
        <f t="shared" si="6"/>
        <v>-378.26000000000005</v>
      </c>
      <c r="G9" s="5">
        <f t="shared" si="6"/>
        <v>0</v>
      </c>
      <c r="H9" s="5">
        <f t="shared" si="6"/>
        <v>0</v>
      </c>
      <c r="I9" s="5">
        <f t="shared" si="2"/>
        <v>-2509.0700000000002</v>
      </c>
      <c r="K9" s="40"/>
    </row>
    <row r="10" spans="1:11">
      <c r="A10" s="24" t="s">
        <v>37</v>
      </c>
      <c r="B10" s="25">
        <v>3635</v>
      </c>
      <c r="C10" s="5">
        <f t="shared" ref="C10:H10" si="7">C25+C40+C55</f>
        <v>0</v>
      </c>
      <c r="D10" s="5">
        <f t="shared" si="7"/>
        <v>-389897.54</v>
      </c>
      <c r="E10" s="5">
        <f t="shared" si="7"/>
        <v>-534924.83000000007</v>
      </c>
      <c r="F10" s="5">
        <f t="shared" si="7"/>
        <v>-849511.79999999993</v>
      </c>
      <c r="G10" s="5">
        <f t="shared" si="7"/>
        <v>-1192924.54</v>
      </c>
      <c r="H10" s="5">
        <f t="shared" si="7"/>
        <v>-475806.3</v>
      </c>
      <c r="I10" s="5">
        <f t="shared" si="2"/>
        <v>-3443065.01</v>
      </c>
      <c r="K10" s="40"/>
    </row>
    <row r="11" spans="1:11">
      <c r="A11" s="24" t="s">
        <v>38</v>
      </c>
      <c r="B11" s="25">
        <v>3637</v>
      </c>
      <c r="C11" s="5">
        <f t="shared" ref="C11:H11" si="8">C26+C41+C56</f>
        <v>0</v>
      </c>
      <c r="D11" s="5">
        <f t="shared" si="8"/>
        <v>-115192.79</v>
      </c>
      <c r="E11" s="5">
        <f t="shared" si="8"/>
        <v>-157006.74</v>
      </c>
      <c r="F11" s="5">
        <f t="shared" si="8"/>
        <v>-259246.15</v>
      </c>
      <c r="G11" s="5">
        <f t="shared" si="8"/>
        <v>-338807.49</v>
      </c>
      <c r="H11" s="5">
        <f t="shared" si="8"/>
        <v>-118299.96999999999</v>
      </c>
      <c r="I11" s="5">
        <f t="shared" si="2"/>
        <v>-988553.1399999999</v>
      </c>
    </row>
    <row r="12" spans="1:11">
      <c r="A12" s="26" t="s">
        <v>39</v>
      </c>
      <c r="B12" s="25">
        <v>3638</v>
      </c>
      <c r="C12" s="5">
        <f t="shared" ref="C12:H12" si="9">C27+C42+C57</f>
        <v>0</v>
      </c>
      <c r="D12" s="5">
        <f t="shared" si="9"/>
        <v>-253727.05000000002</v>
      </c>
      <c r="E12" s="5">
        <f t="shared" si="9"/>
        <v>-293078.64999999997</v>
      </c>
      <c r="F12" s="5">
        <f t="shared" si="9"/>
        <v>-396083.06999999995</v>
      </c>
      <c r="G12" s="5">
        <f t="shared" si="9"/>
        <v>-422879.05</v>
      </c>
      <c r="H12" s="5">
        <f t="shared" si="9"/>
        <v>-132146.86000000002</v>
      </c>
      <c r="I12" s="5">
        <f t="shared" si="2"/>
        <v>-1497914.68</v>
      </c>
    </row>
    <row r="13" spans="1:11">
      <c r="A13" s="26" t="s">
        <v>40</v>
      </c>
      <c r="B13" s="25">
        <v>3667</v>
      </c>
      <c r="C13" s="5">
        <f t="shared" ref="C13:H13" si="10">C28+C43+C58</f>
        <v>0</v>
      </c>
      <c r="D13" s="5">
        <f t="shared" si="10"/>
        <v>-7831.21</v>
      </c>
      <c r="E13" s="5">
        <f t="shared" si="10"/>
        <v>-14700.13</v>
      </c>
      <c r="F13" s="5">
        <f t="shared" si="10"/>
        <v>-24192.2</v>
      </c>
      <c r="G13" s="5">
        <f t="shared" si="10"/>
        <v>-22156.55</v>
      </c>
      <c r="H13" s="5">
        <f t="shared" si="10"/>
        <v>-5803.19</v>
      </c>
      <c r="I13" s="5">
        <f t="shared" si="2"/>
        <v>-74683.28</v>
      </c>
    </row>
    <row r="14" spans="1:11">
      <c r="A14" s="26" t="s">
        <v>41</v>
      </c>
      <c r="B14" s="25">
        <v>3668</v>
      </c>
      <c r="C14" s="5">
        <f t="shared" ref="C14:H14" si="11">C29+C44+C59</f>
        <v>0</v>
      </c>
      <c r="D14" s="5">
        <f t="shared" si="11"/>
        <v>-5547.45</v>
      </c>
      <c r="E14" s="5">
        <f t="shared" si="11"/>
        <v>-8576.4800000000014</v>
      </c>
      <c r="F14" s="5">
        <f t="shared" si="11"/>
        <v>-14115.32</v>
      </c>
      <c r="G14" s="5">
        <f t="shared" si="11"/>
        <v>-18669.3</v>
      </c>
      <c r="H14" s="5">
        <f t="shared" si="11"/>
        <v>-6561.31</v>
      </c>
      <c r="I14" s="5">
        <f t="shared" si="2"/>
        <v>-53469.86</v>
      </c>
    </row>
    <row r="15" spans="1:11">
      <c r="A15" s="26" t="s">
        <v>42</v>
      </c>
      <c r="B15" s="25">
        <v>3669</v>
      </c>
      <c r="C15" s="5">
        <f t="shared" ref="C15:H15" si="12">C30+C45+C60</f>
        <v>0</v>
      </c>
      <c r="D15" s="5">
        <f t="shared" si="12"/>
        <v>-1746.99</v>
      </c>
      <c r="E15" s="5">
        <f t="shared" si="12"/>
        <v>-2211.88</v>
      </c>
      <c r="F15" s="5">
        <f t="shared" si="12"/>
        <v>-2270.0700000000002</v>
      </c>
      <c r="G15" s="5">
        <f t="shared" si="12"/>
        <v>-2371.14</v>
      </c>
      <c r="H15" s="5">
        <f t="shared" si="12"/>
        <v>-769.37</v>
      </c>
      <c r="I15" s="5">
        <f t="shared" si="2"/>
        <v>-9369.4500000000007</v>
      </c>
    </row>
    <row r="16" spans="1:11" ht="15.75" thickBot="1">
      <c r="C16" s="29">
        <f>SUM(C4:C15)</f>
        <v>0</v>
      </c>
      <c r="D16" s="29">
        <f t="shared" ref="D16:I16" si="13">SUM(D4:D15)</f>
        <v>-1925455.41</v>
      </c>
      <c r="E16" s="29">
        <f t="shared" si="13"/>
        <v>-2503651.63</v>
      </c>
      <c r="F16" s="29">
        <f t="shared" si="13"/>
        <v>-2000845.66</v>
      </c>
      <c r="G16" s="29">
        <f t="shared" si="13"/>
        <v>-1997799.1600000001</v>
      </c>
      <c r="H16" s="29">
        <f t="shared" si="13"/>
        <v>-739387</v>
      </c>
      <c r="I16" s="29">
        <f t="shared" si="13"/>
        <v>-9167138.8599999975</v>
      </c>
      <c r="K16" s="40"/>
    </row>
    <row r="17" spans="1:9" ht="15.75" thickTop="1"/>
    <row r="18" spans="1:9">
      <c r="A18" s="27" t="s">
        <v>0</v>
      </c>
      <c r="C18" s="28">
        <v>2001</v>
      </c>
      <c r="D18" s="28">
        <v>2002</v>
      </c>
      <c r="E18" s="28">
        <v>2003</v>
      </c>
      <c r="F18" s="28">
        <v>2004</v>
      </c>
      <c r="G18" s="28">
        <v>2005</v>
      </c>
      <c r="H18" s="28">
        <v>2006</v>
      </c>
      <c r="I18" s="28" t="s">
        <v>8</v>
      </c>
    </row>
    <row r="19" spans="1:9">
      <c r="A19" s="24" t="s">
        <v>31</v>
      </c>
      <c r="B19" s="25">
        <v>3626</v>
      </c>
      <c r="C19" s="5"/>
      <c r="D19" s="5">
        <v>-738624.6</v>
      </c>
      <c r="E19" s="30">
        <v>-959401.5</v>
      </c>
      <c r="F19" s="30">
        <v>-290770.31</v>
      </c>
      <c r="G19" s="30">
        <v>8.91</v>
      </c>
      <c r="H19" s="30">
        <v>0</v>
      </c>
      <c r="I19" s="5">
        <f>SUM(C19:H19)</f>
        <v>-1988787.5000000002</v>
      </c>
    </row>
    <row r="20" spans="1:9">
      <c r="A20" s="24" t="s">
        <v>32</v>
      </c>
      <c r="B20" s="25">
        <v>3628</v>
      </c>
      <c r="C20" s="5"/>
      <c r="D20" s="5">
        <v>-218013.42</v>
      </c>
      <c r="E20" s="30">
        <v>-277011.59999999998</v>
      </c>
      <c r="F20" s="30">
        <v>-88055.7</v>
      </c>
      <c r="G20" s="30">
        <v>0</v>
      </c>
      <c r="H20" s="30">
        <v>0</v>
      </c>
      <c r="I20" s="5">
        <f t="shared" ref="I20:I30" si="14">SUM(C20:H20)</f>
        <v>-583080.72</v>
      </c>
    </row>
    <row r="21" spans="1:9">
      <c r="A21" s="26" t="s">
        <v>33</v>
      </c>
      <c r="B21" s="25">
        <v>3629</v>
      </c>
      <c r="C21" s="5"/>
      <c r="D21" s="5">
        <f>-139808.84-3708.5</f>
        <v>-143517.34</v>
      </c>
      <c r="E21" s="30">
        <v>-186513.22</v>
      </c>
      <c r="F21" s="30">
        <v>-58740.97</v>
      </c>
      <c r="G21" s="30">
        <v>0</v>
      </c>
      <c r="H21" s="30">
        <v>0</v>
      </c>
      <c r="I21" s="5">
        <f t="shared" si="14"/>
        <v>-388771.53</v>
      </c>
    </row>
    <row r="22" spans="1:9">
      <c r="A22" s="26" t="s">
        <v>34</v>
      </c>
      <c r="B22" s="25">
        <v>3632</v>
      </c>
      <c r="C22" s="5"/>
      <c r="D22" s="5">
        <v>-16889.080000000002</v>
      </c>
      <c r="E22" s="30">
        <v>-24716.1</v>
      </c>
      <c r="F22" s="30">
        <v>-6170.46</v>
      </c>
      <c r="G22" s="30">
        <v>0</v>
      </c>
      <c r="H22" s="30">
        <v>0</v>
      </c>
      <c r="I22" s="5">
        <f t="shared" si="14"/>
        <v>-47775.64</v>
      </c>
    </row>
    <row r="23" spans="1:9">
      <c r="A23" s="26" t="s">
        <v>35</v>
      </c>
      <c r="B23" s="25">
        <v>3633</v>
      </c>
      <c r="C23" s="5"/>
      <c r="D23" s="5">
        <v>-11517.91</v>
      </c>
      <c r="E23" s="30">
        <v>-17597.509999999998</v>
      </c>
      <c r="F23" s="30">
        <v>-4217.43</v>
      </c>
      <c r="G23" s="30">
        <v>0</v>
      </c>
      <c r="H23" s="30">
        <v>0</v>
      </c>
      <c r="I23" s="5">
        <f t="shared" si="14"/>
        <v>-33332.85</v>
      </c>
    </row>
    <row r="24" spans="1:9">
      <c r="A24" s="26" t="s">
        <v>36</v>
      </c>
      <c r="B24" s="25">
        <v>3634</v>
      </c>
      <c r="C24" s="5"/>
      <c r="D24" s="5">
        <v>-982.55</v>
      </c>
      <c r="E24" s="30">
        <v>-1148.26</v>
      </c>
      <c r="F24" s="30">
        <v>-316.16000000000003</v>
      </c>
      <c r="G24" s="30">
        <v>0</v>
      </c>
      <c r="H24" s="30">
        <v>0</v>
      </c>
      <c r="I24" s="5">
        <f t="shared" si="14"/>
        <v>-2446.9699999999998</v>
      </c>
    </row>
    <row r="25" spans="1:9">
      <c r="A25" s="24" t="s">
        <v>37</v>
      </c>
      <c r="B25" s="25">
        <v>3635</v>
      </c>
      <c r="C25" s="5"/>
      <c r="D25" s="5">
        <v>-383283.23</v>
      </c>
      <c r="E25" s="30">
        <v>-525847.05000000005</v>
      </c>
      <c r="F25" s="30">
        <v>-835594.71</v>
      </c>
      <c r="G25" s="30">
        <v>-1172888.06</v>
      </c>
      <c r="H25" s="30">
        <f>-467202.47-0.05</f>
        <v>-467202.51999999996</v>
      </c>
      <c r="I25" s="5">
        <f t="shared" si="14"/>
        <v>-3384815.57</v>
      </c>
    </row>
    <row r="26" spans="1:9">
      <c r="A26" s="24" t="s">
        <v>38</v>
      </c>
      <c r="B26" s="25">
        <v>3637</v>
      </c>
      <c r="C26" s="5"/>
      <c r="D26" s="5">
        <v>-112738.61</v>
      </c>
      <c r="E26" s="30">
        <v>-153539.24</v>
      </c>
      <c r="F26" s="30">
        <v>-254247.96</v>
      </c>
      <c r="G26" s="30">
        <v>-331401.61</v>
      </c>
      <c r="H26" s="30">
        <v>-115393.42</v>
      </c>
      <c r="I26" s="5">
        <f t="shared" si="14"/>
        <v>-967320.84</v>
      </c>
    </row>
    <row r="27" spans="1:9">
      <c r="A27" s="26" t="s">
        <v>39</v>
      </c>
      <c r="B27" s="25">
        <v>3638</v>
      </c>
      <c r="C27" s="5"/>
      <c r="D27" s="5">
        <f>-249451.5-2280.25</f>
        <v>-251731.75</v>
      </c>
      <c r="E27" s="30">
        <v>-291081.64</v>
      </c>
      <c r="F27" s="30">
        <v>-390329.75</v>
      </c>
      <c r="G27" s="30">
        <v>-415085.01</v>
      </c>
      <c r="H27" s="30">
        <v>-129413.16</v>
      </c>
      <c r="I27" s="5">
        <f t="shared" si="14"/>
        <v>-1477641.3099999998</v>
      </c>
    </row>
    <row r="28" spans="1:9">
      <c r="A28" s="26" t="s">
        <v>40</v>
      </c>
      <c r="B28" s="25">
        <v>3667</v>
      </c>
      <c r="C28" s="5"/>
      <c r="D28" s="5">
        <v>-7831.21</v>
      </c>
      <c r="E28" s="30">
        <v>-14700.13</v>
      </c>
      <c r="F28" s="30">
        <v>-24192.2</v>
      </c>
      <c r="G28" s="30">
        <v>-22156.55</v>
      </c>
      <c r="H28" s="30">
        <v>-5803.19</v>
      </c>
      <c r="I28" s="5">
        <f t="shared" si="14"/>
        <v>-74683.28</v>
      </c>
    </row>
    <row r="29" spans="1:9">
      <c r="A29" s="26" t="s">
        <v>41</v>
      </c>
      <c r="B29" s="25">
        <v>3668</v>
      </c>
      <c r="C29" s="5"/>
      <c r="D29" s="5">
        <v>-5363.8</v>
      </c>
      <c r="E29" s="30">
        <v>-8406.59</v>
      </c>
      <c r="F29" s="30">
        <v>-13847.24</v>
      </c>
      <c r="G29" s="30">
        <v>-18324.439999999999</v>
      </c>
      <c r="H29" s="30">
        <v>-6442.47</v>
      </c>
      <c r="I29" s="5">
        <f t="shared" si="14"/>
        <v>-52384.539999999994</v>
      </c>
    </row>
    <row r="30" spans="1:9">
      <c r="A30" s="26" t="s">
        <v>42</v>
      </c>
      <c r="B30" s="25">
        <v>3669</v>
      </c>
      <c r="C30" s="5"/>
      <c r="D30" s="5">
        <v>-1791.99</v>
      </c>
      <c r="E30" s="30">
        <v>-2211.88</v>
      </c>
      <c r="F30" s="30">
        <v>-2250.41</v>
      </c>
      <c r="G30" s="30">
        <v>-2332.73</v>
      </c>
      <c r="H30" s="30">
        <v>-755.15</v>
      </c>
      <c r="I30" s="5">
        <f t="shared" si="14"/>
        <v>-9342.16</v>
      </c>
    </row>
    <row r="31" spans="1:9" ht="15.75" thickBot="1">
      <c r="C31" s="29">
        <f>SUM(C19:C30)</f>
        <v>0</v>
      </c>
      <c r="D31" s="29">
        <f t="shared" ref="D31" si="15">SUM(D19:D30)</f>
        <v>-1892285.4900000002</v>
      </c>
      <c r="E31" s="29">
        <f t="shared" ref="E31" si="16">SUM(E19:E30)</f>
        <v>-2462174.7200000002</v>
      </c>
      <c r="F31" s="29">
        <f t="shared" ref="F31" si="17">SUM(F19:F30)</f>
        <v>-1968733.2999999998</v>
      </c>
      <c r="G31" s="29">
        <f t="shared" ref="G31" si="18">SUM(G19:G30)</f>
        <v>-1962179.4900000002</v>
      </c>
      <c r="H31" s="29">
        <f t="shared" ref="H31" si="19">SUM(H19:H30)</f>
        <v>-725009.90999999992</v>
      </c>
      <c r="I31" s="29">
        <f t="shared" ref="I31" si="20">SUM(I19:I30)</f>
        <v>-9010382.9099999983</v>
      </c>
    </row>
    <row r="32" spans="1:9" ht="15.75" thickTop="1"/>
    <row r="33" spans="1:9">
      <c r="A33" s="27" t="s">
        <v>1</v>
      </c>
      <c r="C33" s="28">
        <v>2001</v>
      </c>
      <c r="D33" s="28">
        <v>2002</v>
      </c>
      <c r="E33" s="28">
        <v>2003</v>
      </c>
      <c r="F33" s="28">
        <v>2004</v>
      </c>
      <c r="G33" s="28">
        <v>2005</v>
      </c>
      <c r="H33" s="28">
        <v>2006</v>
      </c>
      <c r="I33" s="28" t="s">
        <v>8</v>
      </c>
    </row>
    <row r="34" spans="1:9">
      <c r="A34" s="24" t="s">
        <v>31</v>
      </c>
      <c r="B34" s="25">
        <v>3626</v>
      </c>
      <c r="C34" s="5"/>
      <c r="D34" s="5">
        <v>-2346.09</v>
      </c>
      <c r="E34" s="30">
        <v>-3071.96</v>
      </c>
      <c r="F34" s="30">
        <v>-1014.32</v>
      </c>
      <c r="G34" s="30">
        <v>0</v>
      </c>
      <c r="H34" s="30">
        <v>0</v>
      </c>
      <c r="I34" s="5">
        <f>SUM(C34:H34)</f>
        <v>-6432.37</v>
      </c>
    </row>
    <row r="35" spans="1:9">
      <c r="A35" s="24" t="s">
        <v>32</v>
      </c>
      <c r="B35" s="25">
        <v>3628</v>
      </c>
      <c r="C35" s="5"/>
      <c r="D35" s="5">
        <v>-764.25</v>
      </c>
      <c r="E35" s="30">
        <v>-999.98</v>
      </c>
      <c r="F35" s="30">
        <v>-325.64999999999998</v>
      </c>
      <c r="G35" s="30">
        <v>0</v>
      </c>
      <c r="H35" s="30">
        <v>0</v>
      </c>
      <c r="I35" s="5">
        <f t="shared" ref="I35:I45" si="21">SUM(C35:H35)</f>
        <v>-2089.88</v>
      </c>
    </row>
    <row r="36" spans="1:9">
      <c r="A36" s="26" t="s">
        <v>33</v>
      </c>
      <c r="B36" s="25">
        <v>3629</v>
      </c>
      <c r="C36" s="5"/>
      <c r="D36" s="5">
        <v>-352.21</v>
      </c>
      <c r="E36" s="30">
        <v>-453.53</v>
      </c>
      <c r="F36" s="30">
        <v>-181.73</v>
      </c>
      <c r="G36" s="30">
        <v>0</v>
      </c>
      <c r="H36" s="30">
        <v>0</v>
      </c>
      <c r="I36" s="5">
        <f t="shared" si="21"/>
        <v>-987.47</v>
      </c>
    </row>
    <row r="37" spans="1:9">
      <c r="A37" s="26" t="s">
        <v>34</v>
      </c>
      <c r="B37" s="25">
        <v>3632</v>
      </c>
      <c r="C37" s="5"/>
      <c r="D37" s="5">
        <v>0</v>
      </c>
      <c r="E37" s="30">
        <v>0</v>
      </c>
      <c r="F37" s="30">
        <v>0</v>
      </c>
      <c r="G37" s="30">
        <v>0</v>
      </c>
      <c r="H37" s="30">
        <v>0</v>
      </c>
      <c r="I37" s="5">
        <f t="shared" si="21"/>
        <v>0</v>
      </c>
    </row>
    <row r="38" spans="1:9">
      <c r="A38" s="26" t="s">
        <v>35</v>
      </c>
      <c r="B38" s="25">
        <v>3633</v>
      </c>
      <c r="C38" s="5"/>
      <c r="D38" s="5">
        <v>-44.1</v>
      </c>
      <c r="E38" s="30">
        <v>-74.89</v>
      </c>
      <c r="F38" s="30">
        <v>-18.18</v>
      </c>
      <c r="G38" s="30">
        <v>0</v>
      </c>
      <c r="H38" s="30">
        <v>0</v>
      </c>
      <c r="I38" s="5">
        <f t="shared" si="21"/>
        <v>-137.17000000000002</v>
      </c>
    </row>
    <row r="39" spans="1:9">
      <c r="A39" s="26" t="s">
        <v>36</v>
      </c>
      <c r="B39" s="25">
        <v>3634</v>
      </c>
      <c r="C39" s="5"/>
      <c r="D39" s="5">
        <v>0</v>
      </c>
      <c r="E39" s="30">
        <v>0</v>
      </c>
      <c r="F39" s="30">
        <v>0</v>
      </c>
      <c r="G39" s="30">
        <v>0</v>
      </c>
      <c r="H39" s="30">
        <v>0</v>
      </c>
      <c r="I39" s="5">
        <f t="shared" si="21"/>
        <v>0</v>
      </c>
    </row>
    <row r="40" spans="1:9">
      <c r="A40" s="24" t="s">
        <v>37</v>
      </c>
      <c r="B40" s="25">
        <v>3635</v>
      </c>
      <c r="C40" s="5"/>
      <c r="D40" s="5">
        <v>-2458.71</v>
      </c>
      <c r="E40" s="30">
        <v>-3910.9</v>
      </c>
      <c r="F40" s="30">
        <v>-5140.8599999999997</v>
      </c>
      <c r="G40" s="30">
        <v>-6266.96</v>
      </c>
      <c r="H40" s="30">
        <v>-2536.13</v>
      </c>
      <c r="I40" s="5">
        <f t="shared" si="21"/>
        <v>-20313.560000000001</v>
      </c>
    </row>
    <row r="41" spans="1:9">
      <c r="A41" s="24" t="s">
        <v>38</v>
      </c>
      <c r="B41" s="25">
        <v>3637</v>
      </c>
      <c r="C41" s="5"/>
      <c r="D41" s="5">
        <v>-1157.51</v>
      </c>
      <c r="E41" s="30">
        <v>-1674.3</v>
      </c>
      <c r="F41" s="30">
        <v>-1596.76</v>
      </c>
      <c r="G41" s="30">
        <v>-1818.86</v>
      </c>
      <c r="H41" s="30">
        <v>-711.68</v>
      </c>
      <c r="I41" s="5">
        <f t="shared" si="21"/>
        <v>-6959.11</v>
      </c>
    </row>
    <row r="42" spans="1:9">
      <c r="A42" s="26" t="s">
        <v>39</v>
      </c>
      <c r="B42" s="25">
        <v>3638</v>
      </c>
      <c r="C42" s="5"/>
      <c r="D42" s="5">
        <v>-386.14</v>
      </c>
      <c r="E42" s="30">
        <v>-662.47</v>
      </c>
      <c r="F42" s="30">
        <v>-1322.22</v>
      </c>
      <c r="G42" s="30">
        <v>-1734.82</v>
      </c>
      <c r="H42" s="30">
        <v>-550.53</v>
      </c>
      <c r="I42" s="5">
        <f t="shared" si="21"/>
        <v>-4656.1799999999994</v>
      </c>
    </row>
    <row r="43" spans="1:9">
      <c r="A43" s="26" t="s">
        <v>40</v>
      </c>
      <c r="B43" s="25">
        <v>3667</v>
      </c>
      <c r="C43" s="5"/>
      <c r="D43" s="5">
        <v>0</v>
      </c>
      <c r="E43" s="30">
        <v>0</v>
      </c>
      <c r="F43" s="30">
        <v>0</v>
      </c>
      <c r="G43" s="30">
        <v>0</v>
      </c>
      <c r="H43" s="30">
        <v>0</v>
      </c>
      <c r="I43" s="5">
        <f t="shared" si="21"/>
        <v>0</v>
      </c>
    </row>
    <row r="44" spans="1:9">
      <c r="A44" s="26" t="s">
        <v>41</v>
      </c>
      <c r="B44" s="25">
        <v>3668</v>
      </c>
      <c r="C44" s="5"/>
      <c r="D44" s="5">
        <v>-40.53</v>
      </c>
      <c r="E44" s="30">
        <v>-72.11</v>
      </c>
      <c r="F44" s="30">
        <v>-108.99</v>
      </c>
      <c r="G44" s="30">
        <v>-115.82</v>
      </c>
      <c r="H44" s="30">
        <v>-36</v>
      </c>
      <c r="I44" s="5">
        <f t="shared" si="21"/>
        <v>-373.45</v>
      </c>
    </row>
    <row r="45" spans="1:9">
      <c r="A45" s="26" t="s">
        <v>42</v>
      </c>
      <c r="B45" s="25">
        <v>3669</v>
      </c>
      <c r="C45" s="5"/>
      <c r="D45" s="5">
        <v>45</v>
      </c>
      <c r="E45" s="30">
        <v>0</v>
      </c>
      <c r="F45" s="30">
        <v>-1.61</v>
      </c>
      <c r="G45" s="30">
        <v>-2.68</v>
      </c>
      <c r="H45" s="30">
        <v>-0.88</v>
      </c>
      <c r="I45" s="5">
        <f t="shared" si="21"/>
        <v>39.83</v>
      </c>
    </row>
    <row r="46" spans="1:9" ht="15.75" thickBot="1">
      <c r="C46" s="29">
        <f>SUM(C34:C45)</f>
        <v>0</v>
      </c>
      <c r="D46" s="29">
        <f t="shared" ref="D46" si="22">SUM(D34:D45)</f>
        <v>-7504.5400000000009</v>
      </c>
      <c r="E46" s="29">
        <f t="shared" ref="E46" si="23">SUM(E34:E45)</f>
        <v>-10920.14</v>
      </c>
      <c r="F46" s="29">
        <f t="shared" ref="F46" si="24">SUM(F34:F45)</f>
        <v>-9710.32</v>
      </c>
      <c r="G46" s="29">
        <f t="shared" ref="G46" si="25">SUM(G34:G45)</f>
        <v>-9939.14</v>
      </c>
      <c r="H46" s="29">
        <f t="shared" ref="H46" si="26">SUM(H34:H45)</f>
        <v>-3835.2200000000003</v>
      </c>
      <c r="I46" s="29">
        <f t="shared" ref="I46" si="27">SUM(I34:I45)</f>
        <v>-41909.359999999993</v>
      </c>
    </row>
    <row r="47" spans="1:9" ht="15.75" thickTop="1"/>
    <row r="48" spans="1:9">
      <c r="A48" s="27" t="s">
        <v>2</v>
      </c>
      <c r="C48" s="28">
        <v>2001</v>
      </c>
      <c r="D48" s="28">
        <v>2002</v>
      </c>
      <c r="E48" s="28">
        <v>2003</v>
      </c>
      <c r="F48" s="28">
        <v>2004</v>
      </c>
      <c r="G48" s="28">
        <v>2005</v>
      </c>
      <c r="H48" s="28">
        <v>2006</v>
      </c>
      <c r="I48" s="28" t="s">
        <v>8</v>
      </c>
    </row>
    <row r="49" spans="1:9">
      <c r="A49" s="24" t="s">
        <v>31</v>
      </c>
      <c r="B49" s="25">
        <v>3626</v>
      </c>
      <c r="C49" s="5"/>
      <c r="D49" s="5">
        <v>-10421.33</v>
      </c>
      <c r="E49" s="30">
        <v>-12587.51</v>
      </c>
      <c r="F49" s="30">
        <v>-3178.2</v>
      </c>
      <c r="G49" s="30">
        <v>0</v>
      </c>
      <c r="H49" s="30">
        <v>0</v>
      </c>
      <c r="I49" s="5">
        <f>SUM(C49:H49)</f>
        <v>-26187.040000000001</v>
      </c>
    </row>
    <row r="50" spans="1:9">
      <c r="A50" s="24" t="s">
        <v>32</v>
      </c>
      <c r="B50" s="25">
        <v>3628</v>
      </c>
      <c r="C50" s="5"/>
      <c r="D50" s="5">
        <v>-3893.17</v>
      </c>
      <c r="E50" s="30">
        <v>-4544.8100000000004</v>
      </c>
      <c r="F50" s="30">
        <v>-1143.98</v>
      </c>
      <c r="G50" s="30">
        <v>0</v>
      </c>
      <c r="H50" s="30">
        <v>0</v>
      </c>
      <c r="I50" s="5">
        <f t="shared" ref="I50:I60" si="28">SUM(C50:H50)</f>
        <v>-9581.9599999999991</v>
      </c>
    </row>
    <row r="51" spans="1:9">
      <c r="A51" s="26" t="s">
        <v>33</v>
      </c>
      <c r="B51" s="25">
        <v>3629</v>
      </c>
      <c r="C51" s="5"/>
      <c r="D51" s="5">
        <v>-4015.1</v>
      </c>
      <c r="E51" s="30">
        <v>-4793.01</v>
      </c>
      <c r="F51" s="30">
        <v>-1231.8599999999999</v>
      </c>
      <c r="G51" s="30">
        <v>0</v>
      </c>
      <c r="H51" s="30">
        <v>0</v>
      </c>
      <c r="I51" s="5">
        <f t="shared" si="28"/>
        <v>-10039.970000000001</v>
      </c>
    </row>
    <row r="52" spans="1:9">
      <c r="A52" s="26" t="s">
        <v>34</v>
      </c>
      <c r="B52" s="25">
        <v>3632</v>
      </c>
      <c r="C52" s="5"/>
      <c r="D52" s="5">
        <v>0</v>
      </c>
      <c r="E52" s="30">
        <v>0</v>
      </c>
      <c r="F52" s="30">
        <v>0</v>
      </c>
      <c r="G52" s="30">
        <v>0</v>
      </c>
      <c r="H52" s="30">
        <v>0</v>
      </c>
      <c r="I52" s="5">
        <f t="shared" si="28"/>
        <v>0</v>
      </c>
    </row>
    <row r="53" spans="1:9">
      <c r="A53" s="26" t="s">
        <v>35</v>
      </c>
      <c r="B53" s="25">
        <v>3633</v>
      </c>
      <c r="C53" s="5"/>
      <c r="D53" s="5">
        <v>-131.22999999999999</v>
      </c>
      <c r="E53" s="30">
        <v>-239.04</v>
      </c>
      <c r="F53" s="30">
        <v>0</v>
      </c>
      <c r="G53" s="30">
        <v>0</v>
      </c>
      <c r="H53" s="30">
        <v>0</v>
      </c>
      <c r="I53" s="5">
        <f t="shared" si="28"/>
        <v>-370.27</v>
      </c>
    </row>
    <row r="54" spans="1:9">
      <c r="A54" s="26" t="s">
        <v>36</v>
      </c>
      <c r="B54" s="25">
        <v>3634</v>
      </c>
      <c r="C54" s="5"/>
      <c r="D54" s="5">
        <v>0</v>
      </c>
      <c r="E54" s="30"/>
      <c r="F54" s="30">
        <v>-62.1</v>
      </c>
      <c r="G54" s="30">
        <v>0</v>
      </c>
      <c r="H54" s="30">
        <v>0</v>
      </c>
      <c r="I54" s="5">
        <f t="shared" si="28"/>
        <v>-62.1</v>
      </c>
    </row>
    <row r="55" spans="1:9">
      <c r="A55" s="24" t="s">
        <v>37</v>
      </c>
      <c r="B55" s="25">
        <v>3635</v>
      </c>
      <c r="C55" s="5"/>
      <c r="D55" s="5">
        <v>-4155.6000000000004</v>
      </c>
      <c r="E55" s="30">
        <v>-5166.88</v>
      </c>
      <c r="F55" s="30">
        <v>-8776.23</v>
      </c>
      <c r="G55" s="30">
        <v>-13769.52</v>
      </c>
      <c r="H55" s="30">
        <v>-6067.65</v>
      </c>
      <c r="I55" s="5">
        <f t="shared" si="28"/>
        <v>-37935.879999999997</v>
      </c>
    </row>
    <row r="56" spans="1:9">
      <c r="A56" s="24" t="s">
        <v>38</v>
      </c>
      <c r="B56" s="25">
        <v>3637</v>
      </c>
      <c r="C56" s="5"/>
      <c r="D56" s="5">
        <v>-1296.67</v>
      </c>
      <c r="E56" s="30">
        <v>-1793.2</v>
      </c>
      <c r="F56" s="30">
        <v>-3401.43</v>
      </c>
      <c r="G56" s="30">
        <v>-5587.02</v>
      </c>
      <c r="H56" s="30">
        <v>-2194.87</v>
      </c>
      <c r="I56" s="5">
        <f t="shared" si="28"/>
        <v>-14273.189999999999</v>
      </c>
    </row>
    <row r="57" spans="1:9">
      <c r="A57" s="26" t="s">
        <v>39</v>
      </c>
      <c r="B57" s="25">
        <v>3638</v>
      </c>
      <c r="C57" s="5"/>
      <c r="D57" s="5">
        <v>-1609.16</v>
      </c>
      <c r="E57" s="30">
        <v>-1334.54</v>
      </c>
      <c r="F57" s="30">
        <v>-4431.1000000000004</v>
      </c>
      <c r="G57" s="30">
        <v>-6059.22</v>
      </c>
      <c r="H57" s="30">
        <v>-2183.17</v>
      </c>
      <c r="I57" s="5">
        <f t="shared" si="28"/>
        <v>-15617.19</v>
      </c>
    </row>
    <row r="58" spans="1:9">
      <c r="A58" s="26" t="s">
        <v>40</v>
      </c>
      <c r="B58" s="25">
        <v>3667</v>
      </c>
      <c r="C58" s="5"/>
      <c r="D58" s="5">
        <v>0</v>
      </c>
      <c r="E58" s="30">
        <v>0</v>
      </c>
      <c r="F58" s="30">
        <v>0</v>
      </c>
      <c r="G58" s="30">
        <v>0</v>
      </c>
      <c r="H58" s="30">
        <v>0</v>
      </c>
      <c r="I58" s="5">
        <f t="shared" si="28"/>
        <v>0</v>
      </c>
    </row>
    <row r="59" spans="1:9">
      <c r="A59" s="26" t="s">
        <v>41</v>
      </c>
      <c r="B59" s="25">
        <v>3668</v>
      </c>
      <c r="C59" s="5"/>
      <c r="D59" s="5">
        <v>-143.12</v>
      </c>
      <c r="E59" s="30">
        <v>-97.78</v>
      </c>
      <c r="F59" s="30">
        <v>-159.09</v>
      </c>
      <c r="G59" s="30">
        <v>-229.04</v>
      </c>
      <c r="H59" s="30">
        <v>-82.84</v>
      </c>
      <c r="I59" s="5">
        <f t="shared" si="28"/>
        <v>-711.87</v>
      </c>
    </row>
    <row r="60" spans="1:9">
      <c r="A60" s="26" t="s">
        <v>42</v>
      </c>
      <c r="B60" s="25">
        <v>3669</v>
      </c>
      <c r="C60" s="5"/>
      <c r="D60" s="5">
        <v>0</v>
      </c>
      <c r="E60" s="30">
        <v>0</v>
      </c>
      <c r="F60" s="30">
        <v>-18.05</v>
      </c>
      <c r="G60" s="30">
        <v>-35.729999999999997</v>
      </c>
      <c r="H60" s="30">
        <v>-13.34</v>
      </c>
      <c r="I60" s="5">
        <f t="shared" si="28"/>
        <v>-67.12</v>
      </c>
    </row>
    <row r="61" spans="1:9" ht="15.75" thickBot="1">
      <c r="C61" s="29">
        <f>SUM(C49:C60)</f>
        <v>0</v>
      </c>
      <c r="D61" s="29">
        <f t="shared" ref="D61" si="29">SUM(D49:D60)</f>
        <v>-25665.379999999997</v>
      </c>
      <c r="E61" s="29">
        <f t="shared" ref="E61" si="30">SUM(E49:E60)</f>
        <v>-30556.770000000004</v>
      </c>
      <c r="F61" s="29">
        <f t="shared" ref="F61" si="31">SUM(F49:F60)</f>
        <v>-22402.04</v>
      </c>
      <c r="G61" s="29">
        <f t="shared" ref="G61" si="32">SUM(G49:G60)</f>
        <v>-25680.530000000002</v>
      </c>
      <c r="H61" s="29">
        <f t="shared" ref="H61" si="33">SUM(H49:H60)</f>
        <v>-10541.87</v>
      </c>
      <c r="I61" s="29">
        <f t="shared" ref="I61" si="34">SUM(I49:I60)</f>
        <v>-114846.59</v>
      </c>
    </row>
    <row r="62" spans="1:9" ht="15.75" thickTop="1"/>
    <row r="64" spans="1:9">
      <c r="A64" s="27" t="s">
        <v>43</v>
      </c>
      <c r="C64" s="28">
        <v>2001</v>
      </c>
      <c r="D64" s="28">
        <v>2002</v>
      </c>
      <c r="E64" s="28">
        <v>2003</v>
      </c>
      <c r="F64" s="28">
        <v>2004</v>
      </c>
      <c r="G64" s="28">
        <v>2005</v>
      </c>
      <c r="H64" s="28">
        <v>2006</v>
      </c>
      <c r="I64" s="28" t="s">
        <v>8</v>
      </c>
    </row>
    <row r="65" spans="1:9">
      <c r="A65" s="24" t="s">
        <v>45</v>
      </c>
      <c r="C65" s="5">
        <f>C74+C83+C92</f>
        <v>0</v>
      </c>
      <c r="D65" s="5">
        <f t="shared" ref="D65:H65" si="35">D74+D83+D92</f>
        <v>-1141289.56</v>
      </c>
      <c r="E65" s="5">
        <f t="shared" si="35"/>
        <v>-1509985.8</v>
      </c>
      <c r="F65" s="5">
        <f t="shared" si="35"/>
        <v>-1144474.6299999999</v>
      </c>
      <c r="G65" s="5">
        <f t="shared" si="35"/>
        <v>-1192915.6300000001</v>
      </c>
      <c r="H65" s="5">
        <f t="shared" si="35"/>
        <v>-475806.3</v>
      </c>
      <c r="I65" s="5">
        <f>SUM(C65:H65)</f>
        <v>-5464471.9199999999</v>
      </c>
    </row>
    <row r="66" spans="1:9">
      <c r="A66" s="24" t="s">
        <v>46</v>
      </c>
      <c r="C66" s="5">
        <f t="shared" ref="C66:H66" si="36">C75+C84+C93</f>
        <v>0</v>
      </c>
      <c r="D66" s="5">
        <f t="shared" si="36"/>
        <v>-337863.63000000006</v>
      </c>
      <c r="E66" s="5">
        <f t="shared" si="36"/>
        <v>-439563.13</v>
      </c>
      <c r="F66" s="5">
        <f t="shared" si="36"/>
        <v>-348771.47999999992</v>
      </c>
      <c r="G66" s="5">
        <f t="shared" si="36"/>
        <v>-338807.49</v>
      </c>
      <c r="H66" s="5">
        <f t="shared" si="36"/>
        <v>-118299.96999999999</v>
      </c>
      <c r="I66" s="5">
        <f t="shared" ref="I66:I70" si="37">SUM(C66:H66)</f>
        <v>-1583305.7</v>
      </c>
    </row>
    <row r="67" spans="1:9">
      <c r="A67" s="26" t="s">
        <v>47</v>
      </c>
      <c r="C67" s="5">
        <f t="shared" ref="C67:H67" si="38">C76+C85+C94</f>
        <v>0</v>
      </c>
      <c r="D67" s="5">
        <f t="shared" si="38"/>
        <v>-401611.69999999995</v>
      </c>
      <c r="E67" s="5">
        <f t="shared" si="38"/>
        <v>-484838.41</v>
      </c>
      <c r="F67" s="5">
        <f t="shared" si="38"/>
        <v>-456237.63</v>
      </c>
      <c r="G67" s="5">
        <f t="shared" si="38"/>
        <v>-422879.05</v>
      </c>
      <c r="H67" s="5">
        <f t="shared" si="38"/>
        <v>-132146.86000000002</v>
      </c>
      <c r="I67" s="5">
        <f t="shared" si="37"/>
        <v>-1897713.65</v>
      </c>
    </row>
    <row r="68" spans="1:9">
      <c r="A68" s="26" t="s">
        <v>48</v>
      </c>
      <c r="C68" s="5">
        <f t="shared" ref="C68:H68" si="39">C77+C86+C95</f>
        <v>0</v>
      </c>
      <c r="D68" s="5">
        <f t="shared" si="39"/>
        <v>-24720.29</v>
      </c>
      <c r="E68" s="5">
        <f t="shared" si="39"/>
        <v>-39416.229999999996</v>
      </c>
      <c r="F68" s="5">
        <f t="shared" si="39"/>
        <v>-30362.66</v>
      </c>
      <c r="G68" s="5">
        <f t="shared" si="39"/>
        <v>-22156.55</v>
      </c>
      <c r="H68" s="5">
        <f t="shared" si="39"/>
        <v>-5803.19</v>
      </c>
      <c r="I68" s="5">
        <f t="shared" si="37"/>
        <v>-122458.92</v>
      </c>
    </row>
    <row r="69" spans="1:9">
      <c r="A69" s="26" t="s">
        <v>49</v>
      </c>
      <c r="C69" s="5">
        <f t="shared" ref="C69:H69" si="40">C78+C87+C96</f>
        <v>0</v>
      </c>
      <c r="D69" s="5">
        <f t="shared" si="40"/>
        <v>-17240.689999999999</v>
      </c>
      <c r="E69" s="5">
        <f t="shared" si="40"/>
        <v>-26487.919999999998</v>
      </c>
      <c r="F69" s="5">
        <f t="shared" si="40"/>
        <v>-18350.929999999997</v>
      </c>
      <c r="G69" s="5">
        <f t="shared" si="40"/>
        <v>-18669.3</v>
      </c>
      <c r="H69" s="5">
        <f t="shared" si="40"/>
        <v>-6561.31</v>
      </c>
      <c r="I69" s="5">
        <f t="shared" si="37"/>
        <v>-87310.15</v>
      </c>
    </row>
    <row r="70" spans="1:9">
      <c r="A70" s="26" t="s">
        <v>50</v>
      </c>
      <c r="C70" s="5">
        <f t="shared" ref="C70:H70" si="41">C79+C88+C97</f>
        <v>0</v>
      </c>
      <c r="D70" s="5">
        <f t="shared" si="41"/>
        <v>-2729.54</v>
      </c>
      <c r="E70" s="5">
        <f t="shared" si="41"/>
        <v>-3360.1400000000003</v>
      </c>
      <c r="F70" s="5">
        <f t="shared" si="41"/>
        <v>-2648.33</v>
      </c>
      <c r="G70" s="5">
        <f t="shared" si="41"/>
        <v>-2371.14</v>
      </c>
      <c r="H70" s="5">
        <f t="shared" si="41"/>
        <v>-769.37</v>
      </c>
      <c r="I70" s="5">
        <f t="shared" si="37"/>
        <v>-11878.52</v>
      </c>
    </row>
    <row r="71" spans="1:9" ht="15.75" thickBot="1">
      <c r="A71" s="24"/>
      <c r="C71" s="29">
        <f>SUM(C65:C70)</f>
        <v>0</v>
      </c>
      <c r="D71" s="29">
        <f t="shared" ref="D71:I71" si="42">SUM(D65:D70)</f>
        <v>-1925455.4100000001</v>
      </c>
      <c r="E71" s="29">
        <f t="shared" si="42"/>
        <v>-2503651.6300000004</v>
      </c>
      <c r="F71" s="29">
        <f t="shared" si="42"/>
        <v>-2000845.6599999997</v>
      </c>
      <c r="G71" s="29">
        <f t="shared" si="42"/>
        <v>-1997799.1600000001</v>
      </c>
      <c r="H71" s="29">
        <f t="shared" si="42"/>
        <v>-739387</v>
      </c>
      <c r="I71" s="29">
        <f t="shared" si="42"/>
        <v>-9167138.8599999994</v>
      </c>
    </row>
    <row r="72" spans="1:9" ht="15.75" thickTop="1">
      <c r="A72" s="24"/>
    </row>
    <row r="73" spans="1:9">
      <c r="A73" s="27" t="s">
        <v>0</v>
      </c>
      <c r="C73" s="28">
        <v>2001</v>
      </c>
      <c r="D73" s="28">
        <v>2002</v>
      </c>
      <c r="E73" s="28">
        <v>2003</v>
      </c>
      <c r="F73" s="28">
        <v>2004</v>
      </c>
      <c r="G73" s="28">
        <v>2005</v>
      </c>
      <c r="H73" s="28">
        <v>2006</v>
      </c>
      <c r="I73" s="28" t="s">
        <v>8</v>
      </c>
    </row>
    <row r="74" spans="1:9">
      <c r="A74" s="24" t="s">
        <v>45</v>
      </c>
      <c r="C74" s="5">
        <f>C19+C25</f>
        <v>0</v>
      </c>
      <c r="D74" s="5">
        <f t="shared" ref="D74:H74" si="43">D19+D25</f>
        <v>-1121907.83</v>
      </c>
      <c r="E74" s="5">
        <f t="shared" si="43"/>
        <v>-1485248.55</v>
      </c>
      <c r="F74" s="5">
        <f t="shared" si="43"/>
        <v>-1126365.02</v>
      </c>
      <c r="G74" s="5">
        <f t="shared" si="43"/>
        <v>-1172879.1500000001</v>
      </c>
      <c r="H74" s="5">
        <f t="shared" si="43"/>
        <v>-467202.51999999996</v>
      </c>
      <c r="I74" s="5">
        <f>SUM(C74:H74)</f>
        <v>-5373603.0699999994</v>
      </c>
    </row>
    <row r="75" spans="1:9">
      <c r="A75" s="24" t="s">
        <v>46</v>
      </c>
      <c r="C75" s="5">
        <f t="shared" ref="C75:H79" si="44">C20+C26</f>
        <v>0</v>
      </c>
      <c r="D75" s="5">
        <f t="shared" si="44"/>
        <v>-330752.03000000003</v>
      </c>
      <c r="E75" s="5">
        <f t="shared" si="44"/>
        <v>-430550.83999999997</v>
      </c>
      <c r="F75" s="5">
        <f t="shared" si="44"/>
        <v>-342303.66</v>
      </c>
      <c r="G75" s="5">
        <f t="shared" si="44"/>
        <v>-331401.61</v>
      </c>
      <c r="H75" s="5">
        <f t="shared" si="44"/>
        <v>-115393.42</v>
      </c>
      <c r="I75" s="5">
        <f t="shared" ref="I75:I79" si="45">SUM(C75:H75)</f>
        <v>-1550401.56</v>
      </c>
    </row>
    <row r="76" spans="1:9">
      <c r="A76" s="26" t="s">
        <v>47</v>
      </c>
      <c r="C76" s="5">
        <f t="shared" si="44"/>
        <v>0</v>
      </c>
      <c r="D76" s="5">
        <f t="shared" si="44"/>
        <v>-395249.08999999997</v>
      </c>
      <c r="E76" s="5">
        <f t="shared" si="44"/>
        <v>-477594.86</v>
      </c>
      <c r="F76" s="5">
        <f t="shared" si="44"/>
        <v>-449070.72</v>
      </c>
      <c r="G76" s="5">
        <f t="shared" si="44"/>
        <v>-415085.01</v>
      </c>
      <c r="H76" s="5">
        <f t="shared" si="44"/>
        <v>-129413.16</v>
      </c>
      <c r="I76" s="5">
        <f t="shared" si="45"/>
        <v>-1866412.8399999999</v>
      </c>
    </row>
    <row r="77" spans="1:9">
      <c r="A77" s="26" t="s">
        <v>48</v>
      </c>
      <c r="C77" s="5">
        <f t="shared" si="44"/>
        <v>0</v>
      </c>
      <c r="D77" s="5">
        <f t="shared" si="44"/>
        <v>-24720.29</v>
      </c>
      <c r="E77" s="5">
        <f t="shared" si="44"/>
        <v>-39416.229999999996</v>
      </c>
      <c r="F77" s="5">
        <f t="shared" si="44"/>
        <v>-30362.66</v>
      </c>
      <c r="G77" s="5">
        <f t="shared" si="44"/>
        <v>-22156.55</v>
      </c>
      <c r="H77" s="5">
        <f t="shared" si="44"/>
        <v>-5803.19</v>
      </c>
      <c r="I77" s="5">
        <f t="shared" si="45"/>
        <v>-122458.92</v>
      </c>
    </row>
    <row r="78" spans="1:9">
      <c r="A78" s="26" t="s">
        <v>49</v>
      </c>
      <c r="C78" s="5">
        <f t="shared" si="44"/>
        <v>0</v>
      </c>
      <c r="D78" s="5">
        <f t="shared" si="44"/>
        <v>-16881.71</v>
      </c>
      <c r="E78" s="5">
        <f t="shared" si="44"/>
        <v>-26004.1</v>
      </c>
      <c r="F78" s="5">
        <f t="shared" si="44"/>
        <v>-18064.669999999998</v>
      </c>
      <c r="G78" s="5">
        <f t="shared" si="44"/>
        <v>-18324.439999999999</v>
      </c>
      <c r="H78" s="5">
        <f t="shared" si="44"/>
        <v>-6442.47</v>
      </c>
      <c r="I78" s="5">
        <f t="shared" si="45"/>
        <v>-85717.39</v>
      </c>
    </row>
    <row r="79" spans="1:9">
      <c r="A79" s="26" t="s">
        <v>50</v>
      </c>
      <c r="C79" s="5">
        <f t="shared" si="44"/>
        <v>0</v>
      </c>
      <c r="D79" s="5">
        <f t="shared" si="44"/>
        <v>-2774.54</v>
      </c>
      <c r="E79" s="5">
        <f t="shared" si="44"/>
        <v>-3360.1400000000003</v>
      </c>
      <c r="F79" s="5">
        <f t="shared" si="44"/>
        <v>-2566.5699999999997</v>
      </c>
      <c r="G79" s="5">
        <f t="shared" si="44"/>
        <v>-2332.73</v>
      </c>
      <c r="H79" s="5">
        <f t="shared" si="44"/>
        <v>-755.15</v>
      </c>
      <c r="I79" s="5">
        <f t="shared" si="45"/>
        <v>-11789.13</v>
      </c>
    </row>
    <row r="80" spans="1:9" ht="15.75" thickBot="1">
      <c r="A80" s="24"/>
      <c r="C80" s="29">
        <f>SUM(C74:C79)</f>
        <v>0</v>
      </c>
      <c r="D80" s="29">
        <f t="shared" ref="D80" si="46">SUM(D74:D79)</f>
        <v>-1892285.4900000002</v>
      </c>
      <c r="E80" s="29">
        <f t="shared" ref="E80" si="47">SUM(E74:E79)</f>
        <v>-2462174.7200000002</v>
      </c>
      <c r="F80" s="29">
        <f t="shared" ref="F80" si="48">SUM(F74:F79)</f>
        <v>-1968733.2999999998</v>
      </c>
      <c r="G80" s="29">
        <f t="shared" ref="G80" si="49">SUM(G74:G79)</f>
        <v>-1962179.4900000002</v>
      </c>
      <c r="H80" s="29">
        <f t="shared" ref="H80" si="50">SUM(H74:H79)</f>
        <v>-725009.90999999992</v>
      </c>
      <c r="I80" s="29">
        <f t="shared" ref="I80" si="51">SUM(I74:I79)</f>
        <v>-9010382.9100000001</v>
      </c>
    </row>
    <row r="81" spans="1:9" ht="15.75" thickTop="1"/>
    <row r="82" spans="1:9">
      <c r="A82" s="27" t="s">
        <v>1</v>
      </c>
      <c r="C82" s="28">
        <v>2001</v>
      </c>
      <c r="D82" s="28">
        <v>2002</v>
      </c>
      <c r="E82" s="28">
        <v>2003</v>
      </c>
      <c r="F82" s="28">
        <v>2004</v>
      </c>
      <c r="G82" s="28">
        <v>2005</v>
      </c>
      <c r="H82" s="28">
        <v>2006</v>
      </c>
      <c r="I82" s="28" t="s">
        <v>8</v>
      </c>
    </row>
    <row r="83" spans="1:9">
      <c r="A83" s="24" t="s">
        <v>45</v>
      </c>
      <c r="C83" s="5">
        <f>C34+C40</f>
        <v>0</v>
      </c>
      <c r="D83" s="5">
        <f t="shared" ref="D83:H83" si="52">D34+D40</f>
        <v>-4804.8</v>
      </c>
      <c r="E83" s="5">
        <f t="shared" si="52"/>
        <v>-6982.8600000000006</v>
      </c>
      <c r="F83" s="5">
        <f t="shared" si="52"/>
        <v>-6155.1799999999994</v>
      </c>
      <c r="G83" s="5">
        <f t="shared" si="52"/>
        <v>-6266.96</v>
      </c>
      <c r="H83" s="5">
        <f t="shared" si="52"/>
        <v>-2536.13</v>
      </c>
      <c r="I83" s="5">
        <f>SUM(C83:H83)</f>
        <v>-26745.93</v>
      </c>
    </row>
    <row r="84" spans="1:9">
      <c r="A84" s="24" t="s">
        <v>46</v>
      </c>
      <c r="C84" s="5">
        <f t="shared" ref="C84:H84" si="53">C35+C41</f>
        <v>0</v>
      </c>
      <c r="D84" s="5">
        <f t="shared" si="53"/>
        <v>-1921.76</v>
      </c>
      <c r="E84" s="5">
        <f t="shared" si="53"/>
        <v>-2674.2799999999997</v>
      </c>
      <c r="F84" s="5">
        <f t="shared" si="53"/>
        <v>-1922.4099999999999</v>
      </c>
      <c r="G84" s="5">
        <f t="shared" si="53"/>
        <v>-1818.86</v>
      </c>
      <c r="H84" s="5">
        <f t="shared" si="53"/>
        <v>-711.68</v>
      </c>
      <c r="I84" s="5">
        <f t="shared" ref="I84:I88" si="54">SUM(C84:H84)</f>
        <v>-9048.99</v>
      </c>
    </row>
    <row r="85" spans="1:9">
      <c r="A85" s="26" t="s">
        <v>47</v>
      </c>
      <c r="C85" s="5">
        <f t="shared" ref="C85:H85" si="55">C36+C42</f>
        <v>0</v>
      </c>
      <c r="D85" s="5">
        <f t="shared" si="55"/>
        <v>-738.34999999999991</v>
      </c>
      <c r="E85" s="5">
        <f t="shared" si="55"/>
        <v>-1116</v>
      </c>
      <c r="F85" s="5">
        <f t="shared" si="55"/>
        <v>-1503.95</v>
      </c>
      <c r="G85" s="5">
        <f t="shared" si="55"/>
        <v>-1734.82</v>
      </c>
      <c r="H85" s="5">
        <f t="shared" si="55"/>
        <v>-550.53</v>
      </c>
      <c r="I85" s="5">
        <f t="shared" si="54"/>
        <v>-5643.65</v>
      </c>
    </row>
    <row r="86" spans="1:9">
      <c r="A86" s="26" t="s">
        <v>48</v>
      </c>
      <c r="C86" s="5">
        <f t="shared" ref="C86:H86" si="56">C37+C43</f>
        <v>0</v>
      </c>
      <c r="D86" s="5">
        <f t="shared" si="56"/>
        <v>0</v>
      </c>
      <c r="E86" s="5">
        <f t="shared" si="56"/>
        <v>0</v>
      </c>
      <c r="F86" s="5">
        <f t="shared" si="56"/>
        <v>0</v>
      </c>
      <c r="G86" s="5">
        <f t="shared" si="56"/>
        <v>0</v>
      </c>
      <c r="H86" s="5">
        <f t="shared" si="56"/>
        <v>0</v>
      </c>
      <c r="I86" s="5">
        <f t="shared" si="54"/>
        <v>0</v>
      </c>
    </row>
    <row r="87" spans="1:9">
      <c r="A87" s="26" t="s">
        <v>49</v>
      </c>
      <c r="C87" s="5">
        <f t="shared" ref="C87:H87" si="57">C38+C44</f>
        <v>0</v>
      </c>
      <c r="D87" s="5">
        <f t="shared" si="57"/>
        <v>-84.63</v>
      </c>
      <c r="E87" s="5">
        <f t="shared" si="57"/>
        <v>-147</v>
      </c>
      <c r="F87" s="5">
        <f t="shared" si="57"/>
        <v>-127.16999999999999</v>
      </c>
      <c r="G87" s="5">
        <f t="shared" si="57"/>
        <v>-115.82</v>
      </c>
      <c r="H87" s="5">
        <f t="shared" si="57"/>
        <v>-36</v>
      </c>
      <c r="I87" s="5">
        <f t="shared" si="54"/>
        <v>-510.61999999999995</v>
      </c>
    </row>
    <row r="88" spans="1:9">
      <c r="A88" s="26" t="s">
        <v>50</v>
      </c>
      <c r="C88" s="5">
        <f t="shared" ref="C88:H88" si="58">C39+C45</f>
        <v>0</v>
      </c>
      <c r="D88" s="5">
        <f t="shared" si="58"/>
        <v>45</v>
      </c>
      <c r="E88" s="5">
        <f t="shared" si="58"/>
        <v>0</v>
      </c>
      <c r="F88" s="5">
        <f t="shared" si="58"/>
        <v>-1.61</v>
      </c>
      <c r="G88" s="5">
        <f t="shared" si="58"/>
        <v>-2.68</v>
      </c>
      <c r="H88" s="5">
        <f t="shared" si="58"/>
        <v>-0.88</v>
      </c>
      <c r="I88" s="5">
        <f t="shared" si="54"/>
        <v>39.83</v>
      </c>
    </row>
    <row r="89" spans="1:9" ht="15.75" thickBot="1">
      <c r="A89" s="24"/>
      <c r="C89" s="29">
        <f>SUM(C83:C88)</f>
        <v>0</v>
      </c>
      <c r="D89" s="29">
        <f t="shared" ref="D89" si="59">SUM(D83:D88)</f>
        <v>-7504.54</v>
      </c>
      <c r="E89" s="29">
        <f t="shared" ref="E89" si="60">SUM(E83:E88)</f>
        <v>-10920.14</v>
      </c>
      <c r="F89" s="29">
        <f t="shared" ref="F89" si="61">SUM(F83:F88)</f>
        <v>-9710.32</v>
      </c>
      <c r="G89" s="29">
        <f t="shared" ref="G89" si="62">SUM(G83:G88)</f>
        <v>-9939.14</v>
      </c>
      <c r="H89" s="29">
        <f t="shared" ref="H89" si="63">SUM(H83:H88)</f>
        <v>-3835.2200000000003</v>
      </c>
      <c r="I89" s="29">
        <f t="shared" ref="I89" si="64">SUM(I83:I88)</f>
        <v>-41909.360000000001</v>
      </c>
    </row>
    <row r="90" spans="1:9" ht="15.75" thickTop="1"/>
    <row r="91" spans="1:9">
      <c r="A91" s="27" t="s">
        <v>2</v>
      </c>
      <c r="C91" s="28">
        <v>2001</v>
      </c>
      <c r="D91" s="28">
        <v>2002</v>
      </c>
      <c r="E91" s="28">
        <v>2003</v>
      </c>
      <c r="F91" s="28">
        <v>2004</v>
      </c>
      <c r="G91" s="28">
        <v>2005</v>
      </c>
      <c r="H91" s="28">
        <v>2006</v>
      </c>
      <c r="I91" s="28" t="s">
        <v>8</v>
      </c>
    </row>
    <row r="92" spans="1:9">
      <c r="A92" s="24" t="s">
        <v>45</v>
      </c>
      <c r="C92" s="5">
        <f>C49+C55</f>
        <v>0</v>
      </c>
      <c r="D92" s="5">
        <f t="shared" ref="D92:H92" si="65">D49+D55</f>
        <v>-14576.93</v>
      </c>
      <c r="E92" s="5">
        <f t="shared" si="65"/>
        <v>-17754.39</v>
      </c>
      <c r="F92" s="5">
        <f t="shared" si="65"/>
        <v>-11954.43</v>
      </c>
      <c r="G92" s="5">
        <f t="shared" si="65"/>
        <v>-13769.52</v>
      </c>
      <c r="H92" s="5">
        <f t="shared" si="65"/>
        <v>-6067.65</v>
      </c>
      <c r="I92" s="5">
        <f>SUM(C92:H92)</f>
        <v>-64122.920000000006</v>
      </c>
    </row>
    <row r="93" spans="1:9">
      <c r="A93" s="24" t="s">
        <v>46</v>
      </c>
      <c r="C93" s="5">
        <f t="shared" ref="C93:H93" si="66">C50+C56</f>
        <v>0</v>
      </c>
      <c r="D93" s="5">
        <f t="shared" si="66"/>
        <v>-5189.84</v>
      </c>
      <c r="E93" s="5">
        <f t="shared" si="66"/>
        <v>-6338.01</v>
      </c>
      <c r="F93" s="5">
        <f t="shared" si="66"/>
        <v>-4545.41</v>
      </c>
      <c r="G93" s="5">
        <f t="shared" si="66"/>
        <v>-5587.02</v>
      </c>
      <c r="H93" s="5">
        <f t="shared" si="66"/>
        <v>-2194.87</v>
      </c>
      <c r="I93" s="5">
        <f t="shared" ref="I93:I97" si="67">SUM(C93:H93)</f>
        <v>-23855.149999999998</v>
      </c>
    </row>
    <row r="94" spans="1:9">
      <c r="A94" s="26" t="s">
        <v>47</v>
      </c>
      <c r="C94" s="5">
        <f t="shared" ref="C94:H94" si="68">C51+C57</f>
        <v>0</v>
      </c>
      <c r="D94" s="5">
        <f t="shared" si="68"/>
        <v>-5624.26</v>
      </c>
      <c r="E94" s="5">
        <f t="shared" si="68"/>
        <v>-6127.55</v>
      </c>
      <c r="F94" s="5">
        <f t="shared" si="68"/>
        <v>-5662.96</v>
      </c>
      <c r="G94" s="5">
        <f t="shared" si="68"/>
        <v>-6059.22</v>
      </c>
      <c r="H94" s="5">
        <f t="shared" si="68"/>
        <v>-2183.17</v>
      </c>
      <c r="I94" s="5">
        <f t="shared" si="67"/>
        <v>-25657.160000000003</v>
      </c>
    </row>
    <row r="95" spans="1:9">
      <c r="A95" s="26" t="s">
        <v>48</v>
      </c>
      <c r="C95" s="5">
        <f t="shared" ref="C95:H95" si="69">C52+C58</f>
        <v>0</v>
      </c>
      <c r="D95" s="5">
        <f t="shared" si="69"/>
        <v>0</v>
      </c>
      <c r="E95" s="5">
        <f t="shared" si="69"/>
        <v>0</v>
      </c>
      <c r="F95" s="5">
        <f t="shared" si="69"/>
        <v>0</v>
      </c>
      <c r="G95" s="5">
        <f t="shared" si="69"/>
        <v>0</v>
      </c>
      <c r="H95" s="5">
        <f t="shared" si="69"/>
        <v>0</v>
      </c>
      <c r="I95" s="5">
        <f t="shared" si="67"/>
        <v>0</v>
      </c>
    </row>
    <row r="96" spans="1:9">
      <c r="A96" s="26" t="s">
        <v>49</v>
      </c>
      <c r="C96" s="5">
        <f t="shared" ref="C96:H96" si="70">C53+C59</f>
        <v>0</v>
      </c>
      <c r="D96" s="5">
        <f t="shared" si="70"/>
        <v>-274.35000000000002</v>
      </c>
      <c r="E96" s="5">
        <f t="shared" si="70"/>
        <v>-336.82</v>
      </c>
      <c r="F96" s="5">
        <f t="shared" si="70"/>
        <v>-159.09</v>
      </c>
      <c r="G96" s="5">
        <f t="shared" si="70"/>
        <v>-229.04</v>
      </c>
      <c r="H96" s="5">
        <f t="shared" si="70"/>
        <v>-82.84</v>
      </c>
      <c r="I96" s="5">
        <f t="shared" si="67"/>
        <v>-1082.1400000000001</v>
      </c>
    </row>
    <row r="97" spans="1:9">
      <c r="A97" s="26" t="s">
        <v>50</v>
      </c>
      <c r="C97" s="5">
        <f t="shared" ref="C97:H97" si="71">C54+C60</f>
        <v>0</v>
      </c>
      <c r="D97" s="5">
        <f t="shared" si="71"/>
        <v>0</v>
      </c>
      <c r="E97" s="5">
        <f t="shared" si="71"/>
        <v>0</v>
      </c>
      <c r="F97" s="5">
        <f t="shared" si="71"/>
        <v>-80.150000000000006</v>
      </c>
      <c r="G97" s="5">
        <f t="shared" si="71"/>
        <v>-35.729999999999997</v>
      </c>
      <c r="H97" s="5">
        <f t="shared" si="71"/>
        <v>-13.34</v>
      </c>
      <c r="I97" s="5">
        <f t="shared" si="67"/>
        <v>-129.22</v>
      </c>
    </row>
    <row r="98" spans="1:9" ht="15.75" thickBot="1">
      <c r="A98" s="24"/>
      <c r="C98" s="29">
        <f>SUM(C92:C97)</f>
        <v>0</v>
      </c>
      <c r="D98" s="29">
        <f t="shared" ref="D98" si="72">SUM(D92:D97)</f>
        <v>-25665.379999999997</v>
      </c>
      <c r="E98" s="29">
        <f t="shared" ref="E98" si="73">SUM(E92:E97)</f>
        <v>-30556.77</v>
      </c>
      <c r="F98" s="29">
        <f t="shared" ref="F98" si="74">SUM(F92:F97)</f>
        <v>-22402.04</v>
      </c>
      <c r="G98" s="29">
        <f t="shared" ref="G98" si="75">SUM(G92:G97)</f>
        <v>-25680.530000000002</v>
      </c>
      <c r="H98" s="29">
        <f t="shared" ref="H98" si="76">SUM(H92:H97)</f>
        <v>-10541.87</v>
      </c>
      <c r="I98" s="29">
        <f t="shared" ref="I98" si="77">SUM(I92:I97)</f>
        <v>-114846.59000000001</v>
      </c>
    </row>
    <row r="99" spans="1:9" ht="15.75" thickTop="1"/>
  </sheetData>
  <pageMargins left="0.7" right="0.7" top="0.75" bottom="0.75" header="0.3" footer="0.3"/>
  <pageSetup scale="87" fitToHeight="0" orientation="landscape" r:id="rId1"/>
  <headerFooter>
    <oddFooter>&amp;L&amp;Z&amp;F</oddFooter>
  </headerFooter>
  <rowBreaks count="2" manualBreakCount="2">
    <brk id="32" max="16383" man="1"/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76"/>
  <sheetViews>
    <sheetView showGridLines="0" topLeftCell="A55" workbookViewId="0">
      <selection activeCell="B2" sqref="B2:K72"/>
    </sheetView>
  </sheetViews>
  <sheetFormatPr defaultRowHeight="15"/>
  <cols>
    <col min="2" max="2" width="21" bestFit="1" customWidth="1"/>
    <col min="3" max="3" width="1.7109375" customWidth="1"/>
    <col min="5" max="8" width="13.28515625" bestFit="1" customWidth="1"/>
    <col min="9" max="9" width="13.28515625" customWidth="1"/>
    <col min="10" max="10" width="1.7109375" customWidth="1"/>
    <col min="11" max="11" width="13.28515625" bestFit="1" customWidth="1"/>
  </cols>
  <sheetData>
    <row r="2" spans="2:11" ht="15.75" thickBot="1"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2:11">
      <c r="B3" s="93" t="s">
        <v>64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15.75" thickBot="1">
      <c r="B4" s="92" t="s">
        <v>43</v>
      </c>
      <c r="C4" s="92"/>
      <c r="D4" s="92"/>
      <c r="E4" s="92"/>
      <c r="F4" s="92"/>
      <c r="G4" s="92"/>
      <c r="H4" s="92"/>
      <c r="I4" s="92"/>
      <c r="J4" s="92"/>
      <c r="K4" s="92"/>
    </row>
    <row r="5" spans="2:11" ht="15.75" thickBot="1">
      <c r="B5" s="45" t="s">
        <v>65</v>
      </c>
      <c r="C5" s="45"/>
      <c r="D5" s="46">
        <v>2001</v>
      </c>
      <c r="E5" s="46">
        <v>2002</v>
      </c>
      <c r="F5" s="46">
        <v>2003</v>
      </c>
      <c r="G5" s="46">
        <v>2004</v>
      </c>
      <c r="H5" s="46">
        <v>2005</v>
      </c>
      <c r="I5" s="46">
        <v>2006</v>
      </c>
      <c r="J5" s="46"/>
      <c r="K5" s="46" t="s">
        <v>8</v>
      </c>
    </row>
    <row r="6" spans="2:11">
      <c r="B6" s="27" t="str">
        <f>+'PIL Billed by Class'!A65</f>
        <v>Residential</v>
      </c>
      <c r="D6" s="40">
        <f>-'PIL Billed by Class'!C65</f>
        <v>0</v>
      </c>
      <c r="E6" s="6">
        <f>-'PIL Billed by Class'!D65</f>
        <v>1141289.56</v>
      </c>
      <c r="F6" s="6">
        <f>-'PIL Billed by Class'!E65</f>
        <v>1509985.8</v>
      </c>
      <c r="G6" s="6">
        <f>-'PIL Billed by Class'!F65</f>
        <v>1144474.6299999999</v>
      </c>
      <c r="H6" s="6">
        <f>-'PIL Billed by Class'!G65</f>
        <v>1192915.6300000001</v>
      </c>
      <c r="I6" s="6">
        <f>-'PIL Billed by Class'!H65</f>
        <v>475806.3</v>
      </c>
      <c r="J6" s="6"/>
      <c r="K6" s="47">
        <f>SUM(D6:I6)</f>
        <v>5464471.9199999999</v>
      </c>
    </row>
    <row r="7" spans="2:11">
      <c r="B7" s="27" t="str">
        <f>+'PIL Billed by Class'!A66</f>
        <v>GS &lt; 50</v>
      </c>
      <c r="D7" s="40">
        <f>-'PIL Billed by Class'!C66</f>
        <v>0</v>
      </c>
      <c r="E7" s="6">
        <f>-'PIL Billed by Class'!D66</f>
        <v>337863.63000000006</v>
      </c>
      <c r="F7" s="6">
        <f>-'PIL Billed by Class'!E66</f>
        <v>439563.13</v>
      </c>
      <c r="G7" s="6">
        <f>-'PIL Billed by Class'!F66</f>
        <v>348771.47999999992</v>
      </c>
      <c r="H7" s="6">
        <f>-'PIL Billed by Class'!G66</f>
        <v>338807.49</v>
      </c>
      <c r="I7" s="6">
        <f>-'PIL Billed by Class'!H66</f>
        <v>118299.96999999999</v>
      </c>
      <c r="J7" s="6"/>
      <c r="K7" s="47">
        <f>SUM(D7:I7)</f>
        <v>1583305.7</v>
      </c>
    </row>
    <row r="8" spans="2:11">
      <c r="B8" s="27" t="str">
        <f>+'PIL Billed by Class'!A67</f>
        <v>GS &gt; 50</v>
      </c>
      <c r="D8" s="40">
        <f>-'PIL Billed by Class'!C67</f>
        <v>0</v>
      </c>
      <c r="E8" s="6">
        <f>-'PIL Billed by Class'!D67</f>
        <v>401611.69999999995</v>
      </c>
      <c r="F8" s="6">
        <f>-'PIL Billed by Class'!E67</f>
        <v>484838.41</v>
      </c>
      <c r="G8" s="6">
        <f>-'PIL Billed by Class'!F67</f>
        <v>456237.63</v>
      </c>
      <c r="H8" s="6">
        <f>-'PIL Billed by Class'!G67</f>
        <v>422879.05</v>
      </c>
      <c r="I8" s="6">
        <f>-'PIL Billed by Class'!H67</f>
        <v>132146.86000000002</v>
      </c>
      <c r="J8" s="6"/>
      <c r="K8" s="47">
        <f>SUM(D8:I8)</f>
        <v>1897713.65</v>
      </c>
    </row>
    <row r="9" spans="2:11">
      <c r="B9" s="27" t="str">
        <f>+'PIL Billed by Class'!A68</f>
        <v>Large User</v>
      </c>
      <c r="D9" s="40">
        <f>-'PIL Billed by Class'!C68</f>
        <v>0</v>
      </c>
      <c r="E9" s="6">
        <f>-'PIL Billed by Class'!D68</f>
        <v>24720.29</v>
      </c>
      <c r="F9" s="6">
        <f>-'PIL Billed by Class'!E68</f>
        <v>39416.229999999996</v>
      </c>
      <c r="G9" s="6">
        <f>-'PIL Billed by Class'!F68</f>
        <v>30362.66</v>
      </c>
      <c r="H9" s="6">
        <f>-'PIL Billed by Class'!G68</f>
        <v>22156.55</v>
      </c>
      <c r="I9" s="6">
        <f>-'PIL Billed by Class'!H68</f>
        <v>5803.19</v>
      </c>
      <c r="J9" s="6"/>
      <c r="K9" s="47">
        <f>SUM(D9:I9)</f>
        <v>122458.92</v>
      </c>
    </row>
    <row r="10" spans="2:11">
      <c r="B10" s="27" t="str">
        <f>+'PIL Billed by Class'!A69</f>
        <v>Street Lighting</v>
      </c>
      <c r="D10" s="40">
        <f>-'PIL Billed by Class'!C69</f>
        <v>0</v>
      </c>
      <c r="E10" s="6">
        <f>-'PIL Billed by Class'!D69</f>
        <v>17240.689999999999</v>
      </c>
      <c r="F10" s="6">
        <f>-'PIL Billed by Class'!E69</f>
        <v>26487.919999999998</v>
      </c>
      <c r="G10" s="6">
        <f>-'PIL Billed by Class'!F69</f>
        <v>18350.929999999997</v>
      </c>
      <c r="H10" s="6">
        <f>-'PIL Billed by Class'!G69</f>
        <v>18669.3</v>
      </c>
      <c r="I10" s="6">
        <f>-'PIL Billed by Class'!H69</f>
        <v>6561.31</v>
      </c>
      <c r="J10" s="6"/>
      <c r="K10" s="47">
        <f>SUM(D10:I10)</f>
        <v>87310.15</v>
      </c>
    </row>
    <row r="11" spans="2:11" ht="15.75" thickBot="1">
      <c r="B11" s="42" t="str">
        <f>+'PIL Billed by Class'!A70</f>
        <v>Sentinel Lighting</v>
      </c>
      <c r="C11" s="12"/>
      <c r="D11" s="41">
        <f>-'PIL Billed by Class'!C70</f>
        <v>0</v>
      </c>
      <c r="E11" s="18">
        <f>-'PIL Billed by Class'!D70</f>
        <v>2729.54</v>
      </c>
      <c r="F11" s="18">
        <f>-'PIL Billed by Class'!E70</f>
        <v>3360.1400000000003</v>
      </c>
      <c r="G11" s="18">
        <f>-'PIL Billed by Class'!F70</f>
        <v>2648.33</v>
      </c>
      <c r="H11" s="18">
        <f>-'PIL Billed by Class'!G70</f>
        <v>2371.14</v>
      </c>
      <c r="I11" s="18">
        <f>-'PIL Billed by Class'!H70</f>
        <v>769.37</v>
      </c>
      <c r="J11" s="18"/>
      <c r="K11" s="48">
        <f>SUM(E11:I11)</f>
        <v>11878.52</v>
      </c>
    </row>
    <row r="12" spans="2:11"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2:11" ht="15.75" thickBot="1">
      <c r="B13" s="50" t="s">
        <v>8</v>
      </c>
      <c r="C13" s="50"/>
      <c r="D13" s="51">
        <f t="shared" ref="D13:I13" si="0">SUM(D6:D12)</f>
        <v>0</v>
      </c>
      <c r="E13" s="48">
        <f t="shared" si="0"/>
        <v>1925455.4100000001</v>
      </c>
      <c r="F13" s="48">
        <f t="shared" si="0"/>
        <v>2503651.6300000004</v>
      </c>
      <c r="G13" s="48">
        <f t="shared" si="0"/>
        <v>2000845.6599999997</v>
      </c>
      <c r="H13" s="48">
        <f t="shared" si="0"/>
        <v>1997799.1600000001</v>
      </c>
      <c r="I13" s="48">
        <f t="shared" si="0"/>
        <v>739387</v>
      </c>
      <c r="J13" s="48"/>
      <c r="K13" s="48">
        <f>SUM(K6:K12)</f>
        <v>9167138.8599999994</v>
      </c>
    </row>
    <row r="15" spans="2:11">
      <c r="B15" s="27" t="s">
        <v>66</v>
      </c>
      <c r="D15" s="40">
        <f>+'PIL Billed by Class'!C37</f>
        <v>0</v>
      </c>
      <c r="E15" s="7">
        <f>-'PIL Billed by Class'!D4-'PIL Billed by Class'!D5-'PIL Billed by Class'!D6-'PIL Billed by Class'!D7-'PIL Billed by Class'!D8-'PIL Billed by Class'!D9</f>
        <v>1151512.3799999999</v>
      </c>
      <c r="F15" s="7">
        <f>-'PIL Billed by Class'!E4-'PIL Billed by Class'!E5-'PIL Billed by Class'!E6-'PIL Billed by Class'!E7-'PIL Billed by Class'!E8-'PIL Billed by Class'!E9</f>
        <v>1493152.92</v>
      </c>
      <c r="G15" s="7">
        <f>-'PIL Billed by Class'!F4-'PIL Billed by Class'!F5-'PIL Billed by Class'!F6-'PIL Billed by Class'!F7-'PIL Billed by Class'!F8-'PIL Billed by Class'!F9</f>
        <v>455427.05000000005</v>
      </c>
      <c r="H15" s="7">
        <f>+D15</f>
        <v>0</v>
      </c>
      <c r="I15" s="7">
        <f>-'PIL Billed by Class'!H4-'PIL Billed by Class'!H5-'PIL Billed by Class'!H6-'PIL Billed by Class'!H7-'PIL Billed by Class'!H8-'PIL Billed by Class'!H9</f>
        <v>0</v>
      </c>
      <c r="K15" s="40">
        <f>SUM(D15:J15)</f>
        <v>3100092.3499999996</v>
      </c>
    </row>
    <row r="16" spans="2:11" ht="15.75" thickBot="1">
      <c r="B16" s="42" t="s">
        <v>67</v>
      </c>
      <c r="C16" s="12"/>
      <c r="D16" s="41">
        <f>+'PIL Billed by Class'!C38</f>
        <v>0</v>
      </c>
      <c r="E16" s="44">
        <f>-'PIL Billed by Class'!D10-'PIL Billed by Class'!D11-'PIL Billed by Class'!D12-'PIL Billed by Class'!D13-'PIL Billed by Class'!D14-'PIL Billed by Class'!D15</f>
        <v>773943.02999999991</v>
      </c>
      <c r="F16" s="44">
        <f>-'PIL Billed by Class'!E10-'PIL Billed by Class'!E11-'PIL Billed by Class'!E12-'PIL Billed by Class'!E13-'PIL Billed by Class'!E14-'PIL Billed by Class'!E15</f>
        <v>1010498.71</v>
      </c>
      <c r="G16" s="44">
        <f>-'PIL Billed by Class'!F10-'PIL Billed by Class'!F11-'PIL Billed by Class'!F12-'PIL Billed by Class'!F13-'PIL Billed by Class'!F14-'PIL Billed by Class'!F15</f>
        <v>1545418.61</v>
      </c>
      <c r="H16" s="44">
        <f>-'PIL Billed by Class'!G10-'PIL Billed by Class'!G11-'PIL Billed by Class'!G12-'PIL Billed by Class'!G13-'PIL Billed by Class'!G14-'PIL Billed by Class'!G15-9</f>
        <v>1997799.07</v>
      </c>
      <c r="I16" s="44">
        <f>-'PIL Billed by Class'!H10-'PIL Billed by Class'!H11-'PIL Billed by Class'!H12-'PIL Billed by Class'!H13-'PIL Billed by Class'!H14-'PIL Billed by Class'!H15</f>
        <v>739387</v>
      </c>
      <c r="J16" s="12"/>
      <c r="K16" s="41">
        <f>SUM(D16:J16)</f>
        <v>6067046.4199999999</v>
      </c>
    </row>
    <row r="17" spans="2:11"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2:11" ht="15.75" thickBot="1">
      <c r="B18" s="50" t="s">
        <v>8</v>
      </c>
      <c r="C18" s="50"/>
      <c r="D18" s="48">
        <f t="shared" ref="D18:I18" si="1">SUM(D15:D17)</f>
        <v>0</v>
      </c>
      <c r="E18" s="48">
        <f t="shared" si="1"/>
        <v>1925455.4099999997</v>
      </c>
      <c r="F18" s="48">
        <f t="shared" si="1"/>
        <v>2503651.63</v>
      </c>
      <c r="G18" s="48">
        <f t="shared" si="1"/>
        <v>2000845.6600000001</v>
      </c>
      <c r="H18" s="48">
        <f t="shared" si="1"/>
        <v>1997799.07</v>
      </c>
      <c r="I18" s="48">
        <f t="shared" si="1"/>
        <v>739387</v>
      </c>
      <c r="J18" s="48"/>
      <c r="K18" s="48">
        <f>SUM(K15:K17)</f>
        <v>9167138.7699999996</v>
      </c>
    </row>
    <row r="20" spans="2:11" ht="15.75" thickBot="1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>
      <c r="B21" s="93" t="s">
        <v>64</v>
      </c>
      <c r="C21" s="93"/>
      <c r="D21" s="93"/>
      <c r="E21" s="93"/>
      <c r="F21" s="93"/>
      <c r="G21" s="93"/>
      <c r="H21" s="93"/>
      <c r="I21" s="93"/>
      <c r="J21" s="93"/>
      <c r="K21" s="93"/>
    </row>
    <row r="22" spans="2:11" ht="15.75" thickBot="1">
      <c r="B22" s="92" t="s">
        <v>0</v>
      </c>
      <c r="C22" s="92"/>
      <c r="D22" s="92"/>
      <c r="E22" s="92"/>
      <c r="F22" s="92"/>
      <c r="G22" s="92"/>
      <c r="H22" s="92"/>
      <c r="I22" s="92"/>
      <c r="J22" s="92"/>
      <c r="K22" s="92"/>
    </row>
    <row r="23" spans="2:11" ht="15.75" thickBot="1">
      <c r="B23" s="45" t="s">
        <v>65</v>
      </c>
      <c r="C23" s="45"/>
      <c r="D23" s="46">
        <v>2001</v>
      </c>
      <c r="E23" s="46">
        <v>2002</v>
      </c>
      <c r="F23" s="46">
        <v>2003</v>
      </c>
      <c r="G23" s="46">
        <v>2004</v>
      </c>
      <c r="H23" s="46">
        <v>2005</v>
      </c>
      <c r="I23" s="46">
        <v>2006</v>
      </c>
      <c r="J23" s="46"/>
      <c r="K23" s="46" t="s">
        <v>8</v>
      </c>
    </row>
    <row r="24" spans="2:11">
      <c r="B24" s="27" t="str">
        <f>+'PIL Billed by Class'!A83</f>
        <v>Residential</v>
      </c>
      <c r="D24" s="40">
        <f>-'PIL Billed by Class'!C74</f>
        <v>0</v>
      </c>
      <c r="E24" s="7">
        <f>-'PIL Billed by Class'!D74</f>
        <v>1121907.83</v>
      </c>
      <c r="F24" s="7">
        <f>-'PIL Billed by Class'!E74</f>
        <v>1485248.55</v>
      </c>
      <c r="G24" s="7">
        <f>-'PIL Billed by Class'!F74</f>
        <v>1126365.02</v>
      </c>
      <c r="H24" s="7">
        <f>-'PIL Billed by Class'!G74</f>
        <v>1172879.1500000001</v>
      </c>
      <c r="I24" s="7">
        <f>-'PIL Billed by Class'!H74</f>
        <v>467202.51999999996</v>
      </c>
      <c r="J24" s="6"/>
      <c r="K24" s="47">
        <f>SUM(D24:I24)</f>
        <v>5373603.0699999994</v>
      </c>
    </row>
    <row r="25" spans="2:11">
      <c r="B25" s="27" t="str">
        <f>+'PIL Billed by Class'!A84</f>
        <v>GS &lt; 50</v>
      </c>
      <c r="D25" s="40">
        <f>-'PIL Billed by Class'!C75</f>
        <v>0</v>
      </c>
      <c r="E25" s="7">
        <f>-'PIL Billed by Class'!D75</f>
        <v>330752.03000000003</v>
      </c>
      <c r="F25" s="7">
        <f>-'PIL Billed by Class'!E75</f>
        <v>430550.83999999997</v>
      </c>
      <c r="G25" s="7">
        <f>-'PIL Billed by Class'!F75</f>
        <v>342303.66</v>
      </c>
      <c r="H25" s="7">
        <f>-'PIL Billed by Class'!G75</f>
        <v>331401.61</v>
      </c>
      <c r="I25" s="7">
        <f>-'PIL Billed by Class'!H75</f>
        <v>115393.42</v>
      </c>
      <c r="J25" s="6"/>
      <c r="K25" s="47">
        <f>SUM(D25:I25)</f>
        <v>1550401.56</v>
      </c>
    </row>
    <row r="26" spans="2:11">
      <c r="B26" s="27" t="str">
        <f>+'PIL Billed by Class'!A85</f>
        <v>GS &gt; 50</v>
      </c>
      <c r="D26" s="40">
        <f>-'PIL Billed by Class'!C76</f>
        <v>0</v>
      </c>
      <c r="E26" s="7">
        <f>-'PIL Billed by Class'!D76</f>
        <v>395249.08999999997</v>
      </c>
      <c r="F26" s="7">
        <f>-'PIL Billed by Class'!E76</f>
        <v>477594.86</v>
      </c>
      <c r="G26" s="7">
        <f>-'PIL Billed by Class'!F76</f>
        <v>449070.72</v>
      </c>
      <c r="H26" s="7">
        <f>-'PIL Billed by Class'!G76</f>
        <v>415085.01</v>
      </c>
      <c r="I26" s="7">
        <f>-'PIL Billed by Class'!H76</f>
        <v>129413.16</v>
      </c>
      <c r="J26" s="6"/>
      <c r="K26" s="47">
        <f>SUM(D26:I26)</f>
        <v>1866412.8399999999</v>
      </c>
    </row>
    <row r="27" spans="2:11">
      <c r="B27" s="27" t="str">
        <f>+'PIL Billed by Class'!A86</f>
        <v>Large User</v>
      </c>
      <c r="D27" s="40">
        <f>-'PIL Billed by Class'!C77</f>
        <v>0</v>
      </c>
      <c r="E27" s="7">
        <f>-'PIL Billed by Class'!D77</f>
        <v>24720.29</v>
      </c>
      <c r="F27" s="7">
        <f>-'PIL Billed by Class'!E77</f>
        <v>39416.229999999996</v>
      </c>
      <c r="G27" s="7">
        <f>-'PIL Billed by Class'!F77</f>
        <v>30362.66</v>
      </c>
      <c r="H27" s="7">
        <f>-'PIL Billed by Class'!G77</f>
        <v>22156.55</v>
      </c>
      <c r="I27" s="7">
        <f>-'PIL Billed by Class'!H77</f>
        <v>5803.19</v>
      </c>
      <c r="J27" s="6"/>
      <c r="K27" s="47">
        <f>SUM(D27:I27)</f>
        <v>122458.92</v>
      </c>
    </row>
    <row r="28" spans="2:11">
      <c r="B28" s="27" t="str">
        <f>+'PIL Billed by Class'!A87</f>
        <v>Street Lighting</v>
      </c>
      <c r="D28" s="40">
        <f>-'PIL Billed by Class'!C78</f>
        <v>0</v>
      </c>
      <c r="E28" s="7">
        <f>-'PIL Billed by Class'!D78</f>
        <v>16881.71</v>
      </c>
      <c r="F28" s="7">
        <f>-'PIL Billed by Class'!E78</f>
        <v>26004.1</v>
      </c>
      <c r="G28" s="7">
        <f>-'PIL Billed by Class'!F78</f>
        <v>18064.669999999998</v>
      </c>
      <c r="H28" s="7">
        <f>-'PIL Billed by Class'!G78</f>
        <v>18324.439999999999</v>
      </c>
      <c r="I28" s="7">
        <f>-'PIL Billed by Class'!H78</f>
        <v>6442.47</v>
      </c>
      <c r="J28" s="6"/>
      <c r="K28" s="47">
        <f>SUM(D28:I28)</f>
        <v>85717.39</v>
      </c>
    </row>
    <row r="29" spans="2:11" ht="15.75" thickBot="1">
      <c r="B29" s="42" t="str">
        <f>+'PIL Billed by Class'!A88</f>
        <v>Sentinel Lighting</v>
      </c>
      <c r="C29" s="12"/>
      <c r="D29" s="41">
        <f>-'PIL Billed by Class'!C79</f>
        <v>0</v>
      </c>
      <c r="E29" s="44">
        <f>-'PIL Billed by Class'!D79</f>
        <v>2774.54</v>
      </c>
      <c r="F29" s="44">
        <f>-'PIL Billed by Class'!E79</f>
        <v>3360.1400000000003</v>
      </c>
      <c r="G29" s="44">
        <f>-'PIL Billed by Class'!F79</f>
        <v>2566.5699999999997</v>
      </c>
      <c r="H29" s="44">
        <f>-'PIL Billed by Class'!G79</f>
        <v>2332.73</v>
      </c>
      <c r="I29" s="44">
        <f>-'PIL Billed by Class'!H79</f>
        <v>755.15</v>
      </c>
      <c r="J29" s="18"/>
      <c r="K29" s="48">
        <f>SUM(E29:I29)</f>
        <v>11789.13</v>
      </c>
    </row>
    <row r="30" spans="2:11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2:11" ht="15.75" thickBot="1">
      <c r="B31" s="50" t="s">
        <v>8</v>
      </c>
      <c r="C31" s="50"/>
      <c r="D31" s="51">
        <f t="shared" ref="D31:I31" si="2">SUM(D24:D30)</f>
        <v>0</v>
      </c>
      <c r="E31" s="48">
        <f t="shared" si="2"/>
        <v>1892285.4900000002</v>
      </c>
      <c r="F31" s="48">
        <f t="shared" si="2"/>
        <v>2462174.7200000002</v>
      </c>
      <c r="G31" s="48">
        <f t="shared" si="2"/>
        <v>1968733.2999999998</v>
      </c>
      <c r="H31" s="48">
        <f t="shared" si="2"/>
        <v>1962179.4900000002</v>
      </c>
      <c r="I31" s="48">
        <f t="shared" si="2"/>
        <v>725009.90999999992</v>
      </c>
      <c r="J31" s="48"/>
      <c r="K31" s="48">
        <f>SUM(K24:K30)</f>
        <v>9010382.9100000001</v>
      </c>
    </row>
    <row r="33" spans="2:11">
      <c r="B33" s="27" t="s">
        <v>66</v>
      </c>
      <c r="D33" s="40">
        <f>-'PIL Billed by Class'!C19-'PIL Billed by Class'!C20-'PIL Billed by Class'!C21-'PIL Billed by Class'!C22-'PIL Billed by Class'!C23-'PIL Billed by Class'!C24</f>
        <v>0</v>
      </c>
      <c r="E33" s="7">
        <f>-'PIL Billed by Class'!D19-'PIL Billed by Class'!D20-'PIL Billed by Class'!D21-'PIL Billed by Class'!D22-'PIL Billed by Class'!D23-'PIL Billed by Class'!D24</f>
        <v>1129544.9000000001</v>
      </c>
      <c r="F33" s="7">
        <f>-'PIL Billed by Class'!E19-'PIL Billed by Class'!E20-'PIL Billed by Class'!E21-'PIL Billed by Class'!E22-'PIL Billed by Class'!E23-'PIL Billed by Class'!E24</f>
        <v>1466388.1900000002</v>
      </c>
      <c r="G33" s="7">
        <f>-'PIL Billed by Class'!F19-'PIL Billed by Class'!F20-'PIL Billed by Class'!F21-'PIL Billed by Class'!F22-'PIL Billed by Class'!F23-'PIL Billed by Class'!F24</f>
        <v>448271.02999999997</v>
      </c>
      <c r="H33" s="7">
        <f>+D33</f>
        <v>0</v>
      </c>
      <c r="I33" s="7">
        <f>-'PIL Billed by Class'!H19-'PIL Billed by Class'!H20-'PIL Billed by Class'!H21-'PIL Billed by Class'!H22-'PIL Billed by Class'!H23-'PIL Billed by Class'!H24</f>
        <v>0</v>
      </c>
      <c r="K33" s="40">
        <f>SUM(D33:J33)</f>
        <v>3044204.12</v>
      </c>
    </row>
    <row r="34" spans="2:11" ht="15.75" thickBot="1">
      <c r="B34" s="42" t="s">
        <v>67</v>
      </c>
      <c r="C34" s="12"/>
      <c r="D34" s="41">
        <f>-'PIL Billed by Class'!C25-'PIL Billed by Class'!C26-'PIL Billed by Class'!C27-'PIL Billed by Class'!C28-'PIL Billed by Class'!C29-'PIL Billed by Class'!C30</f>
        <v>0</v>
      </c>
      <c r="E34" s="44">
        <f>-'PIL Billed by Class'!D25-'PIL Billed by Class'!D26-'PIL Billed by Class'!D27-'PIL Billed by Class'!D28-'PIL Billed by Class'!D29-'PIL Billed by Class'!D30</f>
        <v>762740.59</v>
      </c>
      <c r="F34" s="44">
        <f>-'PIL Billed by Class'!E25-'PIL Billed by Class'!E26-'PIL Billed by Class'!E27-'PIL Billed by Class'!E28-'PIL Billed by Class'!E29-'PIL Billed by Class'!E30</f>
        <v>995786.53</v>
      </c>
      <c r="G34" s="44">
        <f>-'PIL Billed by Class'!F25-'PIL Billed by Class'!F26-'PIL Billed by Class'!F27-'PIL Billed by Class'!F28-'PIL Billed by Class'!F29-'PIL Billed by Class'!F30</f>
        <v>1520462.2699999998</v>
      </c>
      <c r="H34" s="44">
        <f>-'PIL Billed by Class'!G25-'PIL Billed by Class'!G26-'PIL Billed by Class'!G27-'PIL Billed by Class'!G28-'PIL Billed by Class'!G29-'PIL Billed by Class'!G30-9</f>
        <v>1962179.4</v>
      </c>
      <c r="I34" s="44">
        <f>-'PIL Billed by Class'!H25-'PIL Billed by Class'!H26-'PIL Billed by Class'!H27-'PIL Billed by Class'!H28-'PIL Billed by Class'!H29-'PIL Billed by Class'!H30</f>
        <v>725009.90999999992</v>
      </c>
      <c r="J34" s="12"/>
      <c r="K34" s="41">
        <f>SUM(D34:J34)</f>
        <v>5966178.6999999993</v>
      </c>
    </row>
    <row r="35" spans="2:11"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2:11" ht="15.75" thickBot="1">
      <c r="B36" s="50" t="s">
        <v>8</v>
      </c>
      <c r="C36" s="50"/>
      <c r="D36" s="48">
        <f t="shared" ref="D36:I36" si="3">SUM(D33:D35)</f>
        <v>0</v>
      </c>
      <c r="E36" s="48">
        <f t="shared" si="3"/>
        <v>1892285.4900000002</v>
      </c>
      <c r="F36" s="48">
        <f t="shared" si="3"/>
        <v>2462174.7200000002</v>
      </c>
      <c r="G36" s="48">
        <f t="shared" si="3"/>
        <v>1968733.2999999998</v>
      </c>
      <c r="H36" s="48">
        <f t="shared" si="3"/>
        <v>1962179.4</v>
      </c>
      <c r="I36" s="48">
        <f t="shared" si="3"/>
        <v>725009.90999999992</v>
      </c>
      <c r="J36" s="48"/>
      <c r="K36" s="48">
        <f>SUM(K33:K35)</f>
        <v>9010382.8200000003</v>
      </c>
    </row>
    <row r="38" spans="2:11" ht="15.75" thickBot="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93" t="s">
        <v>64</v>
      </c>
      <c r="C39" s="93"/>
      <c r="D39" s="93"/>
      <c r="E39" s="93"/>
      <c r="F39" s="93"/>
      <c r="G39" s="93"/>
      <c r="H39" s="93"/>
      <c r="I39" s="93"/>
      <c r="J39" s="93"/>
      <c r="K39" s="93"/>
    </row>
    <row r="40" spans="2:11" ht="15.75" thickBot="1">
      <c r="B40" s="92" t="s">
        <v>2</v>
      </c>
      <c r="C40" s="92"/>
      <c r="D40" s="92"/>
      <c r="E40" s="92"/>
      <c r="F40" s="92"/>
      <c r="G40" s="92"/>
      <c r="H40" s="92"/>
      <c r="I40" s="92"/>
      <c r="J40" s="92"/>
      <c r="K40" s="92"/>
    </row>
    <row r="41" spans="2:11" ht="15.75" thickBot="1">
      <c r="B41" s="45" t="s">
        <v>65</v>
      </c>
      <c r="C41" s="45"/>
      <c r="D41" s="46">
        <v>2001</v>
      </c>
      <c r="E41" s="46">
        <v>2002</v>
      </c>
      <c r="F41" s="46">
        <v>2003</v>
      </c>
      <c r="G41" s="46">
        <v>2004</v>
      </c>
      <c r="H41" s="46">
        <v>2005</v>
      </c>
      <c r="I41" s="46">
        <v>2006</v>
      </c>
      <c r="J41" s="46"/>
      <c r="K41" s="46" t="s">
        <v>8</v>
      </c>
    </row>
    <row r="42" spans="2:11">
      <c r="B42" s="27" t="str">
        <f t="shared" ref="B42:B47" si="4">+B24</f>
        <v>Residential</v>
      </c>
      <c r="D42" s="40">
        <f>-'PIL Billed by Class'!C92</f>
        <v>0</v>
      </c>
      <c r="E42" s="40">
        <f>-'PIL Billed by Class'!D92</f>
        <v>14576.93</v>
      </c>
      <c r="F42" s="40">
        <f>-'PIL Billed by Class'!E92</f>
        <v>17754.39</v>
      </c>
      <c r="G42" s="40">
        <f>-'PIL Billed by Class'!F92</f>
        <v>11954.43</v>
      </c>
      <c r="H42" s="40">
        <f>-'PIL Billed by Class'!G92</f>
        <v>13769.52</v>
      </c>
      <c r="I42" s="40">
        <f>-'PIL Billed by Class'!H92</f>
        <v>6067.65</v>
      </c>
      <c r="J42" s="6"/>
      <c r="K42" s="47">
        <f>SUM(D42:I42)</f>
        <v>64122.920000000006</v>
      </c>
    </row>
    <row r="43" spans="2:11">
      <c r="B43" s="27" t="str">
        <f t="shared" si="4"/>
        <v>GS &lt; 50</v>
      </c>
      <c r="D43" s="40">
        <f>-'PIL Billed by Class'!C93</f>
        <v>0</v>
      </c>
      <c r="E43" s="40">
        <f>-'PIL Billed by Class'!D93</f>
        <v>5189.84</v>
      </c>
      <c r="F43" s="40">
        <f>-'PIL Billed by Class'!E93</f>
        <v>6338.01</v>
      </c>
      <c r="G43" s="40">
        <f>-'PIL Billed by Class'!F93</f>
        <v>4545.41</v>
      </c>
      <c r="H43" s="40">
        <f>-'PIL Billed by Class'!G93</f>
        <v>5587.02</v>
      </c>
      <c r="I43" s="40">
        <f>-'PIL Billed by Class'!H93</f>
        <v>2194.87</v>
      </c>
      <c r="J43" s="6"/>
      <c r="K43" s="47">
        <f>SUM(D43:I43)</f>
        <v>23855.149999999998</v>
      </c>
    </row>
    <row r="44" spans="2:11">
      <c r="B44" s="27" t="str">
        <f t="shared" si="4"/>
        <v>GS &gt; 50</v>
      </c>
      <c r="D44" s="40">
        <f>-'PIL Billed by Class'!C94</f>
        <v>0</v>
      </c>
      <c r="E44" s="40">
        <f>-'PIL Billed by Class'!D94</f>
        <v>5624.26</v>
      </c>
      <c r="F44" s="40">
        <f>-'PIL Billed by Class'!E94</f>
        <v>6127.55</v>
      </c>
      <c r="G44" s="40">
        <f>-'PIL Billed by Class'!F94</f>
        <v>5662.96</v>
      </c>
      <c r="H44" s="40">
        <f>-'PIL Billed by Class'!G94</f>
        <v>6059.22</v>
      </c>
      <c r="I44" s="40">
        <f>-'PIL Billed by Class'!H94</f>
        <v>2183.17</v>
      </c>
      <c r="J44" s="6"/>
      <c r="K44" s="47">
        <f>SUM(D44:I44)</f>
        <v>25657.160000000003</v>
      </c>
    </row>
    <row r="45" spans="2:11">
      <c r="B45" s="27" t="str">
        <f t="shared" si="4"/>
        <v>Large User</v>
      </c>
      <c r="D45" s="40">
        <f>-'PIL Billed by Class'!C95</f>
        <v>0</v>
      </c>
      <c r="E45" s="40">
        <f>-'PIL Billed by Class'!D95</f>
        <v>0</v>
      </c>
      <c r="F45" s="40">
        <f>-'PIL Billed by Class'!E95</f>
        <v>0</v>
      </c>
      <c r="G45" s="40">
        <f>-'PIL Billed by Class'!F95</f>
        <v>0</v>
      </c>
      <c r="H45" s="40">
        <f>-'PIL Billed by Class'!G95</f>
        <v>0</v>
      </c>
      <c r="I45" s="40">
        <f>-'PIL Billed by Class'!H95</f>
        <v>0</v>
      </c>
      <c r="J45" s="6"/>
      <c r="K45" s="47">
        <f>SUM(D45:I45)</f>
        <v>0</v>
      </c>
    </row>
    <row r="46" spans="2:11">
      <c r="B46" s="27" t="str">
        <f t="shared" si="4"/>
        <v>Street Lighting</v>
      </c>
      <c r="D46" s="40">
        <f>-'PIL Billed by Class'!C96</f>
        <v>0</v>
      </c>
      <c r="E46" s="40">
        <f>-'PIL Billed by Class'!D96</f>
        <v>274.35000000000002</v>
      </c>
      <c r="F46" s="40">
        <f>-'PIL Billed by Class'!E96</f>
        <v>336.82</v>
      </c>
      <c r="G46" s="40">
        <f>-'PIL Billed by Class'!F96</f>
        <v>159.09</v>
      </c>
      <c r="H46" s="40">
        <f>-'PIL Billed by Class'!G96</f>
        <v>229.04</v>
      </c>
      <c r="I46" s="40">
        <f>-'PIL Billed by Class'!H96</f>
        <v>82.84</v>
      </c>
      <c r="J46" s="6"/>
      <c r="K46" s="47">
        <f>SUM(D46:I46)</f>
        <v>1082.1400000000001</v>
      </c>
    </row>
    <row r="47" spans="2:11" ht="15.75" thickBot="1">
      <c r="B47" s="42" t="str">
        <f t="shared" si="4"/>
        <v>Sentinel Lighting</v>
      </c>
      <c r="C47" s="12"/>
      <c r="D47" s="41">
        <f>-'PIL Billed by Class'!C97</f>
        <v>0</v>
      </c>
      <c r="E47" s="41">
        <f>-'PIL Billed by Class'!D97</f>
        <v>0</v>
      </c>
      <c r="F47" s="41">
        <f>-'PIL Billed by Class'!E97</f>
        <v>0</v>
      </c>
      <c r="G47" s="41">
        <f>-'PIL Billed by Class'!F97</f>
        <v>80.150000000000006</v>
      </c>
      <c r="H47" s="41">
        <f>-'PIL Billed by Class'!G97</f>
        <v>35.729999999999997</v>
      </c>
      <c r="I47" s="41">
        <f>-'PIL Billed by Class'!H97</f>
        <v>13.34</v>
      </c>
      <c r="J47" s="18"/>
      <c r="K47" s="48">
        <f>SUM(E47:I47)</f>
        <v>129.22</v>
      </c>
    </row>
    <row r="48" spans="2:11"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2:11" ht="15.75" thickBot="1">
      <c r="B49" s="50" t="s">
        <v>8</v>
      </c>
      <c r="C49" s="50"/>
      <c r="D49" s="51">
        <f t="shared" ref="D49:I49" si="5">SUM(D42:D48)</f>
        <v>0</v>
      </c>
      <c r="E49" s="48">
        <f t="shared" si="5"/>
        <v>25665.379999999997</v>
      </c>
      <c r="F49" s="48">
        <f t="shared" si="5"/>
        <v>30556.77</v>
      </c>
      <c r="G49" s="48">
        <f t="shared" si="5"/>
        <v>22402.04</v>
      </c>
      <c r="H49" s="48">
        <f t="shared" si="5"/>
        <v>25680.530000000002</v>
      </c>
      <c r="I49" s="48">
        <f t="shared" si="5"/>
        <v>10541.87</v>
      </c>
      <c r="J49" s="48"/>
      <c r="K49" s="48">
        <f>SUM(K42:K48)</f>
        <v>114846.59000000001</v>
      </c>
    </row>
    <row r="51" spans="2:11">
      <c r="B51" s="27" t="s">
        <v>66</v>
      </c>
      <c r="D51" s="7">
        <f>-'PIL Billed by Class'!C49-'PIL Billed by Class'!C50-'PIL Billed by Class'!C51-'PIL Billed by Class'!C52-'PIL Billed by Class'!C53-'PIL Billed by Class'!C54</f>
        <v>0</v>
      </c>
      <c r="E51" s="7">
        <f>-'PIL Billed by Class'!D49-'PIL Billed by Class'!D50-'PIL Billed by Class'!D51-'PIL Billed by Class'!D52-'PIL Billed by Class'!D53-'PIL Billed by Class'!D54</f>
        <v>18460.829999999998</v>
      </c>
      <c r="F51" s="7">
        <f>-'PIL Billed by Class'!E49-'PIL Billed by Class'!E50-'PIL Billed by Class'!E51-'PIL Billed by Class'!E52-'PIL Billed by Class'!E53-'PIL Billed by Class'!E54</f>
        <v>22164.370000000003</v>
      </c>
      <c r="G51" s="7">
        <f>-'PIL Billed by Class'!F49-'PIL Billed by Class'!F50-'PIL Billed by Class'!F51-'PIL Billed by Class'!F52-'PIL Billed by Class'!F53-'PIL Billed by Class'!F54</f>
        <v>5616.14</v>
      </c>
      <c r="H51" s="7">
        <f>-'PIL Billed by Class'!G49-'PIL Billed by Class'!G50-'PIL Billed by Class'!G51-'PIL Billed by Class'!G52-'PIL Billed by Class'!G53-'PIL Billed by Class'!G54</f>
        <v>0</v>
      </c>
      <c r="I51" s="7">
        <f>-'PIL Billed by Class'!H49-'PIL Billed by Class'!H50-'PIL Billed by Class'!H51-'PIL Billed by Class'!H52-'PIL Billed by Class'!H53-'PIL Billed by Class'!H54</f>
        <v>0</v>
      </c>
      <c r="K51" s="40">
        <f>SUM(D51:J51)</f>
        <v>46241.34</v>
      </c>
    </row>
    <row r="52" spans="2:11" ht="15.75" thickBot="1">
      <c r="B52" s="42" t="s">
        <v>67</v>
      </c>
      <c r="C52" s="12"/>
      <c r="D52" s="44">
        <f>-'PIL Billed by Class'!C55-'PIL Billed by Class'!C56-'PIL Billed by Class'!C57-'PIL Billed by Class'!C58-'PIL Billed by Class'!C59-'PIL Billed by Class'!C60</f>
        <v>0</v>
      </c>
      <c r="E52" s="44">
        <f>-'PIL Billed by Class'!D55-'PIL Billed by Class'!D56-'PIL Billed by Class'!D57-'PIL Billed by Class'!D58-'PIL Billed by Class'!D59-'PIL Billed by Class'!D60</f>
        <v>7204.55</v>
      </c>
      <c r="F52" s="44">
        <f>-'PIL Billed by Class'!E55-'PIL Billed by Class'!E56-'PIL Billed by Class'!E57-'PIL Billed by Class'!E58-'PIL Billed by Class'!E59-'PIL Billed by Class'!E60</f>
        <v>8392.4</v>
      </c>
      <c r="G52" s="44">
        <f>-'PIL Billed by Class'!F55-'PIL Billed by Class'!F56-'PIL Billed by Class'!F57-'PIL Billed by Class'!F58-'PIL Billed by Class'!F59-'PIL Billed by Class'!F60</f>
        <v>16785.900000000001</v>
      </c>
      <c r="H52" s="44">
        <f>-'PIL Billed by Class'!G55-'PIL Billed by Class'!G56-'PIL Billed by Class'!G57-'PIL Billed by Class'!G58-'PIL Billed by Class'!G59-'PIL Billed by Class'!G60</f>
        <v>25680.530000000002</v>
      </c>
      <c r="I52" s="44">
        <f>-'PIL Billed by Class'!H55-'PIL Billed by Class'!H56-'PIL Billed by Class'!H57-'PIL Billed by Class'!H58-'PIL Billed by Class'!H59-'PIL Billed by Class'!H60</f>
        <v>10541.87</v>
      </c>
      <c r="J52" s="12"/>
      <c r="K52" s="41">
        <f>SUM(D52:J52)</f>
        <v>68605.25</v>
      </c>
    </row>
    <row r="53" spans="2:11">
      <c r="B53" s="49"/>
      <c r="C53" s="49"/>
      <c r="D53" s="49"/>
      <c r="E53" s="49"/>
      <c r="F53" s="49"/>
      <c r="G53" s="49"/>
      <c r="H53" s="49"/>
      <c r="I53" s="49"/>
      <c r="J53" s="49"/>
      <c r="K53" s="49"/>
    </row>
    <row r="54" spans="2:11" ht="15.75" thickBot="1">
      <c r="B54" s="50" t="s">
        <v>8</v>
      </c>
      <c r="C54" s="50"/>
      <c r="D54" s="48">
        <f t="shared" ref="D54:I54" si="6">SUM(D51:D53)</f>
        <v>0</v>
      </c>
      <c r="E54" s="48">
        <f t="shared" si="6"/>
        <v>25665.379999999997</v>
      </c>
      <c r="F54" s="48">
        <f t="shared" si="6"/>
        <v>30556.770000000004</v>
      </c>
      <c r="G54" s="48">
        <f t="shared" si="6"/>
        <v>22402.04</v>
      </c>
      <c r="H54" s="48">
        <f t="shared" si="6"/>
        <v>25680.530000000002</v>
      </c>
      <c r="I54" s="48">
        <f t="shared" si="6"/>
        <v>10541.87</v>
      </c>
      <c r="J54" s="48"/>
      <c r="K54" s="48">
        <f>SUM(K51:K53)</f>
        <v>114846.59</v>
      </c>
    </row>
    <row r="56" spans="2:11" ht="15.75" thickBot="1"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2:11">
      <c r="B57" s="93" t="s">
        <v>64</v>
      </c>
      <c r="C57" s="93"/>
      <c r="D57" s="93"/>
      <c r="E57" s="93"/>
      <c r="F57" s="93"/>
      <c r="G57" s="93"/>
      <c r="H57" s="93"/>
      <c r="I57" s="93"/>
      <c r="J57" s="93"/>
      <c r="K57" s="93"/>
    </row>
    <row r="58" spans="2:11" ht="15.75" thickBot="1">
      <c r="B58" s="92" t="s">
        <v>1</v>
      </c>
      <c r="C58" s="92"/>
      <c r="D58" s="92"/>
      <c r="E58" s="92"/>
      <c r="F58" s="92"/>
      <c r="G58" s="92"/>
      <c r="H58" s="92"/>
      <c r="I58" s="92"/>
      <c r="J58" s="92"/>
      <c r="K58" s="92"/>
    </row>
    <row r="59" spans="2:11" ht="15.75" thickBot="1">
      <c r="B59" s="45" t="s">
        <v>65</v>
      </c>
      <c r="C59" s="45"/>
      <c r="D59" s="46">
        <v>2001</v>
      </c>
      <c r="E59" s="46">
        <v>2002</v>
      </c>
      <c r="F59" s="46">
        <v>2003</v>
      </c>
      <c r="G59" s="46">
        <v>2004</v>
      </c>
      <c r="H59" s="46">
        <v>2005</v>
      </c>
      <c r="I59" s="46">
        <v>2006</v>
      </c>
      <c r="J59" s="46"/>
      <c r="K59" s="46" t="s">
        <v>8</v>
      </c>
    </row>
    <row r="60" spans="2:11">
      <c r="B60" s="27" t="str">
        <f t="shared" ref="B60:B65" si="7">+B42</f>
        <v>Residential</v>
      </c>
      <c r="D60" s="7">
        <f>-'PIL Billed by Class'!C83</f>
        <v>0</v>
      </c>
      <c r="E60" s="7">
        <f>-'PIL Billed by Class'!D83</f>
        <v>4804.8</v>
      </c>
      <c r="F60" s="7">
        <f>-'PIL Billed by Class'!E83</f>
        <v>6982.8600000000006</v>
      </c>
      <c r="G60" s="7">
        <f>-'PIL Billed by Class'!F83</f>
        <v>6155.1799999999994</v>
      </c>
      <c r="H60" s="7">
        <f>-'PIL Billed by Class'!G83</f>
        <v>6266.96</v>
      </c>
      <c r="I60" s="7">
        <f>-'PIL Billed by Class'!H83</f>
        <v>2536.13</v>
      </c>
      <c r="J60" s="6"/>
      <c r="K60" s="47">
        <f>SUM(D60:I60)</f>
        <v>26745.93</v>
      </c>
    </row>
    <row r="61" spans="2:11">
      <c r="B61" s="27" t="str">
        <f t="shared" si="7"/>
        <v>GS &lt; 50</v>
      </c>
      <c r="D61" s="7">
        <f>-'PIL Billed by Class'!C84</f>
        <v>0</v>
      </c>
      <c r="E61" s="7">
        <f>-'PIL Billed by Class'!D84</f>
        <v>1921.76</v>
      </c>
      <c r="F61" s="7">
        <f>-'PIL Billed by Class'!E84</f>
        <v>2674.2799999999997</v>
      </c>
      <c r="G61" s="7">
        <f>-'PIL Billed by Class'!F84</f>
        <v>1922.4099999999999</v>
      </c>
      <c r="H61" s="7">
        <f>-'PIL Billed by Class'!G84</f>
        <v>1818.86</v>
      </c>
      <c r="I61" s="7">
        <f>-'PIL Billed by Class'!H84</f>
        <v>711.68</v>
      </c>
      <c r="J61" s="6"/>
      <c r="K61" s="47">
        <f>SUM(D61:I61)</f>
        <v>9048.99</v>
      </c>
    </row>
    <row r="62" spans="2:11">
      <c r="B62" s="27" t="str">
        <f t="shared" si="7"/>
        <v>GS &gt; 50</v>
      </c>
      <c r="D62" s="7">
        <f>-'PIL Billed by Class'!C85</f>
        <v>0</v>
      </c>
      <c r="E62" s="7">
        <f>-'PIL Billed by Class'!D85</f>
        <v>738.34999999999991</v>
      </c>
      <c r="F62" s="7">
        <f>-'PIL Billed by Class'!E85</f>
        <v>1116</v>
      </c>
      <c r="G62" s="7">
        <f>-'PIL Billed by Class'!F85</f>
        <v>1503.95</v>
      </c>
      <c r="H62" s="7">
        <f>-'PIL Billed by Class'!G85</f>
        <v>1734.82</v>
      </c>
      <c r="I62" s="7">
        <f>-'PIL Billed by Class'!H85</f>
        <v>550.53</v>
      </c>
      <c r="J62" s="6"/>
      <c r="K62" s="47">
        <f>SUM(D62:I62)</f>
        <v>5643.65</v>
      </c>
    </row>
    <row r="63" spans="2:11">
      <c r="B63" s="27" t="str">
        <f t="shared" si="7"/>
        <v>Large User</v>
      </c>
      <c r="D63" s="7">
        <f>-'PIL Billed by Class'!C86</f>
        <v>0</v>
      </c>
      <c r="E63" s="7">
        <f>-'PIL Billed by Class'!D86</f>
        <v>0</v>
      </c>
      <c r="F63" s="7">
        <f>-'PIL Billed by Class'!E86</f>
        <v>0</v>
      </c>
      <c r="G63" s="7">
        <f>-'PIL Billed by Class'!F86</f>
        <v>0</v>
      </c>
      <c r="H63" s="7">
        <f>-'PIL Billed by Class'!G86</f>
        <v>0</v>
      </c>
      <c r="I63" s="7">
        <f>-'PIL Billed by Class'!H86</f>
        <v>0</v>
      </c>
      <c r="J63" s="6"/>
      <c r="K63" s="47">
        <f>SUM(D63:I63)</f>
        <v>0</v>
      </c>
    </row>
    <row r="64" spans="2:11">
      <c r="B64" s="27" t="str">
        <f t="shared" si="7"/>
        <v>Street Lighting</v>
      </c>
      <c r="D64" s="7">
        <f>-'PIL Billed by Class'!C87</f>
        <v>0</v>
      </c>
      <c r="E64" s="7">
        <f>-'PIL Billed by Class'!D87</f>
        <v>84.63</v>
      </c>
      <c r="F64" s="7">
        <f>-'PIL Billed by Class'!E87</f>
        <v>147</v>
      </c>
      <c r="G64" s="7">
        <f>-'PIL Billed by Class'!F87</f>
        <v>127.16999999999999</v>
      </c>
      <c r="H64" s="7">
        <f>-'PIL Billed by Class'!G87</f>
        <v>115.82</v>
      </c>
      <c r="I64" s="7">
        <f>-'PIL Billed by Class'!H87</f>
        <v>36</v>
      </c>
      <c r="J64" s="6"/>
      <c r="K64" s="47">
        <f>SUM(D64:I64)</f>
        <v>510.61999999999995</v>
      </c>
    </row>
    <row r="65" spans="2:11" ht="15.75" thickBot="1">
      <c r="B65" s="42" t="str">
        <f t="shared" si="7"/>
        <v>Sentinel Lighting</v>
      </c>
      <c r="C65" s="12"/>
      <c r="D65" s="44">
        <f>-'PIL Billed by Class'!C88</f>
        <v>0</v>
      </c>
      <c r="E65" s="44">
        <f>-'PIL Billed by Class'!D88</f>
        <v>-45</v>
      </c>
      <c r="F65" s="44">
        <f>-'PIL Billed by Class'!E88</f>
        <v>0</v>
      </c>
      <c r="G65" s="44">
        <f>-'PIL Billed by Class'!F88</f>
        <v>1.61</v>
      </c>
      <c r="H65" s="44">
        <f>-'PIL Billed by Class'!G88</f>
        <v>2.68</v>
      </c>
      <c r="I65" s="44">
        <f>-'PIL Billed by Class'!H88</f>
        <v>0.88</v>
      </c>
      <c r="J65" s="18"/>
      <c r="K65" s="48">
        <f>SUM(E65:I65)</f>
        <v>-39.83</v>
      </c>
    </row>
    <row r="66" spans="2:11">
      <c r="B66" s="49"/>
      <c r="C66" s="49"/>
      <c r="D66" s="49"/>
      <c r="E66" s="49"/>
      <c r="F66" s="49"/>
      <c r="G66" s="49"/>
      <c r="H66" s="49"/>
      <c r="I66" s="49"/>
      <c r="J66" s="49"/>
      <c r="K66" s="49"/>
    </row>
    <row r="67" spans="2:11" ht="15.75" thickBot="1">
      <c r="B67" s="50" t="s">
        <v>8</v>
      </c>
      <c r="C67" s="50"/>
      <c r="D67" s="51">
        <f t="shared" ref="D67:I67" si="8">SUM(D60:D66)</f>
        <v>0</v>
      </c>
      <c r="E67" s="48">
        <f t="shared" si="8"/>
        <v>7504.54</v>
      </c>
      <c r="F67" s="48">
        <f t="shared" si="8"/>
        <v>10920.14</v>
      </c>
      <c r="G67" s="48">
        <f t="shared" si="8"/>
        <v>9710.32</v>
      </c>
      <c r="H67" s="48">
        <f t="shared" si="8"/>
        <v>9939.14</v>
      </c>
      <c r="I67" s="48">
        <f t="shared" si="8"/>
        <v>3835.2200000000003</v>
      </c>
      <c r="J67" s="48"/>
      <c r="K67" s="48">
        <f>SUM(K60:K66)</f>
        <v>41909.360000000001</v>
      </c>
    </row>
    <row r="69" spans="2:11">
      <c r="B69" s="27" t="s">
        <v>66</v>
      </c>
      <c r="D69" s="7">
        <f>-'PIL Billed by Class'!C34-'PIL Billed by Class'!C35-'PIL Billed by Class'!C36-'PIL Billed by Class'!C37-'PIL Billed by Class'!C38-'PIL Billed by Class'!C39</f>
        <v>0</v>
      </c>
      <c r="E69" s="7">
        <f>-'PIL Billed by Class'!D34-'PIL Billed by Class'!D35-'PIL Billed by Class'!D36-'PIL Billed by Class'!D37-'PIL Billed by Class'!D38-'PIL Billed by Class'!D39</f>
        <v>3506.65</v>
      </c>
      <c r="F69" s="7">
        <f>-'PIL Billed by Class'!E34-'PIL Billed by Class'!E35-'PIL Billed by Class'!E36-'PIL Billed by Class'!E37-'PIL Billed by Class'!E38-'PIL Billed by Class'!E39</f>
        <v>4600.3600000000006</v>
      </c>
      <c r="G69" s="7">
        <f>-'PIL Billed by Class'!F34-'PIL Billed by Class'!F35-'PIL Billed by Class'!F36-'PIL Billed by Class'!F37-'PIL Billed by Class'!F38-'PIL Billed by Class'!F39</f>
        <v>1539.88</v>
      </c>
      <c r="H69" s="7">
        <f>-'PIL Billed by Class'!G34-'PIL Billed by Class'!G35-'PIL Billed by Class'!G36-'PIL Billed by Class'!G37-'PIL Billed by Class'!G38-'PIL Billed by Class'!G39</f>
        <v>0</v>
      </c>
      <c r="I69" s="7">
        <f>-'PIL Billed by Class'!H34-'PIL Billed by Class'!H35-'PIL Billed by Class'!H36-'PIL Billed by Class'!H37-'PIL Billed by Class'!H38-'PIL Billed by Class'!H39</f>
        <v>0</v>
      </c>
      <c r="K69" s="40">
        <f>SUM(D69:J69)</f>
        <v>9646.89</v>
      </c>
    </row>
    <row r="70" spans="2:11" ht="15.75" thickBot="1">
      <c r="B70" s="42" t="s">
        <v>67</v>
      </c>
      <c r="C70" s="12"/>
      <c r="D70" s="44">
        <f>-'PIL Billed by Class'!C40-'PIL Billed by Class'!C41-'PIL Billed by Class'!C42-'PIL Billed by Class'!C43-'PIL Billed by Class'!C44-'PIL Billed by Class'!C45</f>
        <v>0</v>
      </c>
      <c r="E70" s="44">
        <f>-'PIL Billed by Class'!D40-'PIL Billed by Class'!D41-'PIL Billed by Class'!D42-'PIL Billed by Class'!D43-'PIL Billed by Class'!D44-'PIL Billed by Class'!D45</f>
        <v>3997.8900000000003</v>
      </c>
      <c r="F70" s="44">
        <f>-'PIL Billed by Class'!E40-'PIL Billed by Class'!E41-'PIL Billed by Class'!E42-'PIL Billed by Class'!E43-'PIL Billed by Class'!E44-'PIL Billed by Class'!E45</f>
        <v>6319.78</v>
      </c>
      <c r="G70" s="44">
        <f>-'PIL Billed by Class'!F40-'PIL Billed by Class'!F41-'PIL Billed by Class'!F42-'PIL Billed by Class'!F43-'PIL Billed by Class'!F44-'PIL Billed by Class'!F45</f>
        <v>8170.44</v>
      </c>
      <c r="H70" s="44">
        <f>-'PIL Billed by Class'!G40-'PIL Billed by Class'!G41-'PIL Billed by Class'!G42-'PIL Billed by Class'!G43-'PIL Billed by Class'!G44-'PIL Billed by Class'!G45</f>
        <v>9939.14</v>
      </c>
      <c r="I70" s="44">
        <f>-'PIL Billed by Class'!H40-'PIL Billed by Class'!H41-'PIL Billed by Class'!H42-'PIL Billed by Class'!H43-'PIL Billed by Class'!H44-'PIL Billed by Class'!H45</f>
        <v>3835.2200000000003</v>
      </c>
      <c r="J70" s="12"/>
      <c r="K70" s="41">
        <f>SUM(D70:J70)</f>
        <v>32262.47</v>
      </c>
    </row>
    <row r="71" spans="2:11">
      <c r="B71" s="49"/>
      <c r="C71" s="49"/>
      <c r="D71" s="49"/>
      <c r="E71" s="49"/>
      <c r="F71" s="49"/>
      <c r="G71" s="49"/>
      <c r="H71" s="49"/>
      <c r="I71" s="49"/>
      <c r="J71" s="49"/>
      <c r="K71" s="49"/>
    </row>
    <row r="72" spans="2:11" ht="15.75" thickBot="1">
      <c r="B72" s="50" t="s">
        <v>8</v>
      </c>
      <c r="C72" s="50"/>
      <c r="D72" s="48">
        <f t="shared" ref="D72:I72" si="9">SUM(D69:D71)</f>
        <v>0</v>
      </c>
      <c r="E72" s="48">
        <f t="shared" si="9"/>
        <v>7504.5400000000009</v>
      </c>
      <c r="F72" s="48">
        <f t="shared" si="9"/>
        <v>10920.14</v>
      </c>
      <c r="G72" s="48">
        <f t="shared" si="9"/>
        <v>9710.32</v>
      </c>
      <c r="H72" s="48">
        <f t="shared" si="9"/>
        <v>9939.14</v>
      </c>
      <c r="I72" s="48">
        <f t="shared" si="9"/>
        <v>3835.2200000000003</v>
      </c>
      <c r="J72" s="48"/>
      <c r="K72" s="48">
        <f>SUM(K69:K71)</f>
        <v>41909.360000000001</v>
      </c>
    </row>
    <row r="76" spans="2:11">
      <c r="D76" s="40">
        <f t="shared" ref="D76:I76" si="10">+D67+D49+D36</f>
        <v>0</v>
      </c>
      <c r="E76" s="7">
        <f t="shared" si="10"/>
        <v>1925455.4100000001</v>
      </c>
      <c r="F76" s="7">
        <f t="shared" si="10"/>
        <v>2503651.6300000004</v>
      </c>
      <c r="G76" s="7">
        <f t="shared" si="10"/>
        <v>2000845.66</v>
      </c>
      <c r="H76" s="7">
        <f t="shared" si="10"/>
        <v>1997799.0699999998</v>
      </c>
      <c r="I76" s="7">
        <f t="shared" si="10"/>
        <v>739386.99999999988</v>
      </c>
      <c r="K76" s="7">
        <f>+K67+K49+K36</f>
        <v>9167138.7699999996</v>
      </c>
    </row>
  </sheetData>
  <mergeCells count="8">
    <mergeCell ref="B40:K40"/>
    <mergeCell ref="B57:K57"/>
    <mergeCell ref="B58:K58"/>
    <mergeCell ref="B3:K3"/>
    <mergeCell ref="B4:K4"/>
    <mergeCell ref="B21:K21"/>
    <mergeCell ref="B22:K22"/>
    <mergeCell ref="B39:K39"/>
  </mergeCells>
  <pageMargins left="0.2" right="0.34" top="0.49" bottom="0.48" header="0.3" footer="0.3"/>
  <pageSetup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3:J25"/>
  <sheetViews>
    <sheetView showGridLines="0" workbookViewId="0">
      <selection activeCell="C3" sqref="C3:H22"/>
    </sheetView>
  </sheetViews>
  <sheetFormatPr defaultRowHeight="15"/>
  <cols>
    <col min="3" max="3" width="13.140625" bestFit="1" customWidth="1"/>
    <col min="4" max="8" width="12.7109375" customWidth="1"/>
  </cols>
  <sheetData>
    <row r="3" spans="3:10" ht="15.75" thickBot="1">
      <c r="C3" s="12"/>
      <c r="D3" s="12"/>
      <c r="E3" s="12"/>
      <c r="F3" s="12"/>
      <c r="G3" s="12"/>
      <c r="H3" s="12"/>
    </row>
    <row r="4" spans="3:10">
      <c r="C4" s="93" t="s">
        <v>74</v>
      </c>
      <c r="D4" s="93"/>
      <c r="E4" s="93"/>
      <c r="F4" s="93"/>
      <c r="G4" s="93"/>
      <c r="H4" s="93"/>
    </row>
    <row r="5" spans="3:10" ht="15.75" thickBot="1">
      <c r="C5" s="92" t="s">
        <v>43</v>
      </c>
      <c r="D5" s="92"/>
      <c r="E5" s="92"/>
      <c r="F5" s="92"/>
      <c r="G5" s="92"/>
      <c r="H5" s="92"/>
    </row>
    <row r="6" spans="3:10" ht="15.75" thickBot="1">
      <c r="C6" s="43"/>
      <c r="D6" s="43">
        <v>2002</v>
      </c>
      <c r="E6" s="43">
        <f>+D6+1</f>
        <v>2003</v>
      </c>
      <c r="F6" s="43">
        <f>+E6+1</f>
        <v>2004</v>
      </c>
      <c r="G6" s="43">
        <f>+F6+1</f>
        <v>2005</v>
      </c>
      <c r="H6" s="43">
        <f>+G6+1</f>
        <v>2006</v>
      </c>
    </row>
    <row r="8" spans="3:10">
      <c r="C8" s="27" t="s">
        <v>75</v>
      </c>
      <c r="D8" s="7">
        <f>+'Carrying Charges'!D10</f>
        <v>0</v>
      </c>
      <c r="E8" s="52">
        <f>-'Carrying Charges'!D22</f>
        <v>262379</v>
      </c>
      <c r="F8" s="52">
        <f>-'Carrying Charges'!D34</f>
        <v>238588</v>
      </c>
      <c r="G8" s="52">
        <f>-'Carrying Charges'!D46</f>
        <v>200649</v>
      </c>
      <c r="H8" s="52">
        <f>-'Carrying Charges'!D58</f>
        <v>210752</v>
      </c>
      <c r="I8" s="52"/>
      <c r="J8" s="52"/>
    </row>
    <row r="9" spans="3:10">
      <c r="C9" s="27" t="s">
        <v>76</v>
      </c>
      <c r="D9" s="7">
        <v>0</v>
      </c>
      <c r="E9" s="52">
        <f>-'Carrying Charges'!D23</f>
        <v>201939</v>
      </c>
      <c r="F9" s="52">
        <f>-'Carrying Charges'!D35</f>
        <v>216276</v>
      </c>
      <c r="G9" s="52">
        <f>-'Carrying Charges'!D47</f>
        <v>173974</v>
      </c>
      <c r="H9" s="52">
        <f>-'Carrying Charges'!D59</f>
        <v>179742</v>
      </c>
      <c r="I9" s="52"/>
      <c r="J9" s="52"/>
    </row>
    <row r="10" spans="3:10">
      <c r="C10" s="27" t="s">
        <v>77</v>
      </c>
      <c r="D10" s="53">
        <f>-'Carrying Charges'!D12</f>
        <v>151141</v>
      </c>
      <c r="E10" s="52">
        <f>-'Carrying Charges'!D24</f>
        <v>212915</v>
      </c>
      <c r="F10" s="52">
        <f>-'Carrying Charges'!D36</f>
        <v>241869</v>
      </c>
      <c r="G10" s="52">
        <f>-'Carrying Charges'!D48</f>
        <v>187684</v>
      </c>
      <c r="H10" s="52">
        <f>-'Carrying Charges'!D60</f>
        <v>181858</v>
      </c>
      <c r="I10" s="52"/>
      <c r="J10" s="52"/>
    </row>
    <row r="11" spans="3:10">
      <c r="C11" s="27" t="s">
        <v>78</v>
      </c>
      <c r="D11" s="53">
        <f>-'Carrying Charges'!D13</f>
        <v>206672</v>
      </c>
      <c r="E11" s="52">
        <f>-'Carrying Charges'!D25</f>
        <v>213848</v>
      </c>
      <c r="F11" s="52">
        <f>-'Carrying Charges'!D37</f>
        <v>158799</v>
      </c>
      <c r="G11" s="52">
        <f>-'Carrying Charges'!D49</f>
        <v>183405</v>
      </c>
      <c r="H11" s="52">
        <f>-'Carrying Charges'!D61</f>
        <v>167035</v>
      </c>
      <c r="I11" s="52"/>
      <c r="J11" s="52"/>
    </row>
    <row r="12" spans="3:10">
      <c r="C12" s="27" t="s">
        <v>79</v>
      </c>
      <c r="D12" s="53">
        <f>-'Carrying Charges'!D14</f>
        <v>140038</v>
      </c>
      <c r="E12" s="52">
        <f>-'Carrying Charges'!D26</f>
        <v>216770</v>
      </c>
      <c r="F12" s="52">
        <f>-'Carrying Charges'!D38</f>
        <v>129377</v>
      </c>
      <c r="G12" s="52">
        <f>-'Carrying Charges'!D50</f>
        <v>143491</v>
      </c>
      <c r="H12" s="7">
        <f>+D8</f>
        <v>0</v>
      </c>
      <c r="I12" s="52"/>
      <c r="J12" s="52"/>
    </row>
    <row r="13" spans="3:10">
      <c r="C13" s="27" t="s">
        <v>80</v>
      </c>
      <c r="D13" s="53">
        <f>-'Carrying Charges'!D15</f>
        <v>186103</v>
      </c>
      <c r="E13" s="52">
        <f>-'Carrying Charges'!D27</f>
        <v>196238</v>
      </c>
      <c r="F13" s="52">
        <f>-'Carrying Charges'!D39</f>
        <v>142390</v>
      </c>
      <c r="G13" s="52">
        <f>-'Carrying Charges'!D51</f>
        <v>153616</v>
      </c>
      <c r="H13" s="7">
        <f>+H12</f>
        <v>0</v>
      </c>
      <c r="I13" s="52"/>
      <c r="J13" s="52"/>
    </row>
    <row r="14" spans="3:10">
      <c r="C14" s="27" t="s">
        <v>81</v>
      </c>
      <c r="D14" s="53">
        <f>-'Carrying Charges'!D16</f>
        <v>200417</v>
      </c>
      <c r="E14" s="52">
        <f>-'Carrying Charges'!D28</f>
        <v>200502</v>
      </c>
      <c r="F14" s="52">
        <f>-'Carrying Charges'!D40</f>
        <v>142495</v>
      </c>
      <c r="G14" s="52">
        <f>-'Carrying Charges'!D52</f>
        <v>149922</v>
      </c>
      <c r="H14" s="7">
        <f t="shared" ref="H14:H18" si="0">+H13</f>
        <v>0</v>
      </c>
      <c r="I14" s="52"/>
      <c r="J14" s="52"/>
    </row>
    <row r="15" spans="3:10">
      <c r="C15" s="27" t="s">
        <v>82</v>
      </c>
      <c r="D15" s="53">
        <f>-'Carrying Charges'!D17</f>
        <v>211488</v>
      </c>
      <c r="E15" s="52">
        <f>-'Carrying Charges'!D29</f>
        <v>196245</v>
      </c>
      <c r="F15" s="52">
        <f>-'Carrying Charges'!D41</f>
        <v>152092</v>
      </c>
      <c r="G15" s="52">
        <f>-'Carrying Charges'!D53</f>
        <v>192603</v>
      </c>
      <c r="H15" s="7">
        <f t="shared" si="0"/>
        <v>0</v>
      </c>
      <c r="I15" s="52"/>
      <c r="J15" s="52"/>
    </row>
    <row r="16" spans="3:10">
      <c r="C16" s="27" t="s">
        <v>83</v>
      </c>
      <c r="D16" s="53">
        <f>-'Carrying Charges'!D18</f>
        <v>208471</v>
      </c>
      <c r="E16" s="52">
        <f>-'Carrying Charges'!D30</f>
        <v>201182</v>
      </c>
      <c r="F16" s="52">
        <f>-'Carrying Charges'!D42</f>
        <v>141740</v>
      </c>
      <c r="G16" s="52">
        <f>-'Carrying Charges'!D54</f>
        <v>168176</v>
      </c>
      <c r="H16" s="7">
        <f t="shared" si="0"/>
        <v>0</v>
      </c>
      <c r="I16" s="52"/>
      <c r="J16" s="52"/>
    </row>
    <row r="17" spans="3:10">
      <c r="C17" s="27" t="s">
        <v>84</v>
      </c>
      <c r="D17" s="53">
        <f>-'Carrying Charges'!D19</f>
        <v>212635</v>
      </c>
      <c r="E17" s="52">
        <f>-'Carrying Charges'!D31</f>
        <v>203053</v>
      </c>
      <c r="F17" s="52">
        <f>-'Carrying Charges'!D43</f>
        <v>137911</v>
      </c>
      <c r="G17" s="52">
        <f>-'Carrying Charges'!D55</f>
        <v>144284</v>
      </c>
      <c r="H17" s="7">
        <f t="shared" si="0"/>
        <v>0</v>
      </c>
      <c r="I17" s="52"/>
      <c r="J17" s="52"/>
    </row>
    <row r="18" spans="3:10">
      <c r="C18" s="27" t="s">
        <v>85</v>
      </c>
      <c r="D18" s="53">
        <f>-'Carrying Charges'!D20</f>
        <v>221964</v>
      </c>
      <c r="E18" s="52">
        <f>-'Carrying Charges'!D32</f>
        <v>193104</v>
      </c>
      <c r="F18" s="52">
        <f>-'Carrying Charges'!D44</f>
        <v>148052</v>
      </c>
      <c r="G18" s="52">
        <f>-'Carrying Charges'!D56</f>
        <v>148853</v>
      </c>
      <c r="H18" s="7">
        <f t="shared" si="0"/>
        <v>0</v>
      </c>
      <c r="I18" s="52"/>
      <c r="J18" s="52"/>
    </row>
    <row r="19" spans="3:10" ht="15.75" thickBot="1">
      <c r="C19" s="42" t="s">
        <v>86</v>
      </c>
      <c r="D19" s="54">
        <f>-'Carrying Charges'!D21</f>
        <v>186525</v>
      </c>
      <c r="E19" s="55">
        <f>-'Carrying Charges'!D33</f>
        <v>205477</v>
      </c>
      <c r="F19" s="55">
        <f>-'Carrying Charges'!D45</f>
        <v>151257</v>
      </c>
      <c r="G19" s="55">
        <f>-'Carrying Charges'!D57</f>
        <v>151143</v>
      </c>
      <c r="H19" s="44">
        <f>+H18</f>
        <v>0</v>
      </c>
      <c r="I19" s="52"/>
      <c r="J19" s="52"/>
    </row>
    <row r="20" spans="3:10">
      <c r="C20" s="27"/>
      <c r="D20" s="52"/>
      <c r="E20" s="52"/>
      <c r="F20" s="52"/>
      <c r="G20" s="52"/>
      <c r="H20" s="52"/>
      <c r="I20" s="52"/>
      <c r="J20" s="52"/>
    </row>
    <row r="21" spans="3:10">
      <c r="C21" s="62"/>
      <c r="D21" s="63">
        <f>SUM(D8:D20)</f>
        <v>1925454</v>
      </c>
      <c r="E21" s="63">
        <f>SUM(E8:E20)</f>
        <v>2503652</v>
      </c>
      <c r="F21" s="63">
        <f>SUM(F8:F20)</f>
        <v>2000846</v>
      </c>
      <c r="G21" s="63">
        <f>SUM(G8:G20)</f>
        <v>1997800</v>
      </c>
      <c r="H21" s="63">
        <f>SUM(H8:H20)</f>
        <v>739387</v>
      </c>
      <c r="I21" s="52"/>
      <c r="J21" s="52"/>
    </row>
    <row r="22" spans="3:10" ht="15.75" thickBot="1">
      <c r="C22" s="50" t="s">
        <v>87</v>
      </c>
      <c r="D22" s="64">
        <f>+D21</f>
        <v>1925454</v>
      </c>
      <c r="E22" s="64">
        <f>+E21+D22</f>
        <v>4429106</v>
      </c>
      <c r="F22" s="64">
        <f t="shared" ref="F22:H22" si="1">+F21+E22</f>
        <v>6429952</v>
      </c>
      <c r="G22" s="64">
        <f t="shared" si="1"/>
        <v>8427752</v>
      </c>
      <c r="H22" s="64">
        <f t="shared" si="1"/>
        <v>9167139</v>
      </c>
      <c r="I22" s="52"/>
      <c r="J22" s="52"/>
    </row>
    <row r="23" spans="3:10">
      <c r="D23" s="52"/>
      <c r="E23" s="52"/>
      <c r="F23" s="52"/>
      <c r="G23" s="52"/>
      <c r="H23" s="52"/>
      <c r="I23" s="52"/>
      <c r="J23" s="52"/>
    </row>
    <row r="24" spans="3:10">
      <c r="D24" s="52"/>
      <c r="E24" s="52"/>
      <c r="F24" s="52"/>
      <c r="G24" s="52"/>
      <c r="H24" s="52"/>
      <c r="I24" s="52"/>
      <c r="J24" s="52"/>
    </row>
    <row r="25" spans="3:10">
      <c r="D25" s="52"/>
      <c r="E25" s="52"/>
      <c r="F25" s="52"/>
      <c r="G25" s="52"/>
      <c r="H25" s="52"/>
      <c r="I25" s="52"/>
      <c r="J25" s="52"/>
    </row>
  </sheetData>
  <mergeCells count="2">
    <mergeCell ref="C4:H4"/>
    <mergeCell ref="C5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K40"/>
  <sheetViews>
    <sheetView showGridLines="0" topLeftCell="A10" workbookViewId="0">
      <selection activeCell="B2" sqref="B2:H40"/>
    </sheetView>
  </sheetViews>
  <sheetFormatPr defaultRowHeight="15"/>
  <cols>
    <col min="2" max="2" width="22.5703125" bestFit="1" customWidth="1"/>
    <col min="3" max="3" width="13.28515625" bestFit="1" customWidth="1"/>
    <col min="4" max="9" width="10.5703125" bestFit="1" customWidth="1"/>
    <col min="10" max="10" width="13.28515625" bestFit="1" customWidth="1"/>
    <col min="11" max="11" width="9.7109375" bestFit="1" customWidth="1"/>
    <col min="12" max="13" width="10.5703125" bestFit="1" customWidth="1"/>
    <col min="14" max="14" width="9.7109375" bestFit="1" customWidth="1"/>
  </cols>
  <sheetData>
    <row r="2" spans="2:11" ht="15.75" thickBot="1">
      <c r="B2" s="12"/>
      <c r="C2" s="12"/>
      <c r="D2" s="12"/>
      <c r="E2" s="12"/>
      <c r="F2" s="12"/>
      <c r="G2" s="12"/>
      <c r="H2" s="12"/>
    </row>
    <row r="3" spans="2:11" ht="15.75" thickBot="1">
      <c r="B3" s="92" t="s">
        <v>93</v>
      </c>
      <c r="C3" s="92"/>
      <c r="D3" s="92"/>
      <c r="E3" s="92"/>
      <c r="F3" s="92"/>
      <c r="G3" s="92"/>
      <c r="H3" s="92"/>
    </row>
    <row r="4" spans="2:11" ht="30.75" thickBot="1">
      <c r="B4" s="65" t="s">
        <v>68</v>
      </c>
      <c r="C4" s="66" t="s">
        <v>88</v>
      </c>
      <c r="D4" s="66" t="s">
        <v>89</v>
      </c>
      <c r="E4" s="66" t="s">
        <v>90</v>
      </c>
      <c r="F4" s="66" t="s">
        <v>91</v>
      </c>
      <c r="G4" s="66" t="s">
        <v>92</v>
      </c>
      <c r="H4" s="67" t="s">
        <v>69</v>
      </c>
    </row>
    <row r="5" spans="2:11">
      <c r="B5" s="24" t="s">
        <v>70</v>
      </c>
      <c r="C5" s="34">
        <v>527668</v>
      </c>
      <c r="D5" s="34">
        <v>1926525</v>
      </c>
      <c r="E5" s="34"/>
      <c r="F5" s="34"/>
      <c r="G5" s="34"/>
      <c r="H5" s="57">
        <f>SUM(C5:G5)</f>
        <v>2454193</v>
      </c>
    </row>
    <row r="6" spans="2:11">
      <c r="B6" s="24" t="s">
        <v>71</v>
      </c>
      <c r="C6" s="34">
        <v>527668</v>
      </c>
      <c r="D6" s="34"/>
      <c r="E6" s="34">
        <v>1926525</v>
      </c>
      <c r="F6" s="34"/>
      <c r="G6" s="34"/>
      <c r="H6" s="57">
        <f>SUM(C6:G6)</f>
        <v>2454193</v>
      </c>
    </row>
    <row r="7" spans="2:11">
      <c r="B7" s="24" t="s">
        <v>72</v>
      </c>
      <c r="C7" s="34">
        <f>527668/12*3</f>
        <v>131917</v>
      </c>
      <c r="D7" s="34"/>
      <c r="E7" s="34"/>
      <c r="F7" s="34">
        <v>1926525</v>
      </c>
      <c r="G7" s="34"/>
      <c r="H7" s="57">
        <f>SUM(C7:G7)</f>
        <v>2058442</v>
      </c>
    </row>
    <row r="8" spans="2:11" ht="15.75" thickBot="1">
      <c r="B8" s="12" t="s">
        <v>73</v>
      </c>
      <c r="C8" s="56"/>
      <c r="D8" s="56"/>
      <c r="E8" s="56"/>
      <c r="F8" s="56">
        <f>1926525/12*3</f>
        <v>481631.25</v>
      </c>
      <c r="G8" s="56">
        <f>1953655/12*13</f>
        <v>2116459.5833333335</v>
      </c>
      <c r="H8" s="58">
        <f>SUM(C8:G8)</f>
        <v>2598090.8333333335</v>
      </c>
    </row>
    <row r="9" spans="2:11">
      <c r="B9" s="61"/>
      <c r="C9" s="59"/>
      <c r="D9" s="59"/>
      <c r="E9" s="59"/>
      <c r="F9" s="59"/>
      <c r="G9" s="59"/>
      <c r="H9" s="59"/>
    </row>
    <row r="10" spans="2:11" ht="15.75" thickBot="1">
      <c r="B10" s="50" t="s">
        <v>8</v>
      </c>
      <c r="C10" s="60">
        <f t="shared" ref="C10:H10" si="0">SUM(C5:C9)</f>
        <v>1187253</v>
      </c>
      <c r="D10" s="60">
        <f t="shared" si="0"/>
        <v>1926525</v>
      </c>
      <c r="E10" s="60">
        <f t="shared" si="0"/>
        <v>1926525</v>
      </c>
      <c r="F10" s="60">
        <f t="shared" si="0"/>
        <v>2408156.25</v>
      </c>
      <c r="G10" s="60">
        <f t="shared" si="0"/>
        <v>2116459.5833333335</v>
      </c>
      <c r="H10" s="60">
        <f t="shared" si="0"/>
        <v>9564918.833333334</v>
      </c>
      <c r="J10" s="7"/>
      <c r="K10" s="7"/>
    </row>
    <row r="11" spans="2:11">
      <c r="H11" s="7"/>
    </row>
    <row r="12" spans="2:11" ht="15.75" thickBot="1">
      <c r="B12" s="12"/>
      <c r="C12" s="12"/>
      <c r="D12" s="12"/>
      <c r="E12" s="12"/>
      <c r="F12" s="12"/>
      <c r="G12" s="12"/>
      <c r="H12" s="12"/>
    </row>
    <row r="13" spans="2:11" ht="15.75" thickBot="1">
      <c r="B13" s="92" t="s">
        <v>94</v>
      </c>
      <c r="C13" s="92"/>
      <c r="D13" s="92"/>
      <c r="E13" s="92"/>
      <c r="F13" s="92"/>
      <c r="G13" s="92"/>
      <c r="H13" s="92"/>
    </row>
    <row r="14" spans="2:11" ht="30.75" thickBot="1">
      <c r="B14" s="65" t="s">
        <v>68</v>
      </c>
      <c r="C14" s="66" t="s">
        <v>88</v>
      </c>
      <c r="D14" s="66" t="s">
        <v>89</v>
      </c>
      <c r="E14" s="66" t="s">
        <v>90</v>
      </c>
      <c r="F14" s="66" t="s">
        <v>91</v>
      </c>
      <c r="G14" s="66" t="s">
        <v>92</v>
      </c>
      <c r="H14" s="67" t="s">
        <v>69</v>
      </c>
    </row>
    <row r="15" spans="2:11">
      <c r="B15" s="24" t="s">
        <v>70</v>
      </c>
      <c r="C15" s="34">
        <f>+'Revised IRM Balance'!C63</f>
        <v>519048</v>
      </c>
      <c r="D15" s="34">
        <f>+'Revised IRM Balance'!C64</f>
        <v>1893596</v>
      </c>
      <c r="E15" s="34"/>
      <c r="F15" s="34"/>
      <c r="G15" s="34"/>
      <c r="H15" s="57">
        <f>SUM(C15:G15)</f>
        <v>2412644</v>
      </c>
    </row>
    <row r="16" spans="2:11">
      <c r="B16" s="24" t="s">
        <v>71</v>
      </c>
      <c r="C16" s="34">
        <f>+C15</f>
        <v>519048</v>
      </c>
      <c r="D16" s="34"/>
      <c r="E16" s="34">
        <f>+D15</f>
        <v>1893596</v>
      </c>
      <c r="F16" s="34"/>
      <c r="G16" s="34"/>
      <c r="H16" s="57">
        <f>SUM(C16:G16)</f>
        <v>2412644</v>
      </c>
    </row>
    <row r="17" spans="2:8">
      <c r="B17" s="24" t="s">
        <v>72</v>
      </c>
      <c r="C17" s="34">
        <f>+C16/12*3</f>
        <v>129762</v>
      </c>
      <c r="D17" s="34"/>
      <c r="E17" s="34"/>
      <c r="F17" s="34">
        <f>+E16</f>
        <v>1893596</v>
      </c>
      <c r="G17" s="34"/>
      <c r="H17" s="57">
        <f>SUM(C17:G17)</f>
        <v>2023358</v>
      </c>
    </row>
    <row r="18" spans="2:8" ht="15.75" thickBot="1">
      <c r="B18" s="12" t="s">
        <v>73</v>
      </c>
      <c r="C18" s="56"/>
      <c r="D18" s="56"/>
      <c r="E18" s="56"/>
      <c r="F18" s="56">
        <f>+F17/12*3</f>
        <v>473399</v>
      </c>
      <c r="G18" s="56">
        <f>+'Revised IRM Balance'!C67/12*13</f>
        <v>2078359.8333333335</v>
      </c>
      <c r="H18" s="58">
        <f>SUM(C18:G18)</f>
        <v>2551758.8333333335</v>
      </c>
    </row>
    <row r="19" spans="2:8">
      <c r="B19" s="61"/>
      <c r="C19" s="59"/>
      <c r="D19" s="59"/>
      <c r="E19" s="59"/>
      <c r="F19" s="59"/>
      <c r="G19" s="59"/>
      <c r="H19" s="59"/>
    </row>
    <row r="20" spans="2:8" ht="15.75" thickBot="1">
      <c r="B20" s="50" t="s">
        <v>8</v>
      </c>
      <c r="C20" s="60">
        <f t="shared" ref="C20:H20" si="1">SUM(C15:C19)</f>
        <v>1167858</v>
      </c>
      <c r="D20" s="60">
        <f t="shared" si="1"/>
        <v>1893596</v>
      </c>
      <c r="E20" s="60">
        <f t="shared" si="1"/>
        <v>1893596</v>
      </c>
      <c r="F20" s="60">
        <f t="shared" si="1"/>
        <v>2366995</v>
      </c>
      <c r="G20" s="60">
        <f t="shared" si="1"/>
        <v>2078359.8333333335</v>
      </c>
      <c r="H20" s="60">
        <f t="shared" si="1"/>
        <v>9400404.833333334</v>
      </c>
    </row>
    <row r="22" spans="2:8" ht="15.75" thickBot="1">
      <c r="B22" s="12"/>
      <c r="C22" s="12"/>
      <c r="D22" s="12"/>
      <c r="E22" s="12"/>
      <c r="F22" s="12"/>
      <c r="G22" s="12"/>
      <c r="H22" s="12"/>
    </row>
    <row r="23" spans="2:8" ht="15.75" thickBot="1">
      <c r="B23" s="92" t="s">
        <v>95</v>
      </c>
      <c r="C23" s="92"/>
      <c r="D23" s="92"/>
      <c r="E23" s="92"/>
      <c r="F23" s="92"/>
      <c r="G23" s="92"/>
      <c r="H23" s="92"/>
    </row>
    <row r="24" spans="2:8" ht="30.75" thickBot="1">
      <c r="B24" s="65" t="s">
        <v>68</v>
      </c>
      <c r="C24" s="66" t="s">
        <v>88</v>
      </c>
      <c r="D24" s="66" t="s">
        <v>89</v>
      </c>
      <c r="E24" s="66" t="s">
        <v>90</v>
      </c>
      <c r="F24" s="66" t="s">
        <v>91</v>
      </c>
      <c r="G24" s="66" t="s">
        <v>92</v>
      </c>
      <c r="H24" s="67" t="s">
        <v>69</v>
      </c>
    </row>
    <row r="25" spans="2:8">
      <c r="B25" s="24" t="s">
        <v>70</v>
      </c>
      <c r="C25" s="34">
        <f>+'Revised IRM Balance'!E63</f>
        <v>6474</v>
      </c>
      <c r="D25" s="34">
        <f>+'Revised IRM Balance'!E64</f>
        <v>23860</v>
      </c>
      <c r="E25" s="34"/>
      <c r="F25" s="34"/>
      <c r="G25" s="34"/>
      <c r="H25" s="57">
        <f>SUM(C25:G25)</f>
        <v>30334</v>
      </c>
    </row>
    <row r="26" spans="2:8">
      <c r="B26" s="24" t="s">
        <v>71</v>
      </c>
      <c r="C26" s="34">
        <f>+C25</f>
        <v>6474</v>
      </c>
      <c r="D26" s="34"/>
      <c r="E26" s="34">
        <f>+D25</f>
        <v>23860</v>
      </c>
      <c r="F26" s="34"/>
      <c r="G26" s="34"/>
      <c r="H26" s="57">
        <f>SUM(C26:G26)</f>
        <v>30334</v>
      </c>
    </row>
    <row r="27" spans="2:8">
      <c r="B27" s="24" t="s">
        <v>72</v>
      </c>
      <c r="C27" s="34">
        <f>+C26/12*3</f>
        <v>1618.5</v>
      </c>
      <c r="D27" s="34"/>
      <c r="E27" s="34"/>
      <c r="F27" s="34">
        <f>+E26</f>
        <v>23860</v>
      </c>
      <c r="G27" s="34"/>
      <c r="H27" s="57">
        <f>SUM(C27:G27)</f>
        <v>25478.5</v>
      </c>
    </row>
    <row r="28" spans="2:8" ht="15.75" thickBot="1">
      <c r="B28" s="12" t="s">
        <v>73</v>
      </c>
      <c r="C28" s="56"/>
      <c r="D28" s="56"/>
      <c r="E28" s="56"/>
      <c r="F28" s="56">
        <f>+F27/12*3</f>
        <v>5965</v>
      </c>
      <c r="G28" s="56">
        <f>+'Revised IRM Balance'!E67/12*13</f>
        <v>27898</v>
      </c>
      <c r="H28" s="58">
        <f>SUM(C28:G28)</f>
        <v>33863</v>
      </c>
    </row>
    <row r="29" spans="2:8">
      <c r="B29" s="61"/>
      <c r="C29" s="59"/>
      <c r="D29" s="59"/>
      <c r="E29" s="59"/>
      <c r="F29" s="59"/>
      <c r="G29" s="59"/>
      <c r="H29" s="59"/>
    </row>
    <row r="30" spans="2:8" ht="15.75" thickBot="1">
      <c r="B30" s="50" t="s">
        <v>8</v>
      </c>
      <c r="C30" s="60">
        <f t="shared" ref="C30:H30" si="2">SUM(C25:C29)</f>
        <v>14566.5</v>
      </c>
      <c r="D30" s="60">
        <f t="shared" si="2"/>
        <v>23860</v>
      </c>
      <c r="E30" s="60">
        <f t="shared" si="2"/>
        <v>23860</v>
      </c>
      <c r="F30" s="60">
        <f t="shared" si="2"/>
        <v>29825</v>
      </c>
      <c r="G30" s="60">
        <f t="shared" si="2"/>
        <v>27898</v>
      </c>
      <c r="H30" s="60">
        <f t="shared" si="2"/>
        <v>120009.5</v>
      </c>
    </row>
    <row r="32" spans="2:8" ht="15.75" thickBot="1">
      <c r="B32" s="12"/>
      <c r="C32" s="12"/>
      <c r="D32" s="12"/>
      <c r="E32" s="12"/>
      <c r="F32" s="12"/>
      <c r="G32" s="12"/>
      <c r="H32" s="12"/>
    </row>
    <row r="33" spans="2:8" ht="15.75" thickBot="1">
      <c r="B33" s="92" t="s">
        <v>96</v>
      </c>
      <c r="C33" s="92"/>
      <c r="D33" s="92"/>
      <c r="E33" s="92"/>
      <c r="F33" s="92"/>
      <c r="G33" s="92"/>
      <c r="H33" s="92"/>
    </row>
    <row r="34" spans="2:8" ht="30.75" thickBot="1">
      <c r="B34" s="65" t="s">
        <v>68</v>
      </c>
      <c r="C34" s="66" t="s">
        <v>88</v>
      </c>
      <c r="D34" s="66" t="s">
        <v>89</v>
      </c>
      <c r="E34" s="66" t="s">
        <v>90</v>
      </c>
      <c r="F34" s="66" t="s">
        <v>91</v>
      </c>
      <c r="G34" s="66" t="s">
        <v>92</v>
      </c>
      <c r="H34" s="67" t="s">
        <v>69</v>
      </c>
    </row>
    <row r="35" spans="2:8">
      <c r="B35" s="24" t="s">
        <v>70</v>
      </c>
      <c r="C35" s="34">
        <f>+'Revised IRM Balance'!D63</f>
        <v>2146</v>
      </c>
      <c r="D35" s="34">
        <f>+'Revised IRM Balance'!D64</f>
        <v>9069</v>
      </c>
      <c r="E35" s="34"/>
      <c r="F35" s="34"/>
      <c r="G35" s="34"/>
      <c r="H35" s="57">
        <f>SUM(C35:G35)</f>
        <v>11215</v>
      </c>
    </row>
    <row r="36" spans="2:8">
      <c r="B36" s="24" t="s">
        <v>71</v>
      </c>
      <c r="C36" s="34">
        <f>+C35</f>
        <v>2146</v>
      </c>
      <c r="D36" s="34"/>
      <c r="E36" s="34">
        <f>+D35</f>
        <v>9069</v>
      </c>
      <c r="F36" s="34"/>
      <c r="G36" s="34"/>
      <c r="H36" s="57">
        <f>SUM(C36:G36)</f>
        <v>11215</v>
      </c>
    </row>
    <row r="37" spans="2:8">
      <c r="B37" s="24" t="s">
        <v>72</v>
      </c>
      <c r="C37" s="34">
        <f>+C35/12*3</f>
        <v>536.5</v>
      </c>
      <c r="D37" s="34"/>
      <c r="E37" s="34"/>
      <c r="F37" s="34">
        <f>+E36</f>
        <v>9069</v>
      </c>
      <c r="G37" s="34"/>
      <c r="H37" s="57">
        <f>SUM(C37:G37)</f>
        <v>9605.5</v>
      </c>
    </row>
    <row r="38" spans="2:8" ht="15.75" thickBot="1">
      <c r="B38" s="12" t="s">
        <v>73</v>
      </c>
      <c r="C38" s="56"/>
      <c r="D38" s="56"/>
      <c r="E38" s="56"/>
      <c r="F38" s="56">
        <f>+F37/12*3</f>
        <v>2267.25</v>
      </c>
      <c r="G38" s="56">
        <f>+'Revised IRM Balance'!D67/12*13</f>
        <v>10201.75</v>
      </c>
      <c r="H38" s="58">
        <f>SUM(C38:G38)</f>
        <v>12469</v>
      </c>
    </row>
    <row r="39" spans="2:8">
      <c r="B39" s="61"/>
      <c r="C39" s="59"/>
      <c r="D39" s="59"/>
      <c r="E39" s="59"/>
      <c r="F39" s="59"/>
      <c r="G39" s="59"/>
      <c r="H39" s="59"/>
    </row>
    <row r="40" spans="2:8" ht="15.75" thickBot="1">
      <c r="B40" s="50" t="s">
        <v>8</v>
      </c>
      <c r="C40" s="60">
        <f t="shared" ref="C40:H40" si="3">SUM(C35:C39)</f>
        <v>4828.5</v>
      </c>
      <c r="D40" s="60">
        <f t="shared" si="3"/>
        <v>9069</v>
      </c>
      <c r="E40" s="60">
        <f t="shared" si="3"/>
        <v>9069</v>
      </c>
      <c r="F40" s="60">
        <f t="shared" si="3"/>
        <v>11336.25</v>
      </c>
      <c r="G40" s="60">
        <f t="shared" si="3"/>
        <v>10201.75</v>
      </c>
      <c r="H40" s="60">
        <f t="shared" si="3"/>
        <v>44504.5</v>
      </c>
    </row>
  </sheetData>
  <mergeCells count="4">
    <mergeCell ref="B3:H3"/>
    <mergeCell ref="B13:H13"/>
    <mergeCell ref="B23:H23"/>
    <mergeCell ref="B33:H33"/>
  </mergeCells>
  <printOptions horizontalCentered="1"/>
  <pageMargins left="0.44" right="0.7" top="0.47" bottom="0.54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C3:K30"/>
  <sheetViews>
    <sheetView showGridLines="0" workbookViewId="0">
      <selection activeCell="C3" sqref="C3:K30"/>
    </sheetView>
  </sheetViews>
  <sheetFormatPr defaultRowHeight="15"/>
  <cols>
    <col min="3" max="3" width="22.140625" customWidth="1"/>
    <col min="4" max="6" width="10.7109375" customWidth="1"/>
    <col min="7" max="8" width="10.5703125" bestFit="1" customWidth="1"/>
    <col min="10" max="10" width="2.7109375" customWidth="1"/>
    <col min="11" max="11" width="10.5703125" bestFit="1" customWidth="1"/>
  </cols>
  <sheetData>
    <row r="3" spans="3:11" ht="15.75" thickBot="1">
      <c r="C3" s="12"/>
      <c r="D3" s="12"/>
      <c r="E3" s="12"/>
      <c r="F3" s="12"/>
      <c r="G3" s="12"/>
      <c r="H3" s="12"/>
      <c r="I3" s="12"/>
      <c r="J3" s="12"/>
      <c r="K3" s="12"/>
    </row>
    <row r="4" spans="3:11" ht="15" customHeight="1" thickBot="1">
      <c r="C4" s="94" t="s">
        <v>102</v>
      </c>
      <c r="D4" s="94"/>
      <c r="E4" s="94"/>
      <c r="F4" s="94"/>
      <c r="G4" s="94"/>
      <c r="H4" s="94"/>
      <c r="I4" s="94"/>
      <c r="J4" s="94"/>
      <c r="K4" s="94"/>
    </row>
    <row r="5" spans="3:11" ht="15.75" thickBot="1">
      <c r="C5" s="42"/>
      <c r="D5" s="70">
        <v>2001</v>
      </c>
      <c r="E5" s="70">
        <v>2002</v>
      </c>
      <c r="F5" s="70">
        <v>2003</v>
      </c>
      <c r="G5" s="70">
        <v>2004</v>
      </c>
      <c r="H5" s="70">
        <v>2005</v>
      </c>
      <c r="I5" s="70">
        <v>2006</v>
      </c>
      <c r="J5" s="70"/>
      <c r="K5" s="68" t="s">
        <v>8</v>
      </c>
    </row>
    <row r="6" spans="3:11">
      <c r="K6" s="49"/>
    </row>
    <row r="7" spans="3:11">
      <c r="C7" s="27" t="s">
        <v>97</v>
      </c>
      <c r="K7" s="49"/>
    </row>
    <row r="8" spans="3:11">
      <c r="C8" t="s">
        <v>0</v>
      </c>
      <c r="D8" s="6">
        <f>+'PILS Proxy'!C15</f>
        <v>519048</v>
      </c>
      <c r="E8" s="6">
        <f>+'PILS Proxy'!D15</f>
        <v>1893596</v>
      </c>
      <c r="F8" s="6">
        <f>+E8+D8</f>
        <v>2412644</v>
      </c>
      <c r="G8" s="6">
        <f>+'Revised IRM Balance'!C22</f>
        <v>2023358</v>
      </c>
      <c r="H8" s="6">
        <f>+'Revised IRM Balance'!C27</f>
        <v>1912263.5</v>
      </c>
      <c r="I8" s="6">
        <f>+'Revised IRM Balance'!C32</f>
        <v>639495.33333333267</v>
      </c>
      <c r="J8" s="6"/>
      <c r="K8" s="76">
        <f>SUM(D8:J8)</f>
        <v>9400404.8333333321</v>
      </c>
    </row>
    <row r="9" spans="3:11">
      <c r="C9" t="s">
        <v>2</v>
      </c>
      <c r="D9" s="6">
        <f>+'PILS Proxy'!C25</f>
        <v>6474</v>
      </c>
      <c r="E9" s="6">
        <f>+'PILS Proxy'!D25</f>
        <v>23860</v>
      </c>
      <c r="F9" s="6">
        <f>+E9+D9</f>
        <v>30334</v>
      </c>
      <c r="G9" s="6">
        <f>+'Revised IRM Balance'!E22</f>
        <v>25478.5</v>
      </c>
      <c r="H9" s="6">
        <f>+'Revised IRM Balance'!E27</f>
        <v>25279</v>
      </c>
      <c r="I9" s="6">
        <f>+'Revised IRM Balance'!E32</f>
        <v>8583.9999999999909</v>
      </c>
      <c r="J9" s="6"/>
      <c r="K9" s="76">
        <f>SUM(D9:J9)</f>
        <v>120009.49999999999</v>
      </c>
    </row>
    <row r="10" spans="3:11" ht="15.75" thickBot="1">
      <c r="C10" s="12" t="s">
        <v>1</v>
      </c>
      <c r="D10" s="18">
        <f>+'PILS Proxy'!C35</f>
        <v>2146</v>
      </c>
      <c r="E10" s="18">
        <f>+'PILS Proxy'!D35</f>
        <v>9069</v>
      </c>
      <c r="F10" s="18">
        <f>+E10+D10</f>
        <v>11215</v>
      </c>
      <c r="G10" s="18">
        <f>+'Revised IRM Balance'!D22</f>
        <v>9605.5</v>
      </c>
      <c r="H10" s="18">
        <f>+'Revised IRM Balance'!D27</f>
        <v>9330</v>
      </c>
      <c r="I10" s="18">
        <f>+'Revised IRM Balance'!D32</f>
        <v>3138.9999999999968</v>
      </c>
      <c r="J10" s="18"/>
      <c r="K10" s="60">
        <f>SUM(D10:J10)</f>
        <v>44504.5</v>
      </c>
    </row>
    <row r="11" spans="3:11">
      <c r="C11" s="24"/>
      <c r="D11" s="72"/>
      <c r="E11" s="72"/>
      <c r="F11" s="72"/>
      <c r="G11" s="72"/>
      <c r="H11" s="72"/>
      <c r="I11" s="72"/>
      <c r="J11" s="72"/>
      <c r="K11" s="77"/>
    </row>
    <row r="12" spans="3:11" ht="15.75" thickBot="1">
      <c r="C12" s="42" t="s">
        <v>100</v>
      </c>
      <c r="D12" s="71">
        <f t="shared" ref="D12:I12" si="0">SUM(D8:D10)</f>
        <v>527668</v>
      </c>
      <c r="E12" s="71">
        <f t="shared" si="0"/>
        <v>1926525</v>
      </c>
      <c r="F12" s="71">
        <f t="shared" si="0"/>
        <v>2454193</v>
      </c>
      <c r="G12" s="71">
        <f t="shared" si="0"/>
        <v>2058442</v>
      </c>
      <c r="H12" s="71">
        <f t="shared" si="0"/>
        <v>1946872.5</v>
      </c>
      <c r="I12" s="71">
        <f t="shared" si="0"/>
        <v>651218.33333333267</v>
      </c>
      <c r="J12" s="71"/>
      <c r="K12" s="60">
        <f>SUM(K8:K10)</f>
        <v>9564918.8333333321</v>
      </c>
    </row>
    <row r="13" spans="3:11">
      <c r="D13" s="6"/>
      <c r="E13" s="6"/>
      <c r="F13" s="6"/>
      <c r="G13" s="6"/>
      <c r="H13" s="6"/>
      <c r="I13" s="6"/>
      <c r="J13" s="6"/>
      <c r="K13" s="78"/>
    </row>
    <row r="14" spans="3:11">
      <c r="C14" s="27" t="s">
        <v>98</v>
      </c>
      <c r="D14" s="6">
        <v>0</v>
      </c>
      <c r="E14" s="6">
        <f>+'Revised IRM Balance'!F7</f>
        <v>3625</v>
      </c>
      <c r="F14" s="6">
        <f>+'Revised IRM Balance'!F13+'Revised IRM Balance'!F14</f>
        <v>-47479</v>
      </c>
      <c r="G14" s="6">
        <f>+'Revised IRM Balance'!F19+'Revised IRM Balance'!F20</f>
        <v>-69278</v>
      </c>
      <c r="H14" s="6">
        <f>+'Revised IRM Balance'!F24+'Revised IRM Balance'!F25</f>
        <v>-167617</v>
      </c>
      <c r="I14" s="6">
        <f>+'Revised IRM Balance'!F29+'Revised IRM Balance'!F30</f>
        <v>209365</v>
      </c>
      <c r="J14" s="6"/>
      <c r="K14" s="76">
        <f>SUM(D14:J14)</f>
        <v>-71384</v>
      </c>
    </row>
    <row r="15" spans="3:11" ht="15.75" thickBot="1">
      <c r="C15" s="42" t="s">
        <v>28</v>
      </c>
      <c r="D15" s="18">
        <v>0</v>
      </c>
      <c r="E15" s="18">
        <v>50953</v>
      </c>
      <c r="F15" s="18">
        <v>28295</v>
      </c>
      <c r="G15" s="18">
        <v>15377</v>
      </c>
      <c r="H15" s="18">
        <v>21425</v>
      </c>
      <c r="I15" s="18">
        <v>7973</v>
      </c>
      <c r="J15" s="18"/>
      <c r="K15" s="60">
        <f>SUM(D15:J15)</f>
        <v>124023</v>
      </c>
    </row>
    <row r="16" spans="3:11">
      <c r="D16" s="6"/>
      <c r="E16" s="6"/>
      <c r="F16" s="6"/>
      <c r="G16" s="6"/>
      <c r="H16" s="6"/>
      <c r="I16" s="6"/>
      <c r="J16" s="6"/>
      <c r="K16" s="78"/>
    </row>
    <row r="17" spans="3:11" ht="15.75" thickBot="1">
      <c r="C17" s="42" t="s">
        <v>8</v>
      </c>
      <c r="D17" s="71">
        <f t="shared" ref="D17:I17" si="1">SUM(D14:D16)</f>
        <v>0</v>
      </c>
      <c r="E17" s="71">
        <f t="shared" si="1"/>
        <v>54578</v>
      </c>
      <c r="F17" s="71">
        <f t="shared" si="1"/>
        <v>-19184</v>
      </c>
      <c r="G17" s="71">
        <f t="shared" si="1"/>
        <v>-53901</v>
      </c>
      <c r="H17" s="71">
        <f t="shared" si="1"/>
        <v>-146192</v>
      </c>
      <c r="I17" s="71">
        <f t="shared" si="1"/>
        <v>217338</v>
      </c>
      <c r="J17" s="18"/>
      <c r="K17" s="60">
        <f>SUM(K14:K16)</f>
        <v>52639</v>
      </c>
    </row>
    <row r="18" spans="3:11">
      <c r="D18" s="6"/>
      <c r="E18" s="6"/>
      <c r="F18" s="6"/>
      <c r="G18" s="6"/>
      <c r="H18" s="6"/>
      <c r="I18" s="6"/>
      <c r="J18" s="6"/>
      <c r="K18" s="78"/>
    </row>
    <row r="19" spans="3:11">
      <c r="C19" s="27" t="s">
        <v>99</v>
      </c>
      <c r="D19" s="6"/>
      <c r="E19" s="6"/>
      <c r="F19" s="6"/>
      <c r="G19" s="6"/>
      <c r="H19" s="6"/>
      <c r="I19" s="6"/>
      <c r="J19" s="6"/>
      <c r="K19" s="78"/>
    </row>
    <row r="20" spans="3:11">
      <c r="C20" t="s">
        <v>0</v>
      </c>
      <c r="D20" s="6">
        <f>+'Billed Summary'!D36</f>
        <v>0</v>
      </c>
      <c r="E20" s="6">
        <f>+'Billed Summary'!E36</f>
        <v>1892285.4900000002</v>
      </c>
      <c r="F20" s="6">
        <f>+'Billed Summary'!F36</f>
        <v>2462174.7200000002</v>
      </c>
      <c r="G20" s="6">
        <f>+'Billed Summary'!G36</f>
        <v>1968733.2999999998</v>
      </c>
      <c r="H20" s="6">
        <f>+'Billed Summary'!H36</f>
        <v>1962179.4</v>
      </c>
      <c r="I20" s="6">
        <f>+'Billed Summary'!I36</f>
        <v>725009.90999999992</v>
      </c>
      <c r="J20" s="6"/>
      <c r="K20" s="76">
        <f>SUM(D20:J20)</f>
        <v>9010382.8200000003</v>
      </c>
    </row>
    <row r="21" spans="3:11">
      <c r="C21" t="s">
        <v>2</v>
      </c>
      <c r="D21" s="6">
        <f>+'Billed Summary'!D54</f>
        <v>0</v>
      </c>
      <c r="E21" s="6">
        <f>+'Billed Summary'!E54</f>
        <v>25665.379999999997</v>
      </c>
      <c r="F21" s="6">
        <f>+'Billed Summary'!F54</f>
        <v>30556.770000000004</v>
      </c>
      <c r="G21" s="6">
        <f>+'Billed Summary'!G54</f>
        <v>22402.04</v>
      </c>
      <c r="H21" s="6">
        <f>+'Billed Summary'!H54</f>
        <v>25680.530000000002</v>
      </c>
      <c r="I21" s="6">
        <f>+'Billed Summary'!I54</f>
        <v>10541.87</v>
      </c>
      <c r="J21" s="6"/>
      <c r="K21" s="76">
        <f>SUM(D21:J21)</f>
        <v>114846.59</v>
      </c>
    </row>
    <row r="22" spans="3:11" ht="15.75" thickBot="1">
      <c r="C22" s="12" t="s">
        <v>1</v>
      </c>
      <c r="D22" s="18">
        <f>+'Billed Summary'!D72</f>
        <v>0</v>
      </c>
      <c r="E22" s="18">
        <f>+'Billed Summary'!E72</f>
        <v>7504.5400000000009</v>
      </c>
      <c r="F22" s="18">
        <f>+'Billed Summary'!F72</f>
        <v>10920.14</v>
      </c>
      <c r="G22" s="18">
        <f>+'Billed Summary'!G72</f>
        <v>9710.32</v>
      </c>
      <c r="H22" s="18">
        <f>+'Billed Summary'!H72</f>
        <v>9939.14</v>
      </c>
      <c r="I22" s="18">
        <f>+'Billed Summary'!I72</f>
        <v>3835.2200000000003</v>
      </c>
      <c r="J22" s="18"/>
      <c r="K22" s="60">
        <f>SUM(D22:J22)</f>
        <v>41909.360000000001</v>
      </c>
    </row>
    <row r="23" spans="3:11">
      <c r="D23" s="6"/>
      <c r="E23" s="6"/>
      <c r="F23" s="6"/>
      <c r="G23" s="6"/>
      <c r="H23" s="6"/>
      <c r="I23" s="6"/>
      <c r="J23" s="6"/>
      <c r="K23" s="78"/>
    </row>
    <row r="24" spans="3:11" ht="15.75" thickBot="1">
      <c r="C24" s="42" t="s">
        <v>101</v>
      </c>
      <c r="D24" s="71">
        <f t="shared" ref="D24:I24" si="2">SUM(D20:D23)</f>
        <v>0</v>
      </c>
      <c r="E24" s="71">
        <f t="shared" si="2"/>
        <v>1925455.4100000001</v>
      </c>
      <c r="F24" s="71">
        <f t="shared" si="2"/>
        <v>2503651.6300000004</v>
      </c>
      <c r="G24" s="71">
        <f t="shared" si="2"/>
        <v>2000845.66</v>
      </c>
      <c r="H24" s="71">
        <f t="shared" si="2"/>
        <v>1997799.0699999998</v>
      </c>
      <c r="I24" s="71">
        <f t="shared" si="2"/>
        <v>739386.99999999988</v>
      </c>
      <c r="J24" s="18"/>
      <c r="K24" s="60">
        <f>SUM(K20:K23)</f>
        <v>9167138.7699999996</v>
      </c>
    </row>
    <row r="25" spans="3:11">
      <c r="D25" s="6"/>
      <c r="E25" s="6"/>
      <c r="F25" s="6"/>
      <c r="G25" s="6"/>
      <c r="H25" s="6"/>
      <c r="I25" s="6"/>
      <c r="J25" s="6"/>
      <c r="K25" s="78"/>
    </row>
    <row r="26" spans="3:11">
      <c r="C26" s="62" t="s">
        <v>20</v>
      </c>
      <c r="D26" s="75">
        <f t="shared" ref="D26:I26" si="3">+D12+D17-D24</f>
        <v>527668</v>
      </c>
      <c r="E26" s="75">
        <f t="shared" si="3"/>
        <v>55647.589999999851</v>
      </c>
      <c r="F26" s="75">
        <f t="shared" si="3"/>
        <v>-68642.630000000354</v>
      </c>
      <c r="G26" s="75">
        <f t="shared" si="3"/>
        <v>3695.3400000000838</v>
      </c>
      <c r="H26" s="75">
        <f t="shared" si="3"/>
        <v>-197118.56999999983</v>
      </c>
      <c r="I26" s="75">
        <f t="shared" si="3"/>
        <v>129169.33333333279</v>
      </c>
      <c r="J26" s="62"/>
      <c r="K26" s="75">
        <f>+K12+K17-K24</f>
        <v>450419.06333333254</v>
      </c>
    </row>
    <row r="27" spans="3:11" ht="15.75" thickBot="1">
      <c r="C27" s="50" t="s">
        <v>87</v>
      </c>
      <c r="D27" s="48">
        <f>+D26</f>
        <v>527668</v>
      </c>
      <c r="E27" s="48">
        <f>+E26+D27</f>
        <v>583315.58999999985</v>
      </c>
      <c r="F27" s="48">
        <f>+F26+E27</f>
        <v>514672.9599999995</v>
      </c>
      <c r="G27" s="48">
        <f>+G26+F27</f>
        <v>518368.29999999958</v>
      </c>
      <c r="H27" s="48">
        <f>+H26+G27</f>
        <v>321249.72999999975</v>
      </c>
      <c r="I27" s="48">
        <f>+I26+H27</f>
        <v>450419.06333333254</v>
      </c>
      <c r="J27" s="50"/>
      <c r="K27" s="62"/>
    </row>
    <row r="28" spans="3:11">
      <c r="K28" s="49"/>
    </row>
    <row r="29" spans="3:11">
      <c r="C29" t="s">
        <v>103</v>
      </c>
      <c r="K29" s="47">
        <f>+'Carrying Charges'!H148-'PIL Proxy Summary'!K15</f>
        <v>50876.558791666816</v>
      </c>
    </row>
    <row r="30" spans="3:11" ht="15.75" thickBot="1">
      <c r="C30" s="42" t="s">
        <v>104</v>
      </c>
      <c r="D30" s="42"/>
      <c r="E30" s="42"/>
      <c r="F30" s="42"/>
      <c r="G30" s="42"/>
      <c r="H30" s="42"/>
      <c r="I30" s="42"/>
      <c r="J30" s="42"/>
      <c r="K30" s="48">
        <f>+K29+K26</f>
        <v>501295.62212499935</v>
      </c>
    </row>
  </sheetData>
  <mergeCells count="1">
    <mergeCell ref="C4:K4"/>
  </mergeCells>
  <pageMargins left="0.2" right="0.28000000000000003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M14"/>
  <sheetViews>
    <sheetView showGridLines="0" tabSelected="1" workbookViewId="0">
      <selection activeCell="G25" sqref="G25"/>
    </sheetView>
  </sheetViews>
  <sheetFormatPr defaultRowHeight="15"/>
  <cols>
    <col min="2" max="2" width="30.140625" bestFit="1" customWidth="1"/>
    <col min="3" max="3" width="15.28515625" bestFit="1" customWidth="1"/>
    <col min="4" max="4" width="11.5703125" bestFit="1" customWidth="1"/>
    <col min="5" max="5" width="13.28515625" bestFit="1" customWidth="1"/>
    <col min="7" max="7" width="11.5703125" bestFit="1" customWidth="1"/>
    <col min="8" max="8" width="11" bestFit="1" customWidth="1"/>
  </cols>
  <sheetData>
    <row r="3" spans="2:13" ht="15.75" thickBot="1">
      <c r="B3" s="12"/>
      <c r="C3" s="12"/>
      <c r="D3" s="12"/>
      <c r="E3" s="12"/>
      <c r="F3" s="12"/>
      <c r="G3" s="12"/>
      <c r="H3" s="12"/>
      <c r="I3" s="12"/>
    </row>
    <row r="4" spans="2:13" ht="45.75" thickBot="1">
      <c r="B4" s="82" t="s">
        <v>105</v>
      </c>
      <c r="C4" s="83" t="s">
        <v>111</v>
      </c>
      <c r="D4" s="83" t="s">
        <v>106</v>
      </c>
      <c r="E4" s="83" t="s">
        <v>112</v>
      </c>
      <c r="F4" s="83" t="s">
        <v>113</v>
      </c>
      <c r="G4" s="83" t="s">
        <v>114</v>
      </c>
      <c r="H4" s="95" t="s">
        <v>115</v>
      </c>
      <c r="I4" s="95"/>
    </row>
    <row r="5" spans="2:13" ht="15.75" thickBot="1">
      <c r="B5" s="12"/>
      <c r="C5" s="12"/>
      <c r="D5" s="12"/>
      <c r="E5" s="12"/>
      <c r="F5" s="12"/>
      <c r="G5" s="12"/>
      <c r="H5" s="68" t="s">
        <v>116</v>
      </c>
      <c r="I5" s="68" t="s">
        <v>117</v>
      </c>
      <c r="J5">
        <f>+'PIL Proxy Summary'!K30</f>
        <v>501295.62212499935</v>
      </c>
    </row>
    <row r="6" spans="2:13">
      <c r="B6" t="s">
        <v>45</v>
      </c>
      <c r="C6" s="6">
        <v>284955081</v>
      </c>
      <c r="D6" s="6"/>
      <c r="E6" s="6">
        <v>8174966</v>
      </c>
      <c r="F6" s="79">
        <f t="shared" ref="F6:F12" si="0">+E6/$E$14</f>
        <v>0.58065122845357697</v>
      </c>
      <c r="G6" s="6">
        <f>ROUND($J$5*F6,0)-1</f>
        <v>291077</v>
      </c>
      <c r="H6" s="84">
        <f>+G6/C6</f>
        <v>1.021483803617455E-3</v>
      </c>
      <c r="I6" s="69" t="s">
        <v>118</v>
      </c>
      <c r="M6" s="7">
        <f>+H6*C6</f>
        <v>291077</v>
      </c>
    </row>
    <row r="7" spans="2:13">
      <c r="B7" t="s">
        <v>107</v>
      </c>
      <c r="C7" s="6">
        <v>115582263</v>
      </c>
      <c r="D7" s="6"/>
      <c r="E7" s="6">
        <v>2371648</v>
      </c>
      <c r="F7" s="79">
        <f t="shared" si="0"/>
        <v>0.16845333970312157</v>
      </c>
      <c r="G7" s="6">
        <f t="shared" ref="G7:G12" si="1">ROUND($J$5*F7,0)</f>
        <v>84445</v>
      </c>
      <c r="H7" s="84">
        <f>+G7/C7</f>
        <v>7.3060517944695377E-4</v>
      </c>
      <c r="I7" s="69" t="s">
        <v>118</v>
      </c>
      <c r="M7" s="7">
        <f>+H7*C7</f>
        <v>84445</v>
      </c>
    </row>
    <row r="8" spans="2:13">
      <c r="B8" t="s">
        <v>108</v>
      </c>
      <c r="C8" s="6">
        <v>335685295</v>
      </c>
      <c r="D8" s="6">
        <v>825019</v>
      </c>
      <c r="E8" s="6">
        <v>2801369</v>
      </c>
      <c r="F8" s="79">
        <f t="shared" si="0"/>
        <v>0.19897554940311291</v>
      </c>
      <c r="G8" s="6">
        <f t="shared" si="1"/>
        <v>99746</v>
      </c>
      <c r="H8" s="84">
        <f>+G8/D8</f>
        <v>0.12090145802702726</v>
      </c>
      <c r="I8" s="69" t="s">
        <v>119</v>
      </c>
      <c r="M8" s="7">
        <f>+H8*D8</f>
        <v>99746</v>
      </c>
    </row>
    <row r="9" spans="2:13">
      <c r="B9" t="s">
        <v>109</v>
      </c>
      <c r="C9" s="6">
        <v>56746141</v>
      </c>
      <c r="D9" s="6">
        <v>121690</v>
      </c>
      <c r="E9" s="6">
        <v>176391</v>
      </c>
      <c r="F9" s="79">
        <f t="shared" si="0"/>
        <v>1.2528694411469711E-2</v>
      </c>
      <c r="G9" s="6">
        <f t="shared" si="1"/>
        <v>6281</v>
      </c>
      <c r="H9" s="84">
        <f>+G9/D9</f>
        <v>5.1614758813378257E-2</v>
      </c>
      <c r="I9" s="69" t="s">
        <v>118</v>
      </c>
      <c r="M9" s="7">
        <f>+H9*D9</f>
        <v>6281</v>
      </c>
    </row>
    <row r="10" spans="2:13">
      <c r="B10" t="s">
        <v>110</v>
      </c>
      <c r="C10" s="6">
        <v>1667651</v>
      </c>
      <c r="D10" s="6"/>
      <c r="E10" s="6">
        <v>174416</v>
      </c>
      <c r="F10" s="79">
        <f t="shared" si="0"/>
        <v>1.238841417346067E-2</v>
      </c>
      <c r="G10" s="6">
        <f t="shared" si="1"/>
        <v>6210</v>
      </c>
      <c r="H10" s="84">
        <f>+G10/C10</f>
        <v>3.7238007232928234E-3</v>
      </c>
      <c r="I10" s="69" t="s">
        <v>118</v>
      </c>
      <c r="M10" s="7">
        <f>+H10*C10</f>
        <v>6210</v>
      </c>
    </row>
    <row r="11" spans="2:13">
      <c r="B11" t="s">
        <v>50</v>
      </c>
      <c r="C11" s="6">
        <v>792609</v>
      </c>
      <c r="D11" s="6">
        <v>2174</v>
      </c>
      <c r="E11" s="6">
        <v>35240</v>
      </c>
      <c r="F11" s="79">
        <f t="shared" si="0"/>
        <v>2.5030256138929572E-3</v>
      </c>
      <c r="G11" s="6">
        <f t="shared" si="1"/>
        <v>1255</v>
      </c>
      <c r="H11" s="84">
        <f>+G11/D11</f>
        <v>0.57727690892364303</v>
      </c>
      <c r="I11" s="69" t="s">
        <v>119</v>
      </c>
      <c r="M11" s="7">
        <f>+H11*D11</f>
        <v>1255</v>
      </c>
    </row>
    <row r="12" spans="2:13" ht="15.75" thickBot="1">
      <c r="B12" s="73" t="s">
        <v>49</v>
      </c>
      <c r="C12" s="56">
        <v>5629044</v>
      </c>
      <c r="D12" s="56">
        <v>16391</v>
      </c>
      <c r="E12" s="56">
        <v>344931</v>
      </c>
      <c r="F12" s="81">
        <f t="shared" si="0"/>
        <v>2.4499748241365252E-2</v>
      </c>
      <c r="G12" s="18">
        <f t="shared" si="1"/>
        <v>12282</v>
      </c>
      <c r="H12" s="85">
        <f>+G12/D12</f>
        <v>0.74931364773351228</v>
      </c>
      <c r="I12" s="68" t="s">
        <v>119</v>
      </c>
      <c r="M12" s="7">
        <f>+H12*D12</f>
        <v>12282</v>
      </c>
    </row>
    <row r="13" spans="2:13">
      <c r="M13" s="7">
        <f>SUM(M6:M12)</f>
        <v>501296</v>
      </c>
    </row>
    <row r="14" spans="2:13" ht="15.75" thickBot="1">
      <c r="B14" s="42" t="s">
        <v>8</v>
      </c>
      <c r="C14" s="74">
        <f>SUM(C6:C13)</f>
        <v>801058084</v>
      </c>
      <c r="D14" s="74">
        <f>SUM(D6:D13)</f>
        <v>965274</v>
      </c>
      <c r="E14" s="74">
        <f>SUM(E6:E13)</f>
        <v>14078961</v>
      </c>
      <c r="F14" s="80">
        <f>SUM(F6:F12)</f>
        <v>1.0000000000000002</v>
      </c>
      <c r="G14" s="74">
        <f>SUM(G6:G13)</f>
        <v>501296</v>
      </c>
      <c r="H14" s="12"/>
      <c r="I14" s="12"/>
    </row>
  </sheetData>
  <mergeCells count="1">
    <mergeCell ref="H4:I4"/>
  </mergeCells>
  <pageMargins left="0.7" right="0.7" top="0.75" bottom="0.75" header="0.3" footer="0.3"/>
  <pageSetup orientation="portrait" r:id="rId1"/>
  <ignoredErrors>
    <ignoredError sqref="H10 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Revised IRM Balance</vt:lpstr>
      <vt:lpstr>Carrying Charges</vt:lpstr>
      <vt:lpstr>PIL Billed by Class</vt:lpstr>
      <vt:lpstr>Billed Summary</vt:lpstr>
      <vt:lpstr>Billed by month</vt:lpstr>
      <vt:lpstr>PILS Proxy</vt:lpstr>
      <vt:lpstr>PIL Proxy Summary</vt:lpstr>
      <vt:lpstr>Rate Rider</vt:lpstr>
      <vt:lpstr>'Billed by month'!Print_Area</vt:lpstr>
      <vt:lpstr>'Billed Summary'!Print_Area</vt:lpstr>
      <vt:lpstr>'Carrying Charges'!Print_Area</vt:lpstr>
      <vt:lpstr>'PIL Billed by Class'!Print_Area</vt:lpstr>
      <vt:lpstr>'PIL Proxy Summary'!Print_Area</vt:lpstr>
      <vt:lpstr>'PILS Proxy'!Print_Area</vt:lpstr>
      <vt:lpstr>'Revised IRM Balance'!Print_Area</vt:lpstr>
      <vt:lpstr>'Carrying Charges'!Print_Titles</vt:lpstr>
      <vt:lpstr>'PIL Billed by Class'!Print_Titles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2012-03-27T17:03:12Z</cp:lastPrinted>
  <dcterms:created xsi:type="dcterms:W3CDTF">2011-05-02T13:25:17Z</dcterms:created>
  <dcterms:modified xsi:type="dcterms:W3CDTF">2012-04-16T17:36:08Z</dcterms:modified>
</cp:coreProperties>
</file>