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640" tabRatio="913" activeTab="0"/>
  </bookViews>
  <sheets>
    <sheet name="Summary" sheetId="1" r:id="rId1"/>
    <sheet name="Monthly Totals" sheetId="2" r:id="rId2"/>
    <sheet name="Residential" sheetId="3" r:id="rId3"/>
    <sheet name="GS&lt;50" sheetId="4" r:id="rId4"/>
    <sheet name="GS&gt;50 Non TOU-GS&gt;50" sheetId="5" r:id="rId5"/>
    <sheet name="GS&gt;50 TOU-GS&gt;1000" sheetId="6" r:id="rId6"/>
    <sheet name="Intermediate" sheetId="7" r:id="rId7"/>
    <sheet name="Sentinel" sheetId="8" r:id="rId8"/>
    <sheet name="Streetlights" sheetId="9" r:id="rId9"/>
    <sheet name="PILS Rates 2001 &amp; 2002" sheetId="10" r:id="rId10"/>
    <sheet name="PILS Rates" sheetId="11" r:id="rId11"/>
    <sheet name="Worksheet" sheetId="12" r:id="rId12"/>
  </sheets>
  <definedNames/>
  <calcPr fullCalcOnLoad="1"/>
</workbook>
</file>

<file path=xl/sharedStrings.xml><?xml version="1.0" encoding="utf-8"?>
<sst xmlns="http://schemas.openxmlformats.org/spreadsheetml/2006/main" count="233" uniqueCount="58">
  <si>
    <t>Total</t>
  </si>
  <si>
    <t>Actual Volume</t>
  </si>
  <si>
    <t>Volume</t>
  </si>
  <si>
    <t>PILs Volumetric Proxy Rate</t>
  </si>
  <si>
    <t>Customer Count</t>
  </si>
  <si>
    <t>PILs Fixed Charge Rate</t>
  </si>
  <si>
    <t>Residential</t>
  </si>
  <si>
    <t>GS&lt;50</t>
  </si>
  <si>
    <t>GS&gt;50 Non TOU</t>
  </si>
  <si>
    <t>GS&gt;50 TOU</t>
  </si>
  <si>
    <t>Sentinel</t>
  </si>
  <si>
    <t>Streetlights</t>
  </si>
  <si>
    <t>Grand Total</t>
  </si>
  <si>
    <t>Large</t>
  </si>
  <si>
    <t>Customer Type</t>
  </si>
  <si>
    <t>Fixed</t>
  </si>
  <si>
    <t>Street Lights</t>
  </si>
  <si>
    <t xml:space="preserve">Volumetric </t>
  </si>
  <si>
    <t>Date</t>
  </si>
  <si>
    <t>Description</t>
  </si>
  <si>
    <t>All consumption from Stats</t>
  </si>
  <si>
    <t>Post Mar1/02 cons only @ new rate</t>
  </si>
  <si>
    <t>Pre Apr 1/04 cons only @ old rate</t>
  </si>
  <si>
    <t>Post Apr 1/04 cons only @ new rate</t>
  </si>
  <si>
    <t>Pre Apr 30/06 cons only @ old rate</t>
  </si>
  <si>
    <t>Current Volume</t>
  </si>
  <si>
    <t>Pre Apr 1/05 cons only @ old rate</t>
  </si>
  <si>
    <t>Post Apr 1/05 cons only @ new rate</t>
  </si>
  <si>
    <t>March 2002 to March 2004</t>
  </si>
  <si>
    <t>April 2004 to March 2005</t>
  </si>
  <si>
    <t>April 2005 to April 2006</t>
  </si>
  <si>
    <t>Volumetric Rates</t>
  </si>
  <si>
    <t>Volumetric Rates (Combined 2001 &amp; 2002)</t>
  </si>
  <si>
    <t>Fixed Rates (Combined 2001 &amp; 2002)</t>
  </si>
  <si>
    <t>Year</t>
  </si>
  <si>
    <t>Month</t>
  </si>
  <si>
    <t>Billed Amount</t>
  </si>
  <si>
    <t xml:space="preserve">GS&gt;50  </t>
  </si>
  <si>
    <t>GS &gt; 3000</t>
  </si>
  <si>
    <t>GS&gt;1000</t>
  </si>
  <si>
    <t>CWH</t>
  </si>
  <si>
    <t>Volumetric Rates Only - CWH</t>
  </si>
  <si>
    <t>Volumetric Rates only - CWH</t>
  </si>
  <si>
    <t>GS&gt;50 Non Interval</t>
  </si>
  <si>
    <t>GS&gt;50 Interval</t>
  </si>
  <si>
    <t>GS&gt;1000 Interval</t>
  </si>
  <si>
    <t>Intermediate</t>
  </si>
  <si>
    <t>*** I didn't put in customer count as we didn't have fixed charges</t>
  </si>
  <si>
    <t>Per CW Pils Sheet</t>
  </si>
  <si>
    <t>Difference</t>
  </si>
  <si>
    <t>Note: The approved kW rate for Sentinel Lights</t>
  </si>
  <si>
    <t xml:space="preserve">  were convert to kWh rate to match the billing system</t>
  </si>
  <si>
    <t>2004-2005</t>
  </si>
  <si>
    <t>2005-2006</t>
  </si>
  <si>
    <t>kW Rate</t>
  </si>
  <si>
    <t>2002 rate adjustment model</t>
  </si>
  <si>
    <t>Sheet 6</t>
  </si>
  <si>
    <t>Sheet 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</si>
</sst>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&quot;$&quot;#,##0.0000;\-&quot;$&quot;#,##0.0000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0000000000_);_(* \(#,##0.0000000000000\);_(* &quot;-&quot;??_);_(@_)"/>
    <numFmt numFmtId="188" formatCode="_(* #,##0.00000000000000_);_(* \(#,##0.00000000000000\);_(* &quot;-&quot;??_);_(@_)"/>
    <numFmt numFmtId="189" formatCode="_(* #,##0.000000000000000_);_(* \(#,##0.000000000000000\);_(* &quot;-&quot;??_);_(@_)"/>
    <numFmt numFmtId="190" formatCode="_(* #,##0.0000000000000000_);_(* \(#,##0.0000000000000000\);_(* &quot;-&quot;??_);_(@_)"/>
    <numFmt numFmtId="191" formatCode="_(* #,##0.00000000000000000_);_(* \(#,##0.00000000000000000\);_(* &quot;-&quot;??_);_(@_)"/>
    <numFmt numFmtId="192" formatCode="_(* #,##0.000000000000000000_);_(* \(#,##0.000000000000000000\);_(* &quot;-&quot;??_);_(@_)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_-* #,##0_-;\-* #,##0_-;_-* &quot;-&quot;??_-;_-@_-"/>
    <numFmt numFmtId="202" formatCode="_(&quot;$&quot;* #,##0.000_);_(&quot;$&quot;* \(#,##0.000\);_(&quot;$&quot;* &quot;-&quot;??_);_(@_)"/>
    <numFmt numFmtId="203" formatCode="_(&quot;$&quot;* #,##0.0000_);_(&quot;$&quot;* \(#,##0.0000\);_(&quot;$&quot;* &quot;-&quot;??_);_(@_)"/>
    <numFmt numFmtId="204" formatCode="_(&quot;$&quot;* #,##0.00000_);_(&quot;$&quot;* \(#,##0.00000\);_(&quot;$&quot;* &quot;-&quot;??_);_(@_)"/>
    <numFmt numFmtId="205" formatCode="_(&quot;$&quot;* #,##0.000000_);_(&quot;$&quot;* \(#,##0.000000\);_(&quot;$&quot;* &quot;-&quot;??_);_(@_)"/>
    <numFmt numFmtId="206" formatCode="_(&quot;$&quot;* #,##0.0000000_);_(&quot;$&quot;* \(#,##0.0000000\);_(&quot;$&quot;* &quot;-&quot;??_);_(@_)"/>
    <numFmt numFmtId="207" formatCode="_(&quot;$&quot;* #,##0.00000000_);_(&quot;$&quot;* \(#,##0.00000000\);_(&quot;$&quot;* &quot;-&quot;??_);_(@_)"/>
    <numFmt numFmtId="208" formatCode="_(&quot;$&quot;* #,##0.000000000_);_(&quot;$&quot;* \(#,##0.000000000\);_(&quot;$&quot;* &quot;-&quot;??_);_(@_)"/>
    <numFmt numFmtId="209" formatCode="0.0%"/>
    <numFmt numFmtId="210" formatCode="0.000%"/>
    <numFmt numFmtId="211" formatCode="0.0000%"/>
    <numFmt numFmtId="212" formatCode="_(* #,##0.0000000000000000000_);_(* \(#,##0.0000000000000000000\);_(* &quot;-&quot;??_);_(@_)"/>
    <numFmt numFmtId="213" formatCode="_(* #,##0.00000000000000000000_);_(* \(#,##0.00000000000000000000\);_(* &quot;-&quot;??_);_(@_)"/>
    <numFmt numFmtId="214" formatCode="_(* #,##0.000000000000000000000_);_(* \(#,##0.000000000000000000000\);_(* &quot;-&quot;??_);_(@_)"/>
    <numFmt numFmtId="215" formatCode="0.000000000000000000"/>
    <numFmt numFmtId="216" formatCode="#,##0.0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5" fontId="2" fillId="0" borderId="0" xfId="42" applyNumberFormat="1" applyFont="1" applyAlignment="1">
      <alignment/>
    </xf>
    <xf numFmtId="179" fontId="2" fillId="0" borderId="0" xfId="42" applyNumberFormat="1" applyFont="1" applyAlignment="1">
      <alignment wrapText="1"/>
    </xf>
    <xf numFmtId="180" fontId="2" fillId="0" borderId="0" xfId="42" applyNumberFormat="1" applyFont="1" applyAlignment="1">
      <alignment wrapText="1"/>
    </xf>
    <xf numFmtId="43" fontId="2" fillId="0" borderId="0" xfId="42" applyNumberFormat="1" applyFont="1" applyAlignment="1">
      <alignment/>
    </xf>
    <xf numFmtId="17" fontId="3" fillId="0" borderId="0" xfId="0" applyNumberFormat="1" applyFont="1" applyAlignment="1">
      <alignment/>
    </xf>
    <xf numFmtId="175" fontId="3" fillId="0" borderId="0" xfId="42" applyNumberFormat="1" applyFont="1" applyAlignment="1">
      <alignment/>
    </xf>
    <xf numFmtId="179" fontId="3" fillId="0" borderId="0" xfId="42" applyNumberFormat="1" applyFont="1" applyAlignment="1">
      <alignment/>
    </xf>
    <xf numFmtId="180" fontId="3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17" fontId="2" fillId="0" borderId="0" xfId="0" applyNumberFormat="1" applyFont="1" applyAlignment="1">
      <alignment/>
    </xf>
    <xf numFmtId="179" fontId="2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75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" fontId="3" fillId="0" borderId="0" xfId="0" applyNumberFormat="1" applyFont="1" applyFill="1" applyAlignment="1">
      <alignment/>
    </xf>
    <xf numFmtId="175" fontId="3" fillId="0" borderId="0" xfId="42" applyNumberFormat="1" applyFont="1" applyFill="1" applyAlignment="1">
      <alignment/>
    </xf>
    <xf numFmtId="179" fontId="3" fillId="0" borderId="0" xfId="42" applyNumberFormat="1" applyFont="1" applyFill="1" applyAlignment="1">
      <alignment/>
    </xf>
    <xf numFmtId="180" fontId="3" fillId="0" borderId="0" xfId="42" applyNumberFormat="1" applyFont="1" applyFill="1" applyAlignment="1">
      <alignment/>
    </xf>
    <xf numFmtId="43" fontId="3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175" fontId="4" fillId="0" borderId="0" xfId="42" applyNumberFormat="1" applyFont="1" applyAlignment="1">
      <alignment/>
    </xf>
    <xf numFmtId="0" fontId="4" fillId="0" borderId="0" xfId="0" applyFont="1" applyAlignment="1">
      <alignment/>
    </xf>
    <xf numFmtId="43" fontId="2" fillId="0" borderId="12" xfId="42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89" fontId="3" fillId="0" borderId="0" xfId="42" applyNumberFormat="1" applyFont="1" applyBorder="1" applyAlignment="1">
      <alignment/>
    </xf>
    <xf numFmtId="192" fontId="3" fillId="0" borderId="0" xfId="42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5" fontId="5" fillId="0" borderId="13" xfId="42" applyNumberFormat="1" applyFont="1" applyFill="1" applyBorder="1" applyAlignment="1">
      <alignment/>
    </xf>
    <xf numFmtId="1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5" fontId="6" fillId="0" borderId="13" xfId="42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44" fontId="3" fillId="0" borderId="0" xfId="44" applyFont="1" applyFill="1" applyAlignment="1">
      <alignment/>
    </xf>
    <xf numFmtId="44" fontId="2" fillId="0" borderId="0" xfId="44" applyFont="1" applyFill="1" applyAlignment="1">
      <alignment/>
    </xf>
    <xf numFmtId="44" fontId="2" fillId="0" borderId="12" xfId="44" applyFont="1" applyFill="1" applyBorder="1" applyAlignment="1">
      <alignment/>
    </xf>
    <xf numFmtId="43" fontId="2" fillId="0" borderId="0" xfId="42" applyFont="1" applyAlignment="1">
      <alignment horizontal="center" vertical="center"/>
    </xf>
    <xf numFmtId="174" fontId="5" fillId="0" borderId="14" xfId="42" applyNumberFormat="1" applyFont="1" applyFill="1" applyBorder="1" applyAlignment="1">
      <alignment/>
    </xf>
    <xf numFmtId="174" fontId="6" fillId="0" borderId="14" xfId="42" applyNumberFormat="1" applyFont="1" applyFill="1" applyBorder="1" applyAlignment="1">
      <alignment/>
    </xf>
    <xf numFmtId="43" fontId="5" fillId="0" borderId="14" xfId="42" applyNumberFormat="1" applyFont="1" applyFill="1" applyBorder="1" applyAlignment="1">
      <alignment/>
    </xf>
    <xf numFmtId="43" fontId="6" fillId="0" borderId="14" xfId="42" applyNumberFormat="1" applyFont="1" applyFill="1" applyBorder="1" applyAlignment="1">
      <alignment/>
    </xf>
    <xf numFmtId="43" fontId="5" fillId="0" borderId="14" xfId="42" applyNumberFormat="1" applyFont="1" applyFill="1" applyBorder="1" applyAlignment="1">
      <alignment horizontal="right"/>
    </xf>
    <xf numFmtId="43" fontId="6" fillId="0" borderId="14" xfId="42" applyNumberFormat="1" applyFont="1" applyFill="1" applyBorder="1" applyAlignment="1">
      <alignment horizontal="right"/>
    </xf>
    <xf numFmtId="43" fontId="6" fillId="10" borderId="14" xfId="42" applyNumberFormat="1" applyFont="1" applyFill="1" applyBorder="1" applyAlignment="1">
      <alignment/>
    </xf>
    <xf numFmtId="43" fontId="6" fillId="10" borderId="14" xfId="42" applyNumberFormat="1" applyFont="1" applyFill="1" applyBorder="1" applyAlignment="1">
      <alignment horizontal="right"/>
    </xf>
    <xf numFmtId="174" fontId="6" fillId="10" borderId="14" xfId="42" applyNumberFormat="1" applyFont="1" applyFill="1" applyBorder="1" applyAlignment="1">
      <alignment/>
    </xf>
    <xf numFmtId="174" fontId="6" fillId="10" borderId="0" xfId="42" applyNumberFormat="1" applyFont="1" applyFill="1" applyAlignment="1">
      <alignment/>
    </xf>
    <xf numFmtId="175" fontId="6" fillId="10" borderId="13" xfId="42" applyNumberFormat="1" applyFont="1" applyFill="1" applyBorder="1" applyAlignment="1">
      <alignment/>
    </xf>
    <xf numFmtId="192" fontId="3" fillId="10" borderId="0" xfId="42" applyNumberFormat="1" applyFont="1" applyFill="1" applyBorder="1" applyAlignment="1">
      <alignment/>
    </xf>
    <xf numFmtId="192" fontId="3" fillId="10" borderId="0" xfId="42" applyNumberFormat="1" applyFont="1" applyFill="1" applyAlignment="1">
      <alignment/>
    </xf>
    <xf numFmtId="190" fontId="3" fillId="10" borderId="0" xfId="42" applyNumberFormat="1" applyFont="1" applyFill="1" applyAlignment="1">
      <alignment/>
    </xf>
    <xf numFmtId="215" fontId="3" fillId="10" borderId="0" xfId="0" applyNumberFormat="1" applyFont="1" applyFill="1" applyAlignment="1">
      <alignment/>
    </xf>
    <xf numFmtId="198" fontId="3" fillId="1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33" borderId="0" xfId="0" applyFont="1" applyFill="1" applyAlignment="1">
      <alignment/>
    </xf>
    <xf numFmtId="44" fontId="3" fillId="33" borderId="0" xfId="44" applyFont="1" applyFill="1" applyAlignment="1">
      <alignment/>
    </xf>
    <xf numFmtId="4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5" fontId="5" fillId="0" borderId="15" xfId="42" applyNumberFormat="1" applyFont="1" applyFill="1" applyBorder="1" applyAlignment="1">
      <alignment horizontal="center" vertical="center"/>
    </xf>
    <xf numFmtId="175" fontId="5" fillId="0" borderId="16" xfId="4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4.7109375" style="2" bestFit="1" customWidth="1"/>
    <col min="2" max="2" width="13.57421875" style="2" bestFit="1" customWidth="1"/>
    <col min="3" max="3" width="14.140625" style="2" customWidth="1"/>
    <col min="4" max="6" width="13.57421875" style="2" bestFit="1" customWidth="1"/>
    <col min="7" max="7" width="4.57421875" style="2" customWidth="1"/>
    <col min="8" max="8" width="14.57421875" style="2" bestFit="1" customWidth="1"/>
    <col min="9" max="16384" width="9.140625" style="2" customWidth="1"/>
  </cols>
  <sheetData>
    <row r="1" spans="1:8" ht="12.75">
      <c r="A1" s="1"/>
      <c r="B1" s="65" t="s">
        <v>34</v>
      </c>
      <c r="C1" s="65"/>
      <c r="D1" s="65"/>
      <c r="E1" s="65"/>
      <c r="F1" s="65"/>
      <c r="G1" s="1"/>
      <c r="H1" s="1"/>
    </row>
    <row r="2" spans="1:8" ht="12.75">
      <c r="A2" s="1" t="s">
        <v>14</v>
      </c>
      <c r="B2" s="1">
        <v>2002</v>
      </c>
      <c r="C2" s="1">
        <f>B2+1</f>
        <v>2003</v>
      </c>
      <c r="D2" s="1">
        <f>C2+1</f>
        <v>2004</v>
      </c>
      <c r="E2" s="1">
        <f>D2+1</f>
        <v>2005</v>
      </c>
      <c r="F2" s="1">
        <f>E2+1</f>
        <v>2006</v>
      </c>
      <c r="G2" s="1"/>
      <c r="H2" s="1" t="s">
        <v>0</v>
      </c>
    </row>
    <row r="3" spans="1:8" ht="12.75">
      <c r="A3" s="2" t="s">
        <v>6</v>
      </c>
      <c r="B3" s="40">
        <f>Residential!H13</f>
        <v>197950.19895</v>
      </c>
      <c r="C3" s="40">
        <f>Residential!H28</f>
        <v>201152.77047000002</v>
      </c>
      <c r="D3" s="40">
        <f>Residential!H47</f>
        <v>171828.14291000002</v>
      </c>
      <c r="E3" s="62">
        <f>Residential!H66</f>
        <v>140670.2046</v>
      </c>
      <c r="F3" s="40">
        <f>Residential!H78</f>
        <v>43033.7404</v>
      </c>
      <c r="G3" s="40"/>
      <c r="H3" s="40">
        <f>Residential!H80</f>
        <v>754635.05733</v>
      </c>
    </row>
    <row r="4" spans="1:8" ht="12.75">
      <c r="A4" s="2" t="s">
        <v>7</v>
      </c>
      <c r="B4" s="40">
        <f>'GS&lt;50'!H13</f>
        <v>67326.588</v>
      </c>
      <c r="C4" s="40">
        <f>'GS&lt;50'!H28</f>
        <v>64758.63</v>
      </c>
      <c r="D4" s="40">
        <f>'GS&lt;50'!H47</f>
        <v>54529.697</v>
      </c>
      <c r="E4" s="62">
        <f>'GS&lt;50'!H66</f>
        <v>45415.4056</v>
      </c>
      <c r="F4" s="40">
        <f>'GS&lt;50'!H78</f>
        <v>14286.7023</v>
      </c>
      <c r="G4" s="40"/>
      <c r="H4" s="40">
        <f>'GS&lt;50'!H80</f>
        <v>246317.02289999998</v>
      </c>
    </row>
    <row r="5" spans="1:8" ht="12.75">
      <c r="A5" s="2" t="s">
        <v>8</v>
      </c>
      <c r="B5" s="40">
        <f>'GS&gt;50 Non TOU-GS&gt;50'!H13</f>
        <v>38070.892351999995</v>
      </c>
      <c r="C5" s="40">
        <f>'GS&gt;50 Non TOU-GS&gt;50'!H28</f>
        <v>37463.075516</v>
      </c>
      <c r="D5" s="40">
        <f>'GS&gt;50 Non TOU-GS&gt;50'!H47</f>
        <v>28185.406854000004</v>
      </c>
      <c r="E5" s="62">
        <f>'GS&gt;50 Non TOU-GS&gt;50'!H66</f>
        <v>21514.126880000003</v>
      </c>
      <c r="F5" s="40">
        <f>'GS&gt;50 Non TOU-GS&gt;50'!H78</f>
        <v>5993.3881679999995</v>
      </c>
      <c r="G5" s="40"/>
      <c r="H5" s="40">
        <f>'GS&gt;50 Non TOU-GS&gt;50'!H80</f>
        <v>131226.88977</v>
      </c>
    </row>
    <row r="6" spans="1:8" ht="12.75">
      <c r="A6" s="2" t="s">
        <v>9</v>
      </c>
      <c r="B6" s="40">
        <f>'GS&gt;50 TOU-GS&gt;1000'!H13</f>
        <v>20160.618424</v>
      </c>
      <c r="C6" s="40">
        <f>'GS&gt;50 TOU-GS&gt;1000'!H28</f>
        <v>21665.549905999997</v>
      </c>
      <c r="D6" s="40">
        <f>'GS&gt;50 TOU-GS&gt;1000'!H47</f>
        <v>17176.03573</v>
      </c>
      <c r="E6" s="62">
        <f>'GS&gt;50 TOU-GS&gt;1000'!H66</f>
        <v>12463.057760000002</v>
      </c>
      <c r="F6" s="40">
        <f>'GS&gt;50 TOU-GS&gt;1000'!H78</f>
        <v>3724.9244000000003</v>
      </c>
      <c r="G6" s="40"/>
      <c r="H6" s="40">
        <f>'GS&gt;50 TOU-GS&gt;1000'!H80</f>
        <v>75190.18622</v>
      </c>
    </row>
    <row r="7" spans="1:8" ht="12.75">
      <c r="A7" s="2" t="s">
        <v>13</v>
      </c>
      <c r="B7" s="40">
        <f>Intermediate!H13</f>
        <v>10389.4208406</v>
      </c>
      <c r="C7" s="40">
        <f>Intermediate!H28</f>
        <v>7397.7870697</v>
      </c>
      <c r="D7" s="40">
        <f>Intermediate!H47</f>
        <v>5339.030122599999</v>
      </c>
      <c r="E7" s="62">
        <f>Intermediate!H66</f>
        <v>3740.0617889999994</v>
      </c>
      <c r="F7" s="40">
        <f>Intermediate!H78</f>
        <v>1050.305064</v>
      </c>
      <c r="G7" s="40"/>
      <c r="H7" s="40">
        <f>Intermediate!H80</f>
        <v>27916.604885899997</v>
      </c>
    </row>
    <row r="8" spans="1:8" ht="12.75">
      <c r="A8" s="2" t="s">
        <v>10</v>
      </c>
      <c r="B8" s="40">
        <f>Sentinel!H13</f>
        <v>0</v>
      </c>
      <c r="C8" s="40">
        <f>Sentinel!H28</f>
        <v>0</v>
      </c>
      <c r="D8" s="40">
        <f>Sentinel!H47</f>
        <v>27.378496999999996</v>
      </c>
      <c r="E8" s="62">
        <f>Sentinel!H66</f>
        <v>28.125405999999998</v>
      </c>
      <c r="F8" s="40">
        <f>Sentinel!H78</f>
        <v>8.410494000000002</v>
      </c>
      <c r="G8" s="40"/>
      <c r="H8" s="40">
        <f>Sentinel!H80</f>
        <v>63.914396999999994</v>
      </c>
    </row>
    <row r="9" spans="1:8" ht="12.75">
      <c r="A9" s="2" t="s">
        <v>11</v>
      </c>
      <c r="B9" s="40">
        <f>Streetlights!H13</f>
        <v>824.1039000000001</v>
      </c>
      <c r="C9" s="40">
        <f>Streetlights!H28</f>
        <v>797.2430400000001</v>
      </c>
      <c r="D9" s="40">
        <f>Streetlights!H47</f>
        <v>673.3728000000001</v>
      </c>
      <c r="E9" s="62">
        <f>Streetlights!H66</f>
        <v>517.8284100000001</v>
      </c>
      <c r="F9" s="40">
        <f>Streetlights!H78</f>
        <v>159.29121999999998</v>
      </c>
      <c r="G9" s="40"/>
      <c r="H9" s="40">
        <f>Streetlights!H80</f>
        <v>2971.8393700000006</v>
      </c>
    </row>
    <row r="10" spans="2:8" ht="12.75">
      <c r="B10" s="40"/>
      <c r="C10" s="40"/>
      <c r="D10" s="40"/>
      <c r="E10" s="40"/>
      <c r="F10" s="40"/>
      <c r="G10" s="40"/>
      <c r="H10" s="40"/>
    </row>
    <row r="11" spans="1:8" ht="13.5" thickBot="1">
      <c r="A11" s="1" t="s">
        <v>0</v>
      </c>
      <c r="B11" s="42">
        <f>SUM(B3:B9)</f>
        <v>334721.82246659993</v>
      </c>
      <c r="C11" s="42">
        <f>SUM(C3:C9)</f>
        <v>333235.05600169994</v>
      </c>
      <c r="D11" s="42">
        <f>SUM(D3:D9)</f>
        <v>277759.06391360005</v>
      </c>
      <c r="E11" s="42">
        <f>SUM(E3:E9)</f>
        <v>224348.81044499998</v>
      </c>
      <c r="F11" s="42">
        <f>SUM(F3:F9)</f>
        <v>68256.76204599999</v>
      </c>
      <c r="G11" s="41"/>
      <c r="H11" s="42">
        <f>SUM(H3:H9)</f>
        <v>1238321.5148729</v>
      </c>
    </row>
    <row r="12" ht="13.5" thickTop="1"/>
    <row r="13" spans="2:8" ht="12.75">
      <c r="B13" s="63"/>
      <c r="H13" s="17"/>
    </row>
    <row r="14" spans="1:8" ht="12.75">
      <c r="A14" s="2" t="s">
        <v>48</v>
      </c>
      <c r="B14" s="64">
        <f>-334721.82</f>
        <v>-334721.82</v>
      </c>
      <c r="C14" s="64">
        <v>-330633.68</v>
      </c>
      <c r="D14" s="64">
        <f>-254189.49</f>
        <v>-254189.49</v>
      </c>
      <c r="E14" s="64">
        <f>-231567.56</f>
        <v>-231567.56</v>
      </c>
      <c r="F14" s="64">
        <v>-91014.83</v>
      </c>
      <c r="G14" s="64"/>
      <c r="H14" s="64">
        <f>SUM(B14:G14)</f>
        <v>-1242127.3800000001</v>
      </c>
    </row>
    <row r="15" spans="2:8" ht="12.75">
      <c r="B15" s="64"/>
      <c r="C15" s="64"/>
      <c r="D15" s="64"/>
      <c r="E15" s="64"/>
      <c r="F15" s="64"/>
      <c r="G15" s="64"/>
      <c r="H15" s="64"/>
    </row>
    <row r="16" spans="1:8" ht="12.75">
      <c r="A16" s="2" t="s">
        <v>49</v>
      </c>
      <c r="B16" s="64">
        <f>SUM(B11:B15)</f>
        <v>0.0024665999226272106</v>
      </c>
      <c r="C16" s="64">
        <f>SUM(C11:C15)</f>
        <v>2601.376001699944</v>
      </c>
      <c r="D16" s="64">
        <f>SUM(D11:D15)</f>
        <v>23569.573913600063</v>
      </c>
      <c r="E16" s="64">
        <f>SUM(E11:E15)</f>
        <v>-7218.749555000017</v>
      </c>
      <c r="F16" s="64">
        <f>SUM(F11:F15)</f>
        <v>-22758.067954000013</v>
      </c>
      <c r="G16" s="64"/>
      <c r="H16" s="64">
        <f>SUM(B16:G16)</f>
        <v>-3805.8651271001</v>
      </c>
    </row>
    <row r="17" ht="12.75">
      <c r="H17" s="8"/>
    </row>
    <row r="19" ht="12.75">
      <c r="H19" s="33"/>
    </row>
    <row r="20" ht="12.75">
      <c r="A20" s="2" t="s">
        <v>55</v>
      </c>
    </row>
    <row r="21" spans="1:2" ht="12.75">
      <c r="A21" s="2" t="s">
        <v>56</v>
      </c>
      <c r="B21" s="2">
        <v>79861</v>
      </c>
    </row>
    <row r="22" spans="1:2" ht="12.75">
      <c r="A22" s="2" t="s">
        <v>57</v>
      </c>
      <c r="B22" s="2">
        <v>269036</v>
      </c>
    </row>
    <row r="23" ht="13.5" thickBot="1">
      <c r="B23" s="69">
        <f>SUM(B21:B22)</f>
        <v>348897</v>
      </c>
    </row>
    <row r="24" ht="13.5" thickTop="1"/>
  </sheetData>
  <sheetProtection/>
  <mergeCells count="1">
    <mergeCell ref="B1:F1"/>
  </mergeCells>
  <printOptions/>
  <pageMargins left="0.7" right="0.37" top="0.75" bottom="0.75" header="0.3" footer="0.3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4.7109375" style="2" bestFit="1" customWidth="1"/>
    <col min="2" max="2" width="23.00390625" style="2" customWidth="1"/>
    <col min="3" max="3" width="22.28125" style="2" customWidth="1"/>
    <col min="4" max="4" width="9.140625" style="2" customWidth="1"/>
    <col min="5" max="5" width="20.421875" style="2" customWidth="1"/>
    <col min="6" max="6" width="20.140625" style="2" customWidth="1"/>
    <col min="7" max="16384" width="9.140625" style="2" customWidth="1"/>
  </cols>
  <sheetData>
    <row r="2" spans="1:6" ht="12.75">
      <c r="A2" s="1"/>
      <c r="B2" s="60" t="s">
        <v>40</v>
      </c>
      <c r="C2" s="60" t="s">
        <v>40</v>
      </c>
      <c r="E2" s="60" t="s">
        <v>40</v>
      </c>
      <c r="F2" s="60" t="s">
        <v>40</v>
      </c>
    </row>
    <row r="3" spans="1:6" ht="12.75">
      <c r="A3" s="1"/>
      <c r="B3" s="66">
        <v>2001</v>
      </c>
      <c r="C3" s="66"/>
      <c r="E3" s="66">
        <v>2002</v>
      </c>
      <c r="F3" s="66"/>
    </row>
    <row r="4" spans="1:6" ht="12.75">
      <c r="A4" s="1"/>
      <c r="B4" s="19" t="s">
        <v>17</v>
      </c>
      <c r="C4" s="19" t="s">
        <v>15</v>
      </c>
      <c r="D4" s="18"/>
      <c r="E4" s="19" t="s">
        <v>17</v>
      </c>
      <c r="F4" s="19" t="s">
        <v>15</v>
      </c>
    </row>
    <row r="5" spans="1:6" ht="12.75">
      <c r="A5" s="1" t="s">
        <v>14</v>
      </c>
      <c r="B5" s="30"/>
      <c r="C5" s="30"/>
      <c r="D5" s="18"/>
      <c r="E5" s="30"/>
      <c r="F5" s="30"/>
    </row>
    <row r="6" spans="1:6" ht="12.75">
      <c r="A6" s="2" t="s">
        <v>6</v>
      </c>
      <c r="B6" s="56">
        <v>0.00105</v>
      </c>
      <c r="C6" s="57">
        <v>0</v>
      </c>
      <c r="E6" s="58">
        <v>0.00354</v>
      </c>
      <c r="F6" s="59">
        <v>0</v>
      </c>
    </row>
    <row r="7" spans="1:6" ht="12.75">
      <c r="A7" s="2" t="s">
        <v>7</v>
      </c>
      <c r="B7" s="56">
        <v>0.00066</v>
      </c>
      <c r="C7" s="57">
        <v>0</v>
      </c>
      <c r="E7" s="58">
        <v>0.00234</v>
      </c>
      <c r="F7" s="59">
        <v>0</v>
      </c>
    </row>
    <row r="8" spans="1:6" ht="12.75">
      <c r="A8" s="2" t="s">
        <v>37</v>
      </c>
      <c r="B8" s="56">
        <v>0.08898</v>
      </c>
      <c r="C8" s="57">
        <v>0</v>
      </c>
      <c r="E8" s="58">
        <v>0.2996</v>
      </c>
      <c r="F8" s="59">
        <v>0</v>
      </c>
    </row>
    <row r="9" spans="1:6" ht="12.75">
      <c r="A9" s="2" t="s">
        <v>39</v>
      </c>
      <c r="B9" s="56">
        <v>0.08898</v>
      </c>
      <c r="C9" s="57">
        <v>0</v>
      </c>
      <c r="E9" s="58">
        <v>0.2996</v>
      </c>
      <c r="F9" s="59">
        <v>0</v>
      </c>
    </row>
    <row r="10" spans="1:6" ht="12.75">
      <c r="A10" s="2" t="s">
        <v>38</v>
      </c>
      <c r="B10" s="56">
        <v>0.041795</v>
      </c>
      <c r="C10" s="57">
        <v>0</v>
      </c>
      <c r="E10" s="58">
        <v>0.099015</v>
      </c>
      <c r="F10" s="59">
        <v>0</v>
      </c>
    </row>
    <row r="11" spans="1:6" ht="12.75">
      <c r="A11" s="2" t="s">
        <v>10</v>
      </c>
      <c r="B11" s="56">
        <v>0</v>
      </c>
      <c r="C11" s="57">
        <v>0</v>
      </c>
      <c r="E11" s="58">
        <v>0</v>
      </c>
      <c r="F11" s="59">
        <v>0</v>
      </c>
    </row>
    <row r="12" spans="1:6" ht="12.75">
      <c r="A12" s="2" t="s">
        <v>11</v>
      </c>
      <c r="B12" s="56">
        <v>0.0606</v>
      </c>
      <c r="C12" s="57">
        <v>0</v>
      </c>
      <c r="E12" s="58">
        <v>0.2043</v>
      </c>
      <c r="F12" s="59">
        <v>0</v>
      </c>
    </row>
    <row r="16" spans="2:5" ht="12.75">
      <c r="B16" s="2" t="s">
        <v>42</v>
      </c>
      <c r="E16" s="2" t="s">
        <v>41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horizontalDpi="600" verticalDpi="600" orientation="landscape" r:id="rId1"/>
  <headerFooter>
    <oddHeader>&amp;C&amp;Z&amp;F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4.7109375" style="2" bestFit="1" customWidth="1"/>
    <col min="2" max="2" width="35.140625" style="2" bestFit="1" customWidth="1"/>
    <col min="3" max="3" width="30.57421875" style="2" bestFit="1" customWidth="1"/>
    <col min="4" max="4" width="22.00390625" style="2" bestFit="1" customWidth="1"/>
    <col min="5" max="5" width="23.00390625" style="2" bestFit="1" customWidth="1"/>
    <col min="6" max="16384" width="9.140625" style="2" customWidth="1"/>
  </cols>
  <sheetData>
    <row r="1" spans="4:5" ht="12.75">
      <c r="D1" s="60" t="s">
        <v>40</v>
      </c>
      <c r="E1" s="60" t="s">
        <v>40</v>
      </c>
    </row>
    <row r="2" spans="1:6" ht="12.75" customHeight="1">
      <c r="A2" s="1"/>
      <c r="B2" s="66" t="s">
        <v>28</v>
      </c>
      <c r="C2" s="66"/>
      <c r="D2" s="20" t="s">
        <v>29</v>
      </c>
      <c r="E2" s="20" t="s">
        <v>30</v>
      </c>
      <c r="F2" s="1"/>
    </row>
    <row r="3" spans="1:6" ht="12.75" customHeight="1">
      <c r="A3" s="1"/>
      <c r="B3" s="19" t="s">
        <v>32</v>
      </c>
      <c r="C3" s="19" t="s">
        <v>33</v>
      </c>
      <c r="D3" s="19" t="s">
        <v>31</v>
      </c>
      <c r="E3" s="19" t="s">
        <v>31</v>
      </c>
      <c r="F3" s="1"/>
    </row>
    <row r="4" spans="1:6" ht="12.75">
      <c r="A4" s="1" t="s">
        <v>14</v>
      </c>
      <c r="B4" s="16"/>
      <c r="C4" s="16"/>
      <c r="D4" s="16"/>
      <c r="E4" s="16"/>
      <c r="F4" s="1"/>
    </row>
    <row r="5" spans="1:6" ht="12.75">
      <c r="A5" s="2" t="s">
        <v>6</v>
      </c>
      <c r="B5" s="32">
        <f>'PILS Rates 2001 &amp; 2002'!B6+'PILS Rates 2001 &amp; 2002'!E6</f>
        <v>0.00459</v>
      </c>
      <c r="C5" s="31">
        <f>'PILS Rates 2001 &amp; 2002'!C6+'PILS Rates 2001 &amp; 2002'!F6</f>
        <v>0</v>
      </c>
      <c r="D5" s="55">
        <v>0.0038</v>
      </c>
      <c r="E5" s="55">
        <v>0.0028</v>
      </c>
      <c r="F5" s="8"/>
    </row>
    <row r="6" spans="1:7" ht="12.75">
      <c r="A6" s="2" t="s">
        <v>7</v>
      </c>
      <c r="B6" s="32">
        <f>'PILS Rates 2001 &amp; 2002'!B7+'PILS Rates 2001 &amp; 2002'!E7</f>
        <v>0.003</v>
      </c>
      <c r="C6" s="31">
        <f>'PILS Rates 2001 &amp; 2002'!C7+'PILS Rates 2001 &amp; 2002'!F7</f>
        <v>0</v>
      </c>
      <c r="D6" s="55">
        <v>0.0025</v>
      </c>
      <c r="E6" s="55">
        <v>0.0019</v>
      </c>
      <c r="F6" s="8"/>
      <c r="G6" s="2" t="s">
        <v>50</v>
      </c>
    </row>
    <row r="7" spans="1:7" ht="12.75">
      <c r="A7" s="2" t="s">
        <v>37</v>
      </c>
      <c r="B7" s="32">
        <f>'PILS Rates 2001 &amp; 2002'!B8+'PILS Rates 2001 &amp; 2002'!E8</f>
        <v>0.38858</v>
      </c>
      <c r="C7" s="31">
        <f>'PILS Rates 2001 &amp; 2002'!C8+'PILS Rates 2001 &amp; 2002'!F8</f>
        <v>0</v>
      </c>
      <c r="D7" s="55">
        <v>0.2844</v>
      </c>
      <c r="E7" s="55">
        <v>0.1864</v>
      </c>
      <c r="F7" s="8"/>
      <c r="G7" s="2" t="s">
        <v>51</v>
      </c>
    </row>
    <row r="8" spans="1:8" ht="12.75">
      <c r="A8" s="2" t="s">
        <v>39</v>
      </c>
      <c r="B8" s="32">
        <f>'PILS Rates 2001 &amp; 2002'!B9+'PILS Rates 2001 &amp; 2002'!E9</f>
        <v>0.38858</v>
      </c>
      <c r="C8" s="31">
        <f>'PILS Rates 2001 &amp; 2002'!C9+'PILS Rates 2001 &amp; 2002'!F9</f>
        <v>0</v>
      </c>
      <c r="D8" s="55">
        <v>0.2844</v>
      </c>
      <c r="E8" s="55">
        <v>0.1864</v>
      </c>
      <c r="F8" s="8"/>
      <c r="G8" s="2" t="s">
        <v>52</v>
      </c>
      <c r="H8" s="2" t="s">
        <v>53</v>
      </c>
    </row>
    <row r="9" spans="1:8" ht="12.75">
      <c r="A9" s="2" t="s">
        <v>38</v>
      </c>
      <c r="B9" s="32">
        <f>'PILS Rates 2001 &amp; 2002'!B10+'PILS Rates 2001 &amp; 2002'!E10</f>
        <v>0.14081</v>
      </c>
      <c r="C9" s="31">
        <f>'PILS Rates 2001 &amp; 2002'!C10+'PILS Rates 2001 &amp; 2002'!F10</f>
        <v>0</v>
      </c>
      <c r="D9" s="55">
        <v>0.0867</v>
      </c>
      <c r="E9" s="55">
        <v>0.0696</v>
      </c>
      <c r="F9" s="8"/>
      <c r="G9" s="60" t="s">
        <v>54</v>
      </c>
      <c r="H9" s="60" t="s">
        <v>54</v>
      </c>
    </row>
    <row r="10" spans="1:8" ht="12.75">
      <c r="A10" s="2" t="s">
        <v>10</v>
      </c>
      <c r="B10" s="32">
        <f>'PILS Rates 2001 &amp; 2002'!B11+'PILS Rates 2001 &amp; 2002'!E11</f>
        <v>0</v>
      </c>
      <c r="C10" s="31">
        <f>'PILS Rates 2001 &amp; 2002'!C11+'PILS Rates 2001 &amp; 2002'!F11</f>
        <v>0</v>
      </c>
      <c r="D10" s="55">
        <v>0.000761</v>
      </c>
      <c r="E10" s="55">
        <v>0.000537</v>
      </c>
      <c r="F10" s="8"/>
      <c r="G10" s="2">
        <f>D10*360</f>
        <v>0.27396</v>
      </c>
      <c r="H10" s="2">
        <f>E10*360</f>
        <v>0.19332000000000002</v>
      </c>
    </row>
    <row r="11" spans="1:6" ht="12.75">
      <c r="A11" s="2" t="s">
        <v>11</v>
      </c>
      <c r="B11" s="32">
        <f>'PILS Rates 2001 &amp; 2002'!B12+'PILS Rates 2001 &amp; 2002'!E12</f>
        <v>0.2649</v>
      </c>
      <c r="C11" s="31">
        <f>'PILS Rates 2001 &amp; 2002'!C12+'PILS Rates 2001 &amp; 2002'!F12</f>
        <v>0</v>
      </c>
      <c r="D11" s="55">
        <v>0.2034</v>
      </c>
      <c r="E11" s="55">
        <v>0.1529</v>
      </c>
      <c r="F11" s="8"/>
    </row>
  </sheetData>
  <sheetProtection/>
  <mergeCells count="1">
    <mergeCell ref="B2:C2"/>
  </mergeCells>
  <printOptions/>
  <pageMargins left="0.7" right="0.17" top="0.75" bottom="0.75" header="0.3" footer="0.3"/>
  <pageSetup horizontalDpi="600" verticalDpi="600" orientation="landscape" r:id="rId1"/>
  <headerFooter>
    <oddHeader>&amp;C&amp;Z&amp;F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PageLayoutView="0"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5" sqref="M5"/>
    </sheetView>
  </sheetViews>
  <sheetFormatPr defaultColWidth="9.140625" defaultRowHeight="15"/>
  <cols>
    <col min="1" max="1" width="7.00390625" style="37" bestFit="1" customWidth="1"/>
    <col min="2" max="2" width="29.8515625" style="37" bestFit="1" customWidth="1"/>
    <col min="3" max="3" width="18.57421875" style="45" bestFit="1" customWidth="1"/>
    <col min="4" max="4" width="15.140625" style="38" bestFit="1" customWidth="1"/>
    <col min="5" max="5" width="12.421875" style="45" bestFit="1" customWidth="1"/>
    <col min="6" max="6" width="15.140625" style="38" bestFit="1" customWidth="1"/>
    <col min="7" max="7" width="11.00390625" style="47" bestFit="1" customWidth="1"/>
    <col min="8" max="8" width="15.140625" style="38" bestFit="1" customWidth="1"/>
    <col min="9" max="9" width="11.7109375" style="47" customWidth="1"/>
    <col min="10" max="10" width="15.140625" style="38" bestFit="1" customWidth="1"/>
    <col min="11" max="11" width="11.7109375" style="47" customWidth="1"/>
    <col min="12" max="12" width="15.140625" style="38" bestFit="1" customWidth="1"/>
    <col min="13" max="13" width="11.00390625" style="47" bestFit="1" customWidth="1"/>
    <col min="14" max="14" width="15.140625" style="38" bestFit="1" customWidth="1"/>
    <col min="15" max="15" width="10.00390625" style="47" bestFit="1" customWidth="1"/>
    <col min="16" max="16" width="15.140625" style="38" bestFit="1" customWidth="1"/>
    <col min="17" max="17" width="9.00390625" style="49" bestFit="1" customWidth="1"/>
    <col min="18" max="18" width="15.140625" style="38" bestFit="1" customWidth="1"/>
    <col min="19" max="19" width="9.140625" style="8" customWidth="1"/>
    <col min="20" max="16384" width="9.140625" style="2" customWidth="1"/>
  </cols>
  <sheetData>
    <row r="1" ht="12.75">
      <c r="B1" s="61" t="s">
        <v>47</v>
      </c>
    </row>
    <row r="2" spans="1:19" s="1" customFormat="1" ht="12.75">
      <c r="A2" s="34"/>
      <c r="B2" s="34"/>
      <c r="C2" s="67" t="s">
        <v>6</v>
      </c>
      <c r="D2" s="68"/>
      <c r="E2" s="67" t="s">
        <v>7</v>
      </c>
      <c r="F2" s="68"/>
      <c r="G2" s="67" t="s">
        <v>43</v>
      </c>
      <c r="H2" s="68"/>
      <c r="I2" s="67" t="s">
        <v>44</v>
      </c>
      <c r="J2" s="68"/>
      <c r="K2" s="67" t="s">
        <v>45</v>
      </c>
      <c r="L2" s="68"/>
      <c r="M2" s="67" t="s">
        <v>46</v>
      </c>
      <c r="N2" s="68"/>
      <c r="O2" s="67" t="s">
        <v>10</v>
      </c>
      <c r="P2" s="68"/>
      <c r="Q2" s="67" t="s">
        <v>16</v>
      </c>
      <c r="R2" s="68"/>
      <c r="S2" s="3"/>
    </row>
    <row r="3" spans="1:19" s="1" customFormat="1" ht="12.75">
      <c r="A3" s="34" t="s">
        <v>18</v>
      </c>
      <c r="B3" s="34" t="s">
        <v>19</v>
      </c>
      <c r="C3" s="44" t="s">
        <v>25</v>
      </c>
      <c r="D3" s="35" t="s">
        <v>4</v>
      </c>
      <c r="E3" s="44" t="s">
        <v>2</v>
      </c>
      <c r="F3" s="35" t="s">
        <v>4</v>
      </c>
      <c r="G3" s="46" t="s">
        <v>2</v>
      </c>
      <c r="H3" s="35" t="s">
        <v>4</v>
      </c>
      <c r="I3" s="46" t="s">
        <v>2</v>
      </c>
      <c r="J3" s="35" t="s">
        <v>4</v>
      </c>
      <c r="K3" s="46" t="s">
        <v>2</v>
      </c>
      <c r="L3" s="35" t="s">
        <v>4</v>
      </c>
      <c r="M3" s="46" t="s">
        <v>2</v>
      </c>
      <c r="N3" s="35" t="s">
        <v>4</v>
      </c>
      <c r="O3" s="46" t="s">
        <v>2</v>
      </c>
      <c r="P3" s="35" t="s">
        <v>4</v>
      </c>
      <c r="Q3" s="48" t="s">
        <v>2</v>
      </c>
      <c r="R3" s="35" t="s">
        <v>4</v>
      </c>
      <c r="S3" s="3"/>
    </row>
    <row r="4" spans="1:19" s="28" customFormat="1" ht="12.75">
      <c r="A4" s="36">
        <v>37316</v>
      </c>
      <c r="B4" s="37" t="s">
        <v>21</v>
      </c>
      <c r="C4" s="52">
        <f>658156+475957+1796104+600620+4585625</f>
        <v>8116462</v>
      </c>
      <c r="D4" s="54"/>
      <c r="E4" s="52">
        <f>272423+205886+824693+531010+2485037</f>
        <v>4319049</v>
      </c>
      <c r="F4" s="54"/>
      <c r="G4" s="50">
        <f>2478.1+18913.1</f>
        <v>21391.199999999997</v>
      </c>
      <c r="H4" s="54"/>
      <c r="I4" s="50">
        <v>0</v>
      </c>
      <c r="J4" s="54"/>
      <c r="K4" s="50">
        <v>0</v>
      </c>
      <c r="L4" s="54"/>
      <c r="M4" s="50">
        <f>9196.92+8573.46</f>
        <v>17770.379999999997</v>
      </c>
      <c r="N4" s="54"/>
      <c r="O4" s="50">
        <f>3115+636</f>
        <v>3751</v>
      </c>
      <c r="P4" s="38"/>
      <c r="Q4" s="51">
        <f>-38.65+106.85+60.3+120.7+372.94</f>
        <v>622.14</v>
      </c>
      <c r="R4" s="38"/>
      <c r="S4" s="27"/>
    </row>
    <row r="5" spans="1:19" s="28" customFormat="1" ht="12.75">
      <c r="A5" s="36">
        <v>37347</v>
      </c>
      <c r="B5" s="37" t="s">
        <v>21</v>
      </c>
      <c r="C5" s="52">
        <f>1302613+134624+2721060</f>
        <v>4158297</v>
      </c>
      <c r="D5" s="54"/>
      <c r="E5" s="52">
        <f>547592+60752+1598817</f>
        <v>2207161</v>
      </c>
      <c r="F5" s="54"/>
      <c r="G5" s="50">
        <f>4033.3+220.2+5171.2</f>
        <v>9424.7</v>
      </c>
      <c r="H5" s="54"/>
      <c r="I5" s="50">
        <f>308.9+266.4</f>
        <v>575.3</v>
      </c>
      <c r="J5" s="54"/>
      <c r="K5" s="50">
        <f>9445.8+2835</f>
        <v>12280.8</v>
      </c>
      <c r="L5" s="54"/>
      <c r="M5" s="50">
        <v>9862.77</v>
      </c>
      <c r="N5" s="54"/>
      <c r="O5" s="50">
        <f>261+3652</f>
        <v>3913</v>
      </c>
      <c r="P5" s="38"/>
      <c r="Q5" s="51">
        <f>68.2+181</f>
        <v>249.2</v>
      </c>
      <c r="R5" s="38"/>
      <c r="S5" s="27"/>
    </row>
    <row r="6" spans="1:19" s="28" customFormat="1" ht="12.75">
      <c r="A6" s="36">
        <v>37377</v>
      </c>
      <c r="B6" s="37" t="s">
        <v>21</v>
      </c>
      <c r="C6" s="52">
        <f>885316+1410470</f>
        <v>2295786</v>
      </c>
      <c r="D6" s="54"/>
      <c r="E6" s="52">
        <f>375841+547262</f>
        <v>923103</v>
      </c>
      <c r="F6" s="54"/>
      <c r="G6" s="50">
        <f>1565.2+2858.5</f>
        <v>4423.7</v>
      </c>
      <c r="H6" s="54"/>
      <c r="I6" s="50">
        <v>0</v>
      </c>
      <c r="J6" s="54"/>
      <c r="K6" s="50">
        <v>0</v>
      </c>
      <c r="L6" s="54"/>
      <c r="M6" s="50">
        <v>8308.52</v>
      </c>
      <c r="N6" s="54"/>
      <c r="O6" s="50">
        <v>2870</v>
      </c>
      <c r="P6" s="38"/>
      <c r="Q6" s="51">
        <f>34.12+42.24</f>
        <v>76.36</v>
      </c>
      <c r="R6" s="38"/>
      <c r="S6" s="27"/>
    </row>
    <row r="7" spans="1:19" s="28" customFormat="1" ht="12.75">
      <c r="A7" s="36">
        <v>37408</v>
      </c>
      <c r="B7" s="37" t="s">
        <v>21</v>
      </c>
      <c r="C7" s="52">
        <f>1963375+967165</f>
        <v>2930540</v>
      </c>
      <c r="D7" s="54"/>
      <c r="E7" s="52">
        <f>389625+1186453</f>
        <v>1576078</v>
      </c>
      <c r="F7" s="54"/>
      <c r="G7" s="50">
        <f>1606.4+4297.5</f>
        <v>5903.9</v>
      </c>
      <c r="H7" s="54"/>
      <c r="I7" s="50">
        <f>824.4+976.5</f>
        <v>1800.9</v>
      </c>
      <c r="J7" s="54"/>
      <c r="K7" s="50">
        <f>1947.1+3111.3</f>
        <v>5058.4</v>
      </c>
      <c r="L7" s="54"/>
      <c r="M7" s="50">
        <v>5188.71</v>
      </c>
      <c r="N7" s="54"/>
      <c r="O7" s="50">
        <v>3888</v>
      </c>
      <c r="P7" s="38"/>
      <c r="Q7" s="51">
        <f>5+443</f>
        <v>448</v>
      </c>
      <c r="R7" s="38"/>
      <c r="S7" s="27"/>
    </row>
    <row r="8" spans="1:19" s="28" customFormat="1" ht="12.75">
      <c r="A8" s="36">
        <v>37438</v>
      </c>
      <c r="B8" s="37" t="s">
        <v>21</v>
      </c>
      <c r="C8" s="52">
        <f>2449177-91986</f>
        <v>2357191</v>
      </c>
      <c r="D8" s="54"/>
      <c r="E8" s="52">
        <f>4768+1325346</f>
        <v>1330114</v>
      </c>
      <c r="F8" s="54"/>
      <c r="G8" s="50">
        <v>4316.2</v>
      </c>
      <c r="H8" s="54"/>
      <c r="I8" s="50">
        <f>835.5-411.3</f>
        <v>424.2</v>
      </c>
      <c r="J8" s="54"/>
      <c r="K8" s="50">
        <f>2337.7+2911.1</f>
        <v>5248.799999999999</v>
      </c>
      <c r="L8" s="54"/>
      <c r="M8" s="50">
        <v>4706.61</v>
      </c>
      <c r="N8" s="54"/>
      <c r="O8" s="50">
        <v>3913</v>
      </c>
      <c r="P8" s="38"/>
      <c r="Q8" s="51">
        <f>67+177.3</f>
        <v>244.3</v>
      </c>
      <c r="R8" s="38"/>
      <c r="S8" s="27"/>
    </row>
    <row r="9" spans="1:17" ht="12.75">
      <c r="A9" s="36">
        <v>37469</v>
      </c>
      <c r="B9" s="37" t="s">
        <v>20</v>
      </c>
      <c r="C9" s="52">
        <f>2382649+2527890</f>
        <v>4910539</v>
      </c>
      <c r="D9" s="54"/>
      <c r="E9" s="52">
        <f>995360+1524002</f>
        <v>2519362</v>
      </c>
      <c r="F9" s="54"/>
      <c r="G9" s="50">
        <f>3252.7+4073.3</f>
        <v>7326</v>
      </c>
      <c r="H9" s="54"/>
      <c r="I9" s="50">
        <f>808.3+1872</f>
        <v>2680.3</v>
      </c>
      <c r="J9" s="54"/>
      <c r="K9" s="50">
        <f>2365.9+2805.2</f>
        <v>5171.1</v>
      </c>
      <c r="L9" s="54"/>
      <c r="M9" s="50">
        <v>4450.88</v>
      </c>
      <c r="N9" s="54"/>
      <c r="O9" s="50">
        <v>3913</v>
      </c>
      <c r="Q9" s="51">
        <f>67+177.3</f>
        <v>244.3</v>
      </c>
    </row>
    <row r="10" spans="1:17" ht="12.75">
      <c r="A10" s="36">
        <v>37500</v>
      </c>
      <c r="B10" s="37" t="s">
        <v>21</v>
      </c>
      <c r="C10" s="52">
        <f>1033108+2246816</f>
        <v>3279924</v>
      </c>
      <c r="D10" s="54"/>
      <c r="E10" s="52">
        <f>453254+1338823</f>
        <v>1792077</v>
      </c>
      <c r="F10" s="54"/>
      <c r="G10" s="50">
        <f>1668+3976.7</f>
        <v>5644.7</v>
      </c>
      <c r="H10" s="54"/>
      <c r="I10" s="50">
        <f>821.6+1109.9</f>
        <v>1931.5</v>
      </c>
      <c r="J10" s="54"/>
      <c r="K10" s="50">
        <f>2237.7+2950</f>
        <v>5187.7</v>
      </c>
      <c r="L10" s="54"/>
      <c r="M10" s="50">
        <v>4441.76</v>
      </c>
      <c r="N10" s="54"/>
      <c r="O10" s="50">
        <v>3913</v>
      </c>
      <c r="Q10" s="51">
        <f>67+177.2</f>
        <v>244.2</v>
      </c>
    </row>
    <row r="11" spans="1:17" ht="12.75">
      <c r="A11" s="36">
        <v>37530</v>
      </c>
      <c r="B11" s="37" t="s">
        <v>21</v>
      </c>
      <c r="C11" s="52">
        <f>954881+2355821</f>
        <v>3310702</v>
      </c>
      <c r="D11" s="54"/>
      <c r="E11" s="52">
        <f>419603+1381890</f>
        <v>1801493</v>
      </c>
      <c r="F11" s="54"/>
      <c r="G11" s="50">
        <f>1548.8+4366</f>
        <v>5914.8</v>
      </c>
      <c r="H11" s="54"/>
      <c r="I11" s="50">
        <f>788.3+1979.5</f>
        <v>2767.8</v>
      </c>
      <c r="J11" s="54"/>
      <c r="K11" s="50">
        <f>2220.8+2938.4</f>
        <v>5159.200000000001</v>
      </c>
      <c r="L11" s="54"/>
      <c r="M11" s="50">
        <v>3979.62</v>
      </c>
      <c r="N11" s="54"/>
      <c r="O11" s="50">
        <v>3914</v>
      </c>
      <c r="Q11" s="51">
        <f>67+177.3</f>
        <v>244.3</v>
      </c>
    </row>
    <row r="12" spans="1:17" ht="12.75">
      <c r="A12" s="36">
        <v>37561</v>
      </c>
      <c r="B12" s="37" t="s">
        <v>20</v>
      </c>
      <c r="C12" s="52">
        <f>1238004+2190765</f>
        <v>3428769</v>
      </c>
      <c r="D12" s="54"/>
      <c r="E12" s="52">
        <f>531880+1345941</f>
        <v>1877821</v>
      </c>
      <c r="F12" s="54"/>
      <c r="G12" s="50">
        <f>1693+4347.1</f>
        <v>6040.1</v>
      </c>
      <c r="H12" s="54"/>
      <c r="I12" s="50">
        <f>803.9+1027.8</f>
        <v>1831.6999999999998</v>
      </c>
      <c r="J12" s="54"/>
      <c r="K12" s="50">
        <f>2131.1+2930.4</f>
        <v>5061.5</v>
      </c>
      <c r="L12" s="54"/>
      <c r="M12" s="50">
        <v>5670.11</v>
      </c>
      <c r="N12" s="54"/>
      <c r="O12" s="50">
        <v>3920</v>
      </c>
      <c r="Q12" s="51">
        <f>67+177.3</f>
        <v>244.3</v>
      </c>
    </row>
    <row r="13" spans="1:17" ht="12.75">
      <c r="A13" s="36">
        <v>37591</v>
      </c>
      <c r="B13" s="37" t="s">
        <v>20</v>
      </c>
      <c r="C13" s="52">
        <f>1417048+6344+4575570+2339233</f>
        <v>8338195</v>
      </c>
      <c r="D13" s="54"/>
      <c r="E13" s="52">
        <f>256+1031391+635495+1855397+348277+225122</f>
        <v>4095938</v>
      </c>
      <c r="F13" s="54"/>
      <c r="G13" s="50">
        <f>-87.1+2892.6+2207.2+3428.6+3064.4+773.8</f>
        <v>12279.499999999998</v>
      </c>
      <c r="H13" s="54"/>
      <c r="I13" s="50">
        <f>817.7+784.7+911.2+784.3</f>
        <v>3297.9000000000005</v>
      </c>
      <c r="J13" s="54"/>
      <c r="K13" s="50">
        <f>1609.1+2726.8+1591.6+2787.8</f>
        <v>8715.3</v>
      </c>
      <c r="L13" s="54"/>
      <c r="M13" s="50">
        <f>4794.7+4609.2</f>
        <v>9403.9</v>
      </c>
      <c r="N13" s="54"/>
      <c r="O13" s="50">
        <f>3406+5172</f>
        <v>8578</v>
      </c>
      <c r="Q13" s="51">
        <f>67+177.2+68.3+181.4</f>
        <v>493.9</v>
      </c>
    </row>
    <row r="14" spans="1:17" ht="12.75">
      <c r="A14" s="36">
        <v>37622</v>
      </c>
      <c r="B14" s="36" t="s">
        <v>20</v>
      </c>
      <c r="C14" s="52">
        <f>6967683-4575570-2339233</f>
        <v>52880</v>
      </c>
      <c r="D14" s="54"/>
      <c r="E14" s="52">
        <f>2841002-635495-1855397-348277-225122</f>
        <v>-223289</v>
      </c>
      <c r="F14" s="54"/>
      <c r="G14" s="50">
        <f>8911.6-2207.2-3428.6-3064.4-773.8</f>
        <v>-562.3999999999994</v>
      </c>
      <c r="H14" s="54"/>
      <c r="I14" s="50">
        <f>1695.5-911.2-784.3</f>
        <v>0</v>
      </c>
      <c r="J14" s="54"/>
      <c r="K14" s="50">
        <f>4379.4-1591.6-2787.8</f>
        <v>0</v>
      </c>
      <c r="L14" s="54"/>
      <c r="M14" s="50">
        <f>4609.24-4609.2</f>
        <v>0.03999999999996362</v>
      </c>
      <c r="N14" s="54"/>
      <c r="O14" s="50">
        <f>5385-5172</f>
        <v>213</v>
      </c>
      <c r="Q14" s="51">
        <f>249.7-68.3-181.4</f>
        <v>0</v>
      </c>
    </row>
    <row r="15" spans="1:17" ht="12.75">
      <c r="A15" s="36">
        <v>37653</v>
      </c>
      <c r="B15" s="36" t="s">
        <v>20</v>
      </c>
      <c r="C15" s="52">
        <v>3976384</v>
      </c>
      <c r="D15" s="54"/>
      <c r="E15" s="52">
        <v>1878617</v>
      </c>
      <c r="F15" s="54"/>
      <c r="G15" s="50">
        <v>7013.6</v>
      </c>
      <c r="H15" s="54"/>
      <c r="I15" s="50">
        <v>1813.6</v>
      </c>
      <c r="J15" s="54"/>
      <c r="K15" s="50">
        <v>4364.4</v>
      </c>
      <c r="L15" s="54"/>
      <c r="M15" s="50">
        <v>4684.37</v>
      </c>
      <c r="N15" s="54"/>
      <c r="O15" s="50">
        <v>3721</v>
      </c>
      <c r="Q15" s="51">
        <v>249.7</v>
      </c>
    </row>
    <row r="16" spans="1:17" ht="12.75">
      <c r="A16" s="36">
        <v>37681</v>
      </c>
      <c r="B16" s="36" t="s">
        <v>20</v>
      </c>
      <c r="C16" s="52">
        <v>3967410</v>
      </c>
      <c r="D16" s="54"/>
      <c r="E16" s="52">
        <v>1937674</v>
      </c>
      <c r="F16" s="54"/>
      <c r="G16" s="50">
        <v>6453.2</v>
      </c>
      <c r="H16" s="54"/>
      <c r="I16" s="50">
        <v>1774.7</v>
      </c>
      <c r="J16" s="54"/>
      <c r="K16" s="50">
        <v>4317.2</v>
      </c>
      <c r="L16" s="54"/>
      <c r="M16" s="50">
        <v>4511.38</v>
      </c>
      <c r="N16" s="54"/>
      <c r="O16" s="50">
        <v>4064</v>
      </c>
      <c r="Q16" s="51">
        <v>249.7</v>
      </c>
    </row>
    <row r="17" spans="1:17" ht="12.75">
      <c r="A17" s="36">
        <v>37712</v>
      </c>
      <c r="B17" s="36" t="s">
        <v>20</v>
      </c>
      <c r="C17" s="52">
        <v>2844772</v>
      </c>
      <c r="D17" s="54"/>
      <c r="E17" s="52">
        <v>1441217</v>
      </c>
      <c r="F17" s="54"/>
      <c r="G17" s="50">
        <v>4841.9</v>
      </c>
      <c r="H17" s="54"/>
      <c r="I17" s="50">
        <v>1833.4</v>
      </c>
      <c r="J17" s="54"/>
      <c r="K17" s="50">
        <v>4365.1</v>
      </c>
      <c r="L17" s="54"/>
      <c r="M17" s="50">
        <v>4264.96</v>
      </c>
      <c r="N17" s="54"/>
      <c r="O17" s="50">
        <v>3920</v>
      </c>
      <c r="Q17" s="51">
        <v>250.9</v>
      </c>
    </row>
    <row r="18" spans="1:17" ht="12.75">
      <c r="A18" s="36">
        <v>37742</v>
      </c>
      <c r="B18" s="36" t="s">
        <v>20</v>
      </c>
      <c r="C18" s="52">
        <v>4478027</v>
      </c>
      <c r="D18" s="54"/>
      <c r="E18" s="52">
        <v>2336927</v>
      </c>
      <c r="F18" s="54"/>
      <c r="G18" s="50">
        <v>7772.2</v>
      </c>
      <c r="H18" s="54"/>
      <c r="I18" s="50">
        <v>1868.2</v>
      </c>
      <c r="J18" s="54"/>
      <c r="K18" s="50">
        <v>4524.4</v>
      </c>
      <c r="L18" s="54"/>
      <c r="M18" s="50">
        <v>4231.4</v>
      </c>
      <c r="N18" s="54"/>
      <c r="O18" s="50">
        <v>3920</v>
      </c>
      <c r="Q18" s="51">
        <v>250.9</v>
      </c>
    </row>
    <row r="19" spans="1:17" ht="12.75">
      <c r="A19" s="36">
        <v>37773</v>
      </c>
      <c r="B19" s="36" t="s">
        <v>20</v>
      </c>
      <c r="C19" s="52">
        <v>2826250</v>
      </c>
      <c r="D19" s="54"/>
      <c r="E19" s="52">
        <v>1460517</v>
      </c>
      <c r="F19" s="54"/>
      <c r="G19" s="50">
        <v>6080.2</v>
      </c>
      <c r="H19" s="54"/>
      <c r="I19" s="50">
        <v>1797.5</v>
      </c>
      <c r="J19" s="54"/>
      <c r="K19" s="50">
        <v>4608.4</v>
      </c>
      <c r="L19" s="54"/>
      <c r="M19" s="50">
        <v>4287.36</v>
      </c>
      <c r="N19" s="54"/>
      <c r="O19" s="50">
        <v>3996</v>
      </c>
      <c r="Q19" s="51">
        <v>250.9</v>
      </c>
    </row>
    <row r="20" spans="1:17" ht="12.75">
      <c r="A20" s="36">
        <v>37803</v>
      </c>
      <c r="B20" s="36" t="s">
        <v>20</v>
      </c>
      <c r="C20" s="52">
        <v>3454569</v>
      </c>
      <c r="D20" s="54"/>
      <c r="E20" s="52">
        <v>1751443</v>
      </c>
      <c r="F20" s="54"/>
      <c r="G20" s="50">
        <v>6037.5</v>
      </c>
      <c r="H20" s="54"/>
      <c r="I20" s="50">
        <v>1966.8</v>
      </c>
      <c r="J20" s="54"/>
      <c r="K20" s="50">
        <v>4913.5</v>
      </c>
      <c r="L20" s="54"/>
      <c r="M20" s="50">
        <v>4207.1</v>
      </c>
      <c r="N20" s="54"/>
      <c r="O20" s="50">
        <v>3996</v>
      </c>
      <c r="Q20" s="51">
        <v>250.9</v>
      </c>
    </row>
    <row r="21" spans="1:17" ht="12.75">
      <c r="A21" s="36">
        <v>37834</v>
      </c>
      <c r="B21" s="36" t="s">
        <v>20</v>
      </c>
      <c r="C21" s="52">
        <v>3277540</v>
      </c>
      <c r="D21" s="54"/>
      <c r="E21" s="52">
        <v>1771248</v>
      </c>
      <c r="F21" s="54"/>
      <c r="G21" s="50">
        <v>5748</v>
      </c>
      <c r="H21" s="54"/>
      <c r="I21" s="50">
        <v>2045.3</v>
      </c>
      <c r="J21" s="54"/>
      <c r="K21" s="50">
        <v>4925.1</v>
      </c>
      <c r="L21" s="54"/>
      <c r="M21" s="50">
        <v>4284.14</v>
      </c>
      <c r="N21" s="54"/>
      <c r="O21" s="50">
        <v>3996</v>
      </c>
      <c r="Q21" s="51">
        <v>251.1</v>
      </c>
    </row>
    <row r="22" spans="1:19" s="26" customFormat="1" ht="12.75">
      <c r="A22" s="36">
        <v>37865</v>
      </c>
      <c r="B22" s="36" t="s">
        <v>20</v>
      </c>
      <c r="C22" s="52">
        <v>3609804</v>
      </c>
      <c r="D22" s="54"/>
      <c r="E22" s="52">
        <v>2204820</v>
      </c>
      <c r="F22" s="54"/>
      <c r="G22" s="50">
        <v>7143.6</v>
      </c>
      <c r="H22" s="54"/>
      <c r="I22" s="50">
        <v>2165.4</v>
      </c>
      <c r="J22" s="54"/>
      <c r="K22" s="50">
        <v>4952</v>
      </c>
      <c r="L22" s="54"/>
      <c r="M22" s="50">
        <v>4137.25</v>
      </c>
      <c r="N22" s="54"/>
      <c r="O22" s="50">
        <v>4806</v>
      </c>
      <c r="P22" s="38"/>
      <c r="Q22" s="51">
        <v>251.1</v>
      </c>
      <c r="R22" s="38"/>
      <c r="S22" s="22"/>
    </row>
    <row r="23" spans="1:19" s="26" customFormat="1" ht="12.75">
      <c r="A23" s="36">
        <v>37895</v>
      </c>
      <c r="B23" s="36" t="s">
        <v>20</v>
      </c>
      <c r="C23" s="52">
        <v>2894235</v>
      </c>
      <c r="D23" s="54"/>
      <c r="E23" s="52">
        <v>1104688</v>
      </c>
      <c r="F23" s="54"/>
      <c r="G23" s="50">
        <v>4604.1</v>
      </c>
      <c r="H23" s="54"/>
      <c r="I23" s="50">
        <v>1930.3</v>
      </c>
      <c r="J23" s="54"/>
      <c r="K23" s="50">
        <v>4845</v>
      </c>
      <c r="L23" s="54"/>
      <c r="M23" s="50">
        <v>4315.89</v>
      </c>
      <c r="N23" s="54"/>
      <c r="O23" s="50">
        <v>3186</v>
      </c>
      <c r="P23" s="38"/>
      <c r="Q23" s="51">
        <v>251.1</v>
      </c>
      <c r="R23" s="38"/>
      <c r="S23" s="22"/>
    </row>
    <row r="24" spans="1:19" s="26" customFormat="1" ht="12.75">
      <c r="A24" s="36">
        <v>37926</v>
      </c>
      <c r="B24" s="36" t="s">
        <v>20</v>
      </c>
      <c r="C24" s="52">
        <v>3184510</v>
      </c>
      <c r="D24" s="54"/>
      <c r="E24" s="52">
        <v>1636278</v>
      </c>
      <c r="F24" s="54"/>
      <c r="G24" s="50">
        <v>5932.8</v>
      </c>
      <c r="H24" s="54"/>
      <c r="I24" s="50">
        <v>1922.1</v>
      </c>
      <c r="J24" s="54"/>
      <c r="K24" s="50">
        <v>4503.1</v>
      </c>
      <c r="L24" s="54"/>
      <c r="M24" s="50">
        <v>4777.4</v>
      </c>
      <c r="N24" s="54"/>
      <c r="O24" s="50">
        <v>3996</v>
      </c>
      <c r="P24" s="38"/>
      <c r="Q24" s="51">
        <v>251.1</v>
      </c>
      <c r="R24" s="38"/>
      <c r="S24" s="22"/>
    </row>
    <row r="25" spans="1:17" ht="12.75">
      <c r="A25" s="36">
        <v>37956</v>
      </c>
      <c r="B25" s="36" t="s">
        <v>20</v>
      </c>
      <c r="C25" s="52">
        <f>3432212+5825540</f>
        <v>9257752</v>
      </c>
      <c r="D25" s="54"/>
      <c r="E25" s="52">
        <f>1616385+2119495+550190</f>
        <v>4286070</v>
      </c>
      <c r="F25" s="54"/>
      <c r="G25" s="50">
        <f>5953.2+621.1+3773.7+2017.7+337.1</f>
        <v>12702.800000000001</v>
      </c>
      <c r="H25" s="54"/>
      <c r="I25" s="50">
        <f>1774.1+979.8+771.5</f>
        <v>3525.3999999999996</v>
      </c>
      <c r="J25" s="54"/>
      <c r="K25" s="50">
        <f>4279.5+2509.2+2648.8</f>
        <v>9437.5</v>
      </c>
      <c r="L25" s="54"/>
      <c r="M25" s="50">
        <f>4461.2+4374.88</f>
        <v>8836.08</v>
      </c>
      <c r="N25" s="54"/>
      <c r="O25" s="50">
        <f>3996+7519</f>
        <v>11515</v>
      </c>
      <c r="Q25" s="51">
        <f>251.1+251.1</f>
        <v>502.2</v>
      </c>
    </row>
    <row r="26" spans="1:17" ht="12.75">
      <c r="A26" s="36">
        <v>37987</v>
      </c>
      <c r="B26" s="36" t="s">
        <v>20</v>
      </c>
      <c r="C26" s="52">
        <f>3615085-5825540</f>
        <v>-2210455</v>
      </c>
      <c r="D26" s="54"/>
      <c r="E26" s="52">
        <f>1570210-2119495-550190</f>
        <v>-1099475</v>
      </c>
      <c r="F26" s="54"/>
      <c r="G26" s="50">
        <f>4832.6-621.1-3773.7-2017.7-337.1</f>
        <v>-1917</v>
      </c>
      <c r="H26" s="54"/>
      <c r="I26" s="50">
        <f>1751.3-979.8-771.5</f>
        <v>0</v>
      </c>
      <c r="J26" s="54"/>
      <c r="K26" s="50">
        <f>5158-2509.2-2648.8</f>
        <v>0</v>
      </c>
      <c r="L26" s="54"/>
      <c r="M26" s="50">
        <f>-4461.2+4461.2</f>
        <v>0</v>
      </c>
      <c r="N26" s="54"/>
      <c r="O26" s="50">
        <f>4001-7519</f>
        <v>-3518</v>
      </c>
      <c r="Q26" s="51">
        <f>251.1-251.1</f>
        <v>0</v>
      </c>
    </row>
    <row r="27" spans="1:17" ht="12.75">
      <c r="A27" s="36">
        <v>38018</v>
      </c>
      <c r="B27" s="36" t="s">
        <v>20</v>
      </c>
      <c r="C27" s="52">
        <v>5288537</v>
      </c>
      <c r="D27" s="54"/>
      <c r="E27" s="52">
        <v>2414772</v>
      </c>
      <c r="F27" s="54"/>
      <c r="G27" s="50">
        <v>6171.9</v>
      </c>
      <c r="H27" s="54"/>
      <c r="I27" s="50">
        <v>1845.3</v>
      </c>
      <c r="J27" s="54"/>
      <c r="K27" s="50">
        <v>5215.4</v>
      </c>
      <c r="L27" s="54"/>
      <c r="M27" s="50">
        <v>4673.2</v>
      </c>
      <c r="N27" s="54"/>
      <c r="O27" s="50">
        <v>4009</v>
      </c>
      <c r="Q27" s="51">
        <v>251.1</v>
      </c>
    </row>
    <row r="28" spans="1:17" ht="12.75">
      <c r="A28" s="36">
        <v>38047</v>
      </c>
      <c r="B28" s="36" t="s">
        <v>20</v>
      </c>
      <c r="C28" s="52">
        <v>4708253</v>
      </c>
      <c r="D28" s="54"/>
      <c r="E28" s="52">
        <v>2158012</v>
      </c>
      <c r="F28" s="54"/>
      <c r="G28" s="50">
        <v>6355.9</v>
      </c>
      <c r="H28" s="54"/>
      <c r="I28" s="50">
        <v>1894.7</v>
      </c>
      <c r="J28" s="54"/>
      <c r="K28" s="50">
        <v>5033.2</v>
      </c>
      <c r="L28" s="54"/>
      <c r="M28" s="50">
        <v>4534.41</v>
      </c>
      <c r="N28" s="54"/>
      <c r="O28" s="50">
        <v>3996</v>
      </c>
      <c r="Q28" s="51">
        <v>251.1</v>
      </c>
    </row>
    <row r="29" spans="1:17" ht="12.75">
      <c r="A29" s="36">
        <v>38078</v>
      </c>
      <c r="B29" s="36" t="s">
        <v>22</v>
      </c>
      <c r="C29" s="52">
        <v>2749143</v>
      </c>
      <c r="D29" s="54"/>
      <c r="E29" s="52">
        <v>1723923</v>
      </c>
      <c r="F29" s="54"/>
      <c r="G29" s="50">
        <v>4974.9</v>
      </c>
      <c r="H29" s="54"/>
      <c r="I29" s="50">
        <v>1836.4</v>
      </c>
      <c r="J29" s="54"/>
      <c r="K29" s="50">
        <v>4955.9</v>
      </c>
      <c r="L29" s="54"/>
      <c r="M29" s="50">
        <v>4629.25</v>
      </c>
      <c r="N29" s="54"/>
      <c r="O29" s="50">
        <v>3885</v>
      </c>
      <c r="Q29" s="51">
        <v>253.8</v>
      </c>
    </row>
    <row r="30" spans="1:19" s="28" customFormat="1" ht="12.75">
      <c r="A30" s="36">
        <v>38078</v>
      </c>
      <c r="B30" s="36" t="s">
        <v>23</v>
      </c>
      <c r="C30" s="52">
        <v>519743</v>
      </c>
      <c r="D30" s="54"/>
      <c r="E30" s="52">
        <v>297471</v>
      </c>
      <c r="F30" s="54"/>
      <c r="G30" s="50">
        <v>646.5</v>
      </c>
      <c r="H30" s="54"/>
      <c r="I30" s="50"/>
      <c r="J30" s="54"/>
      <c r="K30" s="50"/>
      <c r="L30" s="54"/>
      <c r="M30" s="50"/>
      <c r="N30" s="54"/>
      <c r="O30" s="50">
        <v>638</v>
      </c>
      <c r="P30" s="38"/>
      <c r="Q30" s="51"/>
      <c r="R30" s="38"/>
      <c r="S30" s="27"/>
    </row>
    <row r="31" spans="1:17" ht="12.75">
      <c r="A31" s="36">
        <v>38108</v>
      </c>
      <c r="B31" s="36" t="s">
        <v>22</v>
      </c>
      <c r="C31" s="52">
        <v>826067</v>
      </c>
      <c r="D31" s="54"/>
      <c r="E31" s="52">
        <v>153546</v>
      </c>
      <c r="F31" s="54"/>
      <c r="G31" s="50">
        <v>1032.2</v>
      </c>
      <c r="H31" s="54"/>
      <c r="I31" s="50"/>
      <c r="J31" s="54"/>
      <c r="K31" s="50"/>
      <c r="L31" s="54"/>
      <c r="M31" s="50"/>
      <c r="N31" s="54"/>
      <c r="O31" s="50">
        <v>243</v>
      </c>
      <c r="Q31" s="51"/>
    </row>
    <row r="32" spans="1:19" s="28" customFormat="1" ht="12.75">
      <c r="A32" s="36">
        <v>38108</v>
      </c>
      <c r="B32" s="36" t="s">
        <v>23</v>
      </c>
      <c r="C32" s="52">
        <v>2701921</v>
      </c>
      <c r="D32" s="54"/>
      <c r="E32" s="52">
        <v>1163533</v>
      </c>
      <c r="F32" s="54"/>
      <c r="G32" s="50">
        <v>4653.8</v>
      </c>
      <c r="H32" s="54"/>
      <c r="I32" s="50">
        <v>1804.5</v>
      </c>
      <c r="J32" s="54"/>
      <c r="K32" s="50">
        <v>5097.4</v>
      </c>
      <c r="L32" s="54"/>
      <c r="M32" s="50">
        <v>4543.02</v>
      </c>
      <c r="N32" s="54"/>
      <c r="O32" s="50">
        <v>3592</v>
      </c>
      <c r="P32" s="38"/>
      <c r="Q32" s="51">
        <v>257.5</v>
      </c>
      <c r="R32" s="38"/>
      <c r="S32" s="27"/>
    </row>
    <row r="33" spans="1:17" ht="12.75">
      <c r="A33" s="36">
        <v>38139</v>
      </c>
      <c r="B33" s="36" t="s">
        <v>22</v>
      </c>
      <c r="C33" s="52">
        <v>2044</v>
      </c>
      <c r="D33" s="54"/>
      <c r="E33" s="52">
        <v>-19429</v>
      </c>
      <c r="F33" s="54"/>
      <c r="G33" s="50"/>
      <c r="H33" s="54"/>
      <c r="I33" s="50"/>
      <c r="J33" s="54"/>
      <c r="K33" s="50"/>
      <c r="L33" s="54"/>
      <c r="M33" s="50"/>
      <c r="N33" s="54"/>
      <c r="O33" s="50"/>
      <c r="Q33" s="51"/>
    </row>
    <row r="34" spans="1:19" s="28" customFormat="1" ht="12.75">
      <c r="A34" s="36">
        <v>38139</v>
      </c>
      <c r="B34" s="36" t="s">
        <v>23</v>
      </c>
      <c r="C34" s="52">
        <v>3766886</v>
      </c>
      <c r="D34" s="54"/>
      <c r="E34" s="52">
        <v>1812081</v>
      </c>
      <c r="F34" s="54"/>
      <c r="G34" s="50">
        <v>6922.6</v>
      </c>
      <c r="H34" s="54"/>
      <c r="I34" s="50">
        <v>1927.7</v>
      </c>
      <c r="J34" s="54"/>
      <c r="K34" s="50">
        <v>5601.1</v>
      </c>
      <c r="L34" s="54"/>
      <c r="M34" s="50">
        <v>4452.19</v>
      </c>
      <c r="N34" s="54"/>
      <c r="O34" s="50">
        <v>3770</v>
      </c>
      <c r="P34" s="38"/>
      <c r="Q34" s="51">
        <v>257.5</v>
      </c>
      <c r="R34" s="38"/>
      <c r="S34" s="27"/>
    </row>
    <row r="35" spans="1:17" ht="12.75">
      <c r="A35" s="36">
        <v>38169</v>
      </c>
      <c r="B35" s="36" t="s">
        <v>20</v>
      </c>
      <c r="C35" s="52">
        <v>2339553</v>
      </c>
      <c r="D35" s="54"/>
      <c r="E35" s="52">
        <v>1203365</v>
      </c>
      <c r="F35" s="54"/>
      <c r="G35" s="50">
        <v>4824.3</v>
      </c>
      <c r="H35" s="54"/>
      <c r="I35" s="50">
        <v>1955.5</v>
      </c>
      <c r="J35" s="54"/>
      <c r="K35" s="50">
        <v>5783.8</v>
      </c>
      <c r="L35" s="54"/>
      <c r="M35" s="50">
        <v>4309.21</v>
      </c>
      <c r="N35" s="54"/>
      <c r="O35" s="50">
        <v>4133</v>
      </c>
      <c r="Q35" s="51">
        <v>257.5</v>
      </c>
    </row>
    <row r="36" spans="1:17" ht="12.75">
      <c r="A36" s="36">
        <v>38200</v>
      </c>
      <c r="B36" s="36" t="s">
        <v>22</v>
      </c>
      <c r="C36" s="52"/>
      <c r="D36" s="54"/>
      <c r="E36" s="52"/>
      <c r="F36" s="54"/>
      <c r="G36" s="50"/>
      <c r="H36" s="54"/>
      <c r="I36" s="50"/>
      <c r="J36" s="54"/>
      <c r="K36" s="50"/>
      <c r="L36" s="54"/>
      <c r="M36" s="50"/>
      <c r="N36" s="54"/>
      <c r="O36" s="50"/>
      <c r="Q36" s="51"/>
    </row>
    <row r="37" spans="1:19" s="28" customFormat="1" ht="12.75">
      <c r="A37" s="36">
        <v>38200</v>
      </c>
      <c r="B37" s="36" t="s">
        <v>23</v>
      </c>
      <c r="C37" s="52">
        <v>4499487</v>
      </c>
      <c r="D37" s="54"/>
      <c r="E37" s="52">
        <v>2268330</v>
      </c>
      <c r="F37" s="54"/>
      <c r="G37" s="50">
        <v>6598.9</v>
      </c>
      <c r="H37" s="54"/>
      <c r="I37" s="50">
        <v>2367</v>
      </c>
      <c r="J37" s="54"/>
      <c r="K37" s="50">
        <v>5752.6</v>
      </c>
      <c r="L37" s="54"/>
      <c r="M37" s="50">
        <v>4481.83</v>
      </c>
      <c r="N37" s="54"/>
      <c r="O37" s="50">
        <v>4162</v>
      </c>
      <c r="P37" s="38"/>
      <c r="Q37" s="51">
        <v>257.5</v>
      </c>
      <c r="R37" s="38"/>
      <c r="S37" s="27"/>
    </row>
    <row r="38" spans="1:17" ht="12.75">
      <c r="A38" s="36">
        <v>38231</v>
      </c>
      <c r="B38" s="36" t="s">
        <v>20</v>
      </c>
      <c r="C38" s="52">
        <v>3055353</v>
      </c>
      <c r="D38" s="54"/>
      <c r="E38" s="52">
        <f>4405+1578986</f>
        <v>1583391</v>
      </c>
      <c r="F38" s="54"/>
      <c r="G38" s="50">
        <v>5264</v>
      </c>
      <c r="H38" s="54"/>
      <c r="I38" s="50">
        <v>1969.4</v>
      </c>
      <c r="J38" s="54"/>
      <c r="K38" s="50">
        <v>5998.8</v>
      </c>
      <c r="L38" s="54"/>
      <c r="M38" s="50">
        <v>4421.16</v>
      </c>
      <c r="N38" s="54"/>
      <c r="O38" s="50">
        <v>3592</v>
      </c>
      <c r="Q38" s="51">
        <v>259</v>
      </c>
    </row>
    <row r="39" spans="1:17" ht="12.75">
      <c r="A39" s="36">
        <v>38261</v>
      </c>
      <c r="B39" s="36" t="s">
        <v>20</v>
      </c>
      <c r="C39" s="52">
        <v>2401280</v>
      </c>
      <c r="D39" s="54"/>
      <c r="E39" s="52">
        <v>1250714</v>
      </c>
      <c r="F39" s="54"/>
      <c r="G39" s="50">
        <v>5733.2</v>
      </c>
      <c r="H39" s="54"/>
      <c r="I39" s="50">
        <v>1965.7</v>
      </c>
      <c r="J39" s="54"/>
      <c r="K39" s="50">
        <v>5695.2</v>
      </c>
      <c r="L39" s="54"/>
      <c r="M39" s="50">
        <v>4184.34</v>
      </c>
      <c r="N39" s="54"/>
      <c r="O39" s="50">
        <v>4272</v>
      </c>
      <c r="Q39" s="51">
        <v>259</v>
      </c>
    </row>
    <row r="40" spans="1:17" ht="12.75">
      <c r="A40" s="36">
        <v>38292</v>
      </c>
      <c r="B40" s="36" t="s">
        <v>20</v>
      </c>
      <c r="C40" s="52">
        <v>4019832</v>
      </c>
      <c r="D40" s="54"/>
      <c r="E40" s="52">
        <v>1954748</v>
      </c>
      <c r="F40" s="54"/>
      <c r="G40" s="50">
        <v>6471.7</v>
      </c>
      <c r="H40" s="54"/>
      <c r="I40" s="50">
        <v>1827.4</v>
      </c>
      <c r="J40" s="54"/>
      <c r="K40" s="50">
        <v>5391.4</v>
      </c>
      <c r="L40" s="54"/>
      <c r="M40" s="50">
        <v>4351.05</v>
      </c>
      <c r="N40" s="54"/>
      <c r="O40" s="50">
        <v>4028</v>
      </c>
      <c r="Q40" s="51">
        <v>259</v>
      </c>
    </row>
    <row r="41" spans="1:17" ht="12.75">
      <c r="A41" s="36">
        <v>38322</v>
      </c>
      <c r="B41" s="36" t="s">
        <v>20</v>
      </c>
      <c r="C41" s="52">
        <f>2793849+5394009</f>
        <v>8187858</v>
      </c>
      <c r="D41" s="54"/>
      <c r="E41" s="52">
        <f>1410760+2469867</f>
        <v>3880627</v>
      </c>
      <c r="F41" s="54"/>
      <c r="G41" s="50">
        <f>5665.4+5459</f>
        <v>11124.4</v>
      </c>
      <c r="H41" s="54"/>
      <c r="I41" s="50">
        <f>1775.7+948.1</f>
        <v>2723.8</v>
      </c>
      <c r="J41" s="54"/>
      <c r="K41" s="50">
        <f>5092.4-4792.9</f>
        <v>299.5</v>
      </c>
      <c r="L41" s="54"/>
      <c r="M41" s="50">
        <f>4133.8+4231.38</f>
        <v>8365.18</v>
      </c>
      <c r="N41" s="54"/>
      <c r="O41" s="50">
        <f>3573+4217</f>
        <v>7790</v>
      </c>
      <c r="Q41" s="51">
        <f>259+260</f>
        <v>519</v>
      </c>
    </row>
    <row r="42" spans="1:17" ht="12.75">
      <c r="A42" s="36">
        <v>38353</v>
      </c>
      <c r="B42" s="36" t="s">
        <v>20</v>
      </c>
      <c r="C42" s="52">
        <f>4583582-5394009</f>
        <v>-810427</v>
      </c>
      <c r="D42" s="54"/>
      <c r="E42" s="52">
        <f>1942718-2469867</f>
        <v>-527149</v>
      </c>
      <c r="F42" s="54"/>
      <c r="G42" s="50">
        <f>6261.3-5665.4</f>
        <v>595.9000000000005</v>
      </c>
      <c r="H42" s="54"/>
      <c r="I42" s="50">
        <f>1794.5-948.1</f>
        <v>846.4</v>
      </c>
      <c r="J42" s="54"/>
      <c r="K42" s="50">
        <f>4792.9-4792.9</f>
        <v>0</v>
      </c>
      <c r="L42" s="54"/>
      <c r="M42" s="50">
        <f>424.44+3705.12-4133.8</f>
        <v>-4.240000000000691</v>
      </c>
      <c r="N42" s="54"/>
      <c r="O42" s="50">
        <f>-4217+4402</f>
        <v>185</v>
      </c>
      <c r="Q42" s="51">
        <f>260-260</f>
        <v>0</v>
      </c>
    </row>
    <row r="43" spans="1:17" ht="12.75">
      <c r="A43" s="36">
        <v>38384</v>
      </c>
      <c r="B43" s="36" t="s">
        <v>20</v>
      </c>
      <c r="C43" s="52">
        <v>4907863</v>
      </c>
      <c r="D43" s="54"/>
      <c r="E43" s="52">
        <v>2198604</v>
      </c>
      <c r="F43" s="54"/>
      <c r="G43" s="50">
        <v>6507.5</v>
      </c>
      <c r="H43" s="54"/>
      <c r="I43" s="50">
        <v>1842</v>
      </c>
      <c r="J43" s="54"/>
      <c r="K43" s="50">
        <v>4344.9</v>
      </c>
      <c r="L43" s="54"/>
      <c r="M43" s="50">
        <f>471.47+4028.96</f>
        <v>4500.43</v>
      </c>
      <c r="N43" s="54"/>
      <c r="O43" s="50">
        <v>3806</v>
      </c>
      <c r="Q43" s="51">
        <v>260.7</v>
      </c>
    </row>
    <row r="44" spans="1:17" ht="12.75">
      <c r="A44" s="36">
        <v>38412</v>
      </c>
      <c r="B44" s="36" t="s">
        <v>20</v>
      </c>
      <c r="C44" s="52">
        <v>4713715</v>
      </c>
      <c r="D44" s="54"/>
      <c r="E44" s="52">
        <v>2090431</v>
      </c>
      <c r="F44" s="54"/>
      <c r="G44" s="50">
        <v>6760.4</v>
      </c>
      <c r="H44" s="54"/>
      <c r="I44" s="50">
        <v>1823.1</v>
      </c>
      <c r="J44" s="54"/>
      <c r="K44" s="50">
        <v>5079.8</v>
      </c>
      <c r="L44" s="54"/>
      <c r="M44" s="50">
        <f>481.17+3960.29</f>
        <v>4441.46</v>
      </c>
      <c r="N44" s="54"/>
      <c r="O44" s="50">
        <v>3553</v>
      </c>
      <c r="Q44" s="51">
        <v>260.7</v>
      </c>
    </row>
    <row r="45" spans="1:17" ht="12.75">
      <c r="A45" s="36">
        <v>38443</v>
      </c>
      <c r="B45" s="36" t="s">
        <v>26</v>
      </c>
      <c r="C45" s="52">
        <v>2993128</v>
      </c>
      <c r="D45" s="54"/>
      <c r="E45" s="52">
        <v>1590367</v>
      </c>
      <c r="F45" s="54"/>
      <c r="G45" s="50">
        <v>5201.2</v>
      </c>
      <c r="H45" s="54"/>
      <c r="I45" s="50">
        <v>1715.3</v>
      </c>
      <c r="J45" s="54"/>
      <c r="K45" s="50">
        <v>4326.1</v>
      </c>
      <c r="L45" s="54"/>
      <c r="M45" s="50">
        <f>440.08+3845.7</f>
        <v>4285.78</v>
      </c>
      <c r="N45" s="54"/>
      <c r="O45" s="50">
        <v>3972</v>
      </c>
      <c r="Q45" s="51">
        <v>260.7</v>
      </c>
    </row>
    <row r="46" spans="1:19" s="28" customFormat="1" ht="12.75">
      <c r="A46" s="36">
        <v>38443</v>
      </c>
      <c r="B46" s="36" t="s">
        <v>27</v>
      </c>
      <c r="C46" s="52">
        <v>429906</v>
      </c>
      <c r="D46" s="54"/>
      <c r="E46" s="52">
        <v>131186</v>
      </c>
      <c r="F46" s="54"/>
      <c r="G46" s="50">
        <v>594.3</v>
      </c>
      <c r="H46" s="54"/>
      <c r="I46" s="50"/>
      <c r="J46" s="54"/>
      <c r="K46" s="50"/>
      <c r="L46" s="54"/>
      <c r="M46" s="50"/>
      <c r="N46" s="54"/>
      <c r="O46" s="50">
        <v>561</v>
      </c>
      <c r="P46" s="38"/>
      <c r="Q46" s="51"/>
      <c r="R46" s="38"/>
      <c r="S46" s="27"/>
    </row>
    <row r="47" spans="1:17" ht="12.75">
      <c r="A47" s="36">
        <v>38473</v>
      </c>
      <c r="B47" s="36" t="s">
        <v>26</v>
      </c>
      <c r="C47" s="52">
        <v>843032</v>
      </c>
      <c r="D47" s="54"/>
      <c r="E47" s="52">
        <v>494842</v>
      </c>
      <c r="F47" s="54"/>
      <c r="G47" s="50">
        <v>1058</v>
      </c>
      <c r="H47" s="54"/>
      <c r="I47" s="50"/>
      <c r="J47" s="54"/>
      <c r="K47" s="50"/>
      <c r="L47" s="54"/>
      <c r="M47" s="50"/>
      <c r="N47" s="54"/>
      <c r="O47" s="50">
        <v>243</v>
      </c>
      <c r="Q47" s="51"/>
    </row>
    <row r="48" spans="1:19" s="28" customFormat="1" ht="12.75">
      <c r="A48" s="36">
        <v>38473</v>
      </c>
      <c r="B48" s="36" t="s">
        <v>27</v>
      </c>
      <c r="C48" s="52">
        <v>2657770</v>
      </c>
      <c r="D48" s="54"/>
      <c r="E48" s="52">
        <v>1333324</v>
      </c>
      <c r="F48" s="54"/>
      <c r="G48" s="50">
        <v>5057</v>
      </c>
      <c r="H48" s="54"/>
      <c r="I48" s="50">
        <v>1785.5</v>
      </c>
      <c r="J48" s="54"/>
      <c r="K48" s="50">
        <v>4615.5</v>
      </c>
      <c r="L48" s="54"/>
      <c r="M48" s="50">
        <f>3757.14+424.44</f>
        <v>4181.58</v>
      </c>
      <c r="N48" s="54"/>
      <c r="O48" s="50">
        <v>3501</v>
      </c>
      <c r="P48" s="38"/>
      <c r="Q48" s="51">
        <v>260.7</v>
      </c>
      <c r="R48" s="38"/>
      <c r="S48" s="27"/>
    </row>
    <row r="49" spans="1:17" ht="12.75">
      <c r="A49" s="36">
        <v>38504</v>
      </c>
      <c r="B49" s="36" t="s">
        <v>26</v>
      </c>
      <c r="C49" s="52"/>
      <c r="D49" s="54"/>
      <c r="E49" s="52"/>
      <c r="F49" s="54"/>
      <c r="G49" s="50"/>
      <c r="H49" s="54"/>
      <c r="I49" s="50"/>
      <c r="J49" s="54"/>
      <c r="K49" s="50"/>
      <c r="L49" s="54"/>
      <c r="M49" s="50"/>
      <c r="N49" s="54"/>
      <c r="O49" s="50"/>
      <c r="Q49" s="51"/>
    </row>
    <row r="50" spans="1:19" s="28" customFormat="1" ht="12.75">
      <c r="A50" s="36">
        <v>38504</v>
      </c>
      <c r="B50" s="36" t="s">
        <v>27</v>
      </c>
      <c r="C50" s="52">
        <v>3845660</v>
      </c>
      <c r="D50" s="54"/>
      <c r="E50" s="52">
        <v>1952568</v>
      </c>
      <c r="F50" s="54"/>
      <c r="G50" s="50">
        <v>7184.2</v>
      </c>
      <c r="H50" s="54"/>
      <c r="I50" s="50">
        <v>2036.9</v>
      </c>
      <c r="J50" s="54"/>
      <c r="K50" s="50">
        <v>4736.5</v>
      </c>
      <c r="L50" s="54"/>
      <c r="M50" s="50">
        <f>399.01+3701.48</f>
        <v>4100.49</v>
      </c>
      <c r="N50" s="54"/>
      <c r="O50" s="50">
        <v>3583</v>
      </c>
      <c r="P50" s="38"/>
      <c r="Q50" s="51">
        <v>260.7</v>
      </c>
      <c r="R50" s="38"/>
      <c r="S50" s="27"/>
    </row>
    <row r="51" spans="1:17" ht="12.75">
      <c r="A51" s="36">
        <v>38534</v>
      </c>
      <c r="B51" s="36" t="s">
        <v>20</v>
      </c>
      <c r="C51" s="52">
        <v>2811697</v>
      </c>
      <c r="D51" s="54"/>
      <c r="E51" s="52">
        <v>1365402</v>
      </c>
      <c r="F51" s="54"/>
      <c r="G51" s="50">
        <v>4962.4</v>
      </c>
      <c r="H51" s="54"/>
      <c r="I51" s="50">
        <v>2024.4</v>
      </c>
      <c r="J51" s="54"/>
      <c r="K51" s="50">
        <v>5508.7</v>
      </c>
      <c r="L51" s="54"/>
      <c r="M51" s="50">
        <f>376.19+3717.11</f>
        <v>4093.3</v>
      </c>
      <c r="N51" s="54"/>
      <c r="O51" s="50">
        <v>4390</v>
      </c>
      <c r="Q51" s="51">
        <v>260.7</v>
      </c>
    </row>
    <row r="52" spans="1:17" ht="12.75">
      <c r="A52" s="36">
        <v>38565</v>
      </c>
      <c r="B52" s="36" t="s">
        <v>26</v>
      </c>
      <c r="C52" s="52"/>
      <c r="D52" s="54"/>
      <c r="E52" s="52"/>
      <c r="F52" s="54"/>
      <c r="G52" s="50"/>
      <c r="H52" s="54"/>
      <c r="I52" s="50"/>
      <c r="J52" s="54"/>
      <c r="K52" s="50"/>
      <c r="L52" s="54"/>
      <c r="M52" s="50"/>
      <c r="N52" s="54"/>
      <c r="O52" s="50"/>
      <c r="Q52" s="51"/>
    </row>
    <row r="53" spans="1:17" ht="12.75">
      <c r="A53" s="36">
        <v>38565</v>
      </c>
      <c r="B53" s="36" t="s">
        <v>27</v>
      </c>
      <c r="C53" s="52">
        <v>5505093</v>
      </c>
      <c r="D53" s="54"/>
      <c r="E53" s="52">
        <v>2560150</v>
      </c>
      <c r="F53" s="54"/>
      <c r="G53" s="50">
        <v>7590.3</v>
      </c>
      <c r="H53" s="54"/>
      <c r="I53" s="50">
        <v>2043</v>
      </c>
      <c r="J53" s="54"/>
      <c r="K53" s="50">
        <v>5314.9</v>
      </c>
      <c r="L53" s="54"/>
      <c r="M53" s="50">
        <f>3777.02+357.02</f>
        <v>4134.04</v>
      </c>
      <c r="N53" s="54"/>
      <c r="O53" s="50">
        <v>3884</v>
      </c>
      <c r="Q53" s="51">
        <v>260.7</v>
      </c>
    </row>
    <row r="54" spans="1:17" ht="12.75">
      <c r="A54" s="36">
        <v>38596</v>
      </c>
      <c r="B54" s="36" t="s">
        <v>20</v>
      </c>
      <c r="C54" s="52">
        <v>3243981</v>
      </c>
      <c r="D54" s="54"/>
      <c r="E54" s="52">
        <v>1684721</v>
      </c>
      <c r="F54" s="54"/>
      <c r="G54" s="50">
        <v>7197.8</v>
      </c>
      <c r="H54" s="54"/>
      <c r="I54" s="50">
        <v>2229.2</v>
      </c>
      <c r="J54" s="54"/>
      <c r="K54" s="50">
        <v>5227.5</v>
      </c>
      <c r="L54" s="54"/>
      <c r="M54" s="50">
        <f>3761.44+285.81</f>
        <v>4047.25</v>
      </c>
      <c r="N54" s="54"/>
      <c r="O54" s="50">
        <v>3715</v>
      </c>
      <c r="Q54" s="51">
        <v>260.7</v>
      </c>
    </row>
    <row r="55" spans="1:17" ht="12.75">
      <c r="A55" s="36">
        <v>38626</v>
      </c>
      <c r="B55" s="36" t="s">
        <v>20</v>
      </c>
      <c r="C55" s="52">
        <v>3123588</v>
      </c>
      <c r="D55" s="54"/>
      <c r="E55" s="52">
        <v>1609043</v>
      </c>
      <c r="F55" s="54"/>
      <c r="G55" s="50">
        <v>5622.8</v>
      </c>
      <c r="H55" s="54"/>
      <c r="I55" s="50">
        <v>1880.8</v>
      </c>
      <c r="J55" s="54"/>
      <c r="K55" s="50">
        <v>4790.8</v>
      </c>
      <c r="L55" s="54"/>
      <c r="M55" s="50">
        <f>3726.11+244.87</f>
        <v>3970.98</v>
      </c>
      <c r="N55" s="54"/>
      <c r="O55" s="50">
        <v>4352</v>
      </c>
      <c r="Q55" s="51">
        <v>260.7</v>
      </c>
    </row>
    <row r="56" spans="1:17" ht="12.75">
      <c r="A56" s="36">
        <v>38657</v>
      </c>
      <c r="B56" s="36" t="s">
        <v>20</v>
      </c>
      <c r="C56" s="52">
        <v>3638553</v>
      </c>
      <c r="D56" s="54"/>
      <c r="E56" s="52">
        <v>1867109</v>
      </c>
      <c r="F56" s="54"/>
      <c r="G56" s="50">
        <v>7134.3</v>
      </c>
      <c r="H56" s="54"/>
      <c r="I56" s="50">
        <v>1828.6</v>
      </c>
      <c r="J56" s="54"/>
      <c r="K56" s="50">
        <v>5265</v>
      </c>
      <c r="L56" s="54"/>
      <c r="M56" s="50">
        <f>3960.29+244.87</f>
        <v>4205.16</v>
      </c>
      <c r="N56" s="54"/>
      <c r="O56" s="50">
        <v>3739</v>
      </c>
      <c r="Q56" s="51">
        <v>260.7</v>
      </c>
    </row>
    <row r="57" spans="1:17" ht="12.75">
      <c r="A57" s="36">
        <v>38687</v>
      </c>
      <c r="B57" s="36" t="s">
        <v>20</v>
      </c>
      <c r="C57" s="52">
        <f>2367098+5451805</f>
        <v>7818903</v>
      </c>
      <c r="D57" s="54"/>
      <c r="E57" s="52">
        <f>1213687+2492109</f>
        <v>3705796</v>
      </c>
      <c r="F57" s="54"/>
      <c r="G57" s="50">
        <f>5030.1+7397.1</f>
        <v>12427.2</v>
      </c>
      <c r="H57" s="54"/>
      <c r="I57" s="50">
        <f>1693.3+1923.9</f>
        <v>3617.2</v>
      </c>
      <c r="J57" s="54"/>
      <c r="K57" s="50">
        <f>5600.1+4822.6</f>
        <v>10422.7</v>
      </c>
      <c r="L57" s="54"/>
      <c r="M57" s="50">
        <f>256.29+4025.54+4249.6</f>
        <v>8531.43</v>
      </c>
      <c r="N57" s="54"/>
      <c r="O57" s="50">
        <f>3654+4332</f>
        <v>7986</v>
      </c>
      <c r="Q57" s="51">
        <f>260.7+260.7</f>
        <v>521.4</v>
      </c>
    </row>
    <row r="58" spans="1:17" ht="12.75">
      <c r="A58" s="36">
        <v>38718</v>
      </c>
      <c r="B58" s="36" t="s">
        <v>20</v>
      </c>
      <c r="C58" s="52">
        <f>4549983-5451805</f>
        <v>-901822</v>
      </c>
      <c r="D58" s="54"/>
      <c r="E58" s="52">
        <f>2004237-2492109</f>
        <v>-487872</v>
      </c>
      <c r="F58" s="54"/>
      <c r="G58" s="50">
        <f>6517-7397.1</f>
        <v>-880.1000000000004</v>
      </c>
      <c r="H58" s="54"/>
      <c r="I58" s="50">
        <f>1923.9+481.18-1923.9</f>
        <v>481.17999999999984</v>
      </c>
      <c r="J58" s="54"/>
      <c r="K58" s="50">
        <f>-5600.1+5600.1</f>
        <v>0</v>
      </c>
      <c r="L58" s="54"/>
      <c r="M58" s="50">
        <f>4149.59-4149.6</f>
        <v>-0.010000000000218279</v>
      </c>
      <c r="N58" s="54"/>
      <c r="O58" s="50">
        <f>4468-4332</f>
        <v>136</v>
      </c>
      <c r="Q58" s="51">
        <f>260.7-260.7</f>
        <v>0</v>
      </c>
    </row>
    <row r="59" spans="1:17" ht="12.75">
      <c r="A59" s="36">
        <v>38749</v>
      </c>
      <c r="B59" s="36" t="s">
        <v>20</v>
      </c>
      <c r="C59" s="52">
        <v>5094526</v>
      </c>
      <c r="D59" s="54"/>
      <c r="E59" s="52">
        <v>2330448</v>
      </c>
      <c r="F59" s="54"/>
      <c r="G59" s="50">
        <f>7019</f>
        <v>7019</v>
      </c>
      <c r="H59" s="54"/>
      <c r="I59" s="50">
        <f>1671.2+340.23</f>
        <v>2011.43</v>
      </c>
      <c r="J59" s="54"/>
      <c r="K59" s="50">
        <v>4866.9</v>
      </c>
      <c r="L59" s="54"/>
      <c r="M59" s="50">
        <v>3945</v>
      </c>
      <c r="N59" s="54"/>
      <c r="O59" s="50">
        <v>3376</v>
      </c>
      <c r="Q59" s="51">
        <v>260.6</v>
      </c>
    </row>
    <row r="60" spans="1:17" ht="12.75">
      <c r="A60" s="36">
        <v>38777</v>
      </c>
      <c r="B60" s="36" t="s">
        <v>20</v>
      </c>
      <c r="C60" s="52">
        <v>4469032</v>
      </c>
      <c r="D60" s="54"/>
      <c r="E60" s="52">
        <v>2127511</v>
      </c>
      <c r="F60" s="54"/>
      <c r="G60" s="50">
        <f>6126.3</f>
        <v>6126.3</v>
      </c>
      <c r="H60" s="54"/>
      <c r="I60" s="50">
        <f>340.23+879.3</f>
        <v>1219.53</v>
      </c>
      <c r="J60" s="54"/>
      <c r="K60" s="50">
        <v>5141.1</v>
      </c>
      <c r="L60" s="54"/>
      <c r="M60" s="50">
        <v>3883.4</v>
      </c>
      <c r="N60" s="54"/>
      <c r="O60" s="50">
        <v>4050</v>
      </c>
      <c r="Q60" s="51">
        <v>260.4</v>
      </c>
    </row>
    <row r="61" spans="1:17" ht="12.75">
      <c r="A61" s="36">
        <v>38808</v>
      </c>
      <c r="B61" s="36" t="s">
        <v>20</v>
      </c>
      <c r="C61" s="53">
        <v>2837919</v>
      </c>
      <c r="D61" s="54"/>
      <c r="E61" s="52">
        <v>1418436</v>
      </c>
      <c r="F61" s="54"/>
      <c r="G61" s="50">
        <f>4147.4</f>
        <v>4147.4</v>
      </c>
      <c r="H61" s="54"/>
      <c r="I61" s="50">
        <f>219.37+2837.1</f>
        <v>3056.47</v>
      </c>
      <c r="J61" s="54"/>
      <c r="K61" s="50">
        <v>4899.3</v>
      </c>
      <c r="L61" s="54"/>
      <c r="M61" s="50">
        <v>3883</v>
      </c>
      <c r="N61" s="54"/>
      <c r="O61" s="50">
        <v>4389</v>
      </c>
      <c r="Q61" s="51">
        <v>260.4</v>
      </c>
    </row>
    <row r="62" spans="1:19" s="28" customFormat="1" ht="12.75">
      <c r="A62" s="36">
        <v>38838</v>
      </c>
      <c r="B62" s="36" t="s">
        <v>24</v>
      </c>
      <c r="C62" s="52">
        <f>3744584</f>
        <v>3744584</v>
      </c>
      <c r="D62" s="54"/>
      <c r="E62" s="52">
        <f>1978315</f>
        <v>1978315</v>
      </c>
      <c r="F62" s="54"/>
      <c r="G62" s="50">
        <f>5479.1</f>
        <v>5479.1</v>
      </c>
      <c r="H62" s="54"/>
      <c r="I62" s="50">
        <f>3022.7+213.06</f>
        <v>3235.7599999999998</v>
      </c>
      <c r="J62" s="54"/>
      <c r="K62" s="50">
        <v>5076.2</v>
      </c>
      <c r="L62" s="54"/>
      <c r="M62" s="50">
        <v>3379.2</v>
      </c>
      <c r="N62" s="54"/>
      <c r="O62" s="50">
        <v>3549</v>
      </c>
      <c r="P62" s="38"/>
      <c r="Q62" s="51">
        <v>260.4</v>
      </c>
      <c r="R62" s="38"/>
      <c r="S62" s="27"/>
    </row>
    <row r="63" spans="1:19" s="28" customFormat="1" ht="12.75">
      <c r="A63" s="36">
        <v>38869</v>
      </c>
      <c r="B63" s="36" t="s">
        <v>24</v>
      </c>
      <c r="C63" s="52">
        <f>124954</f>
        <v>124954</v>
      </c>
      <c r="D63" s="54"/>
      <c r="E63" s="52">
        <f>152479</f>
        <v>152479</v>
      </c>
      <c r="F63" s="54"/>
      <c r="G63" s="50">
        <v>257.3</v>
      </c>
      <c r="H63" s="54"/>
      <c r="I63" s="50"/>
      <c r="J63" s="54"/>
      <c r="K63" s="50"/>
      <c r="L63" s="54"/>
      <c r="M63" s="50"/>
      <c r="N63" s="54"/>
      <c r="O63" s="50">
        <v>162</v>
      </c>
      <c r="P63" s="38"/>
      <c r="Q63" s="51"/>
      <c r="R63" s="38"/>
      <c r="S63" s="27"/>
    </row>
    <row r="64" spans="1:19" s="28" customFormat="1" ht="12.75">
      <c r="A64" s="36">
        <v>38899</v>
      </c>
      <c r="B64" s="36" t="s">
        <v>24</v>
      </c>
      <c r="C64" s="52">
        <v>0</v>
      </c>
      <c r="D64" s="54"/>
      <c r="E64" s="52">
        <v>0</v>
      </c>
      <c r="F64" s="54"/>
      <c r="G64" s="50"/>
      <c r="H64" s="54"/>
      <c r="I64" s="50"/>
      <c r="J64" s="54"/>
      <c r="K64" s="50"/>
      <c r="L64" s="54"/>
      <c r="M64" s="50"/>
      <c r="N64" s="54"/>
      <c r="O64" s="50"/>
      <c r="P64" s="38"/>
      <c r="Q64" s="51"/>
      <c r="R64" s="38"/>
      <c r="S64" s="27"/>
    </row>
    <row r="65" spans="1:19" s="28" customFormat="1" ht="12.75">
      <c r="A65" s="36">
        <v>38930</v>
      </c>
      <c r="B65" s="36" t="s">
        <v>24</v>
      </c>
      <c r="C65" s="52">
        <v>0</v>
      </c>
      <c r="D65" s="54"/>
      <c r="E65" s="52">
        <v>0</v>
      </c>
      <c r="F65" s="54"/>
      <c r="G65" s="50"/>
      <c r="H65" s="54"/>
      <c r="I65" s="50"/>
      <c r="J65" s="54"/>
      <c r="K65" s="50"/>
      <c r="L65" s="54"/>
      <c r="M65" s="50"/>
      <c r="N65" s="54"/>
      <c r="O65" s="50"/>
      <c r="P65" s="38"/>
      <c r="Q65" s="51"/>
      <c r="R65" s="38"/>
      <c r="S65" s="27"/>
    </row>
    <row r="66" spans="1:19" s="28" customFormat="1" ht="12.75">
      <c r="A66" s="36">
        <v>38961</v>
      </c>
      <c r="B66" s="36" t="s">
        <v>24</v>
      </c>
      <c r="C66" s="52">
        <v>0</v>
      </c>
      <c r="D66" s="54"/>
      <c r="E66" s="52">
        <v>0</v>
      </c>
      <c r="F66" s="54"/>
      <c r="G66" s="50"/>
      <c r="H66" s="54"/>
      <c r="I66" s="50"/>
      <c r="J66" s="54"/>
      <c r="K66" s="50"/>
      <c r="L66" s="54"/>
      <c r="M66" s="50"/>
      <c r="N66" s="54"/>
      <c r="O66" s="50"/>
      <c r="P66" s="38"/>
      <c r="Q66" s="51"/>
      <c r="R66" s="38"/>
      <c r="S66" s="27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</sheetData>
  <sheetProtection/>
  <mergeCells count="8">
    <mergeCell ref="Q2:R2"/>
    <mergeCell ref="C2:D2"/>
    <mergeCell ref="E2:F2"/>
    <mergeCell ref="G2:H2"/>
    <mergeCell ref="I2:J2"/>
    <mergeCell ref="M2:N2"/>
    <mergeCell ref="O2:P2"/>
    <mergeCell ref="K2:L2"/>
  </mergeCells>
  <printOptions/>
  <pageMargins left="0.27" right="0.17" top="0.75" bottom="0.38" header="0.3" footer="0.18"/>
  <pageSetup fitToHeight="1" fitToWidth="1" horizontalDpi="600" verticalDpi="600" orientation="landscape" scale="60" r:id="rId1"/>
  <headerFooter>
    <oddHeader>&amp;C&amp;Z&amp;F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72"/>
  <sheetViews>
    <sheetView zoomScalePageLayoutView="0" workbookViewId="0" topLeftCell="A36">
      <selection activeCell="E53" sqref="E53"/>
    </sheetView>
  </sheetViews>
  <sheetFormatPr defaultColWidth="9.140625" defaultRowHeight="15"/>
  <cols>
    <col min="1" max="1" width="11.7109375" style="2" customWidth="1"/>
    <col min="2" max="2" width="14.28125" style="17" bestFit="1" customWidth="1"/>
    <col min="3" max="3" width="9.140625" style="2" customWidth="1"/>
    <col min="4" max="4" width="14.7109375" style="2" customWidth="1"/>
    <col min="5" max="16384" width="9.140625" style="2" customWidth="1"/>
  </cols>
  <sheetData>
    <row r="2" spans="1:3" ht="12.75">
      <c r="A2" s="39" t="s">
        <v>35</v>
      </c>
      <c r="B2" s="43" t="s">
        <v>36</v>
      </c>
      <c r="C2" s="39"/>
    </row>
    <row r="3" spans="1:4" ht="12.75">
      <c r="A3" s="7">
        <f>Worksheet!A4</f>
        <v>37316</v>
      </c>
      <c r="B3" s="17">
        <f>Residential!H2+'GS&lt;50'!H2+'GS&gt;50 Non TOU-GS&gt;50'!H2+'GS&gt;50 TOU-GS&gt;1000'!H2+Intermediate!H2+Sentinel!H2+Streetlights!H2</f>
        <v>61190.952169799995</v>
      </c>
      <c r="D3" s="33"/>
    </row>
    <row r="4" spans="1:4" ht="12.75">
      <c r="A4" s="7">
        <v>37347</v>
      </c>
      <c r="B4" s="17">
        <f>Residential!H3+'GS&lt;50'!H3+'GS&gt;50 Non TOU-GS&gt;50'!H3+'GS&gt;50 TOU-GS&gt;1000'!H3+Intermediate!H3+Sentinel!H3+Streetlights!H3</f>
        <v>35820.7292177</v>
      </c>
      <c r="D4" s="33"/>
    </row>
    <row r="5" spans="1:4" ht="12.75">
      <c r="A5" s="7">
        <v>37377</v>
      </c>
      <c r="B5" s="17">
        <f>Residential!H4+'GS&lt;50'!H4+'GS&gt;50 Non TOU-GS&gt;50'!H4+'GS&gt;50 TOU-GS&gt;1000'!H4+Intermediate!H4+Sentinel!H4+Streetlights!H4</f>
        <v>16216.078551199998</v>
      </c>
      <c r="D5" s="33"/>
    </row>
    <row r="6" spans="1:4" ht="12.75">
      <c r="A6" s="7">
        <v>37408</v>
      </c>
      <c r="B6" s="17">
        <f>Residential!H5+'GS&lt;50'!H5+'GS&gt;50 Non TOU-GS&gt;50'!H5+'GS&gt;50 TOU-GS&gt;1000'!H5+Intermediate!H5+Sentinel!H5+Streetlights!H5</f>
        <v>23988.234311100005</v>
      </c>
      <c r="D6" s="33"/>
    </row>
    <row r="7" spans="1:4" ht="12.75">
      <c r="A7" s="7">
        <v>37438</v>
      </c>
      <c r="B7" s="17">
        <f>Residential!H6+'GS&lt;50'!H6+'GS&gt;50 Non TOU-GS&gt;50'!H6+'GS&gt;50 TOU-GS&gt;1000'!H6+Intermediate!H6+Sentinel!H6+Streetlights!H6</f>
        <v>19418.904850099996</v>
      </c>
      <c r="D7" s="33"/>
    </row>
    <row r="8" spans="1:4" ht="12.75">
      <c r="A8" s="7">
        <v>37469</v>
      </c>
      <c r="B8" s="17">
        <f>Residential!H7+'GS&lt;50'!H7+'GS&gt;50 Non TOU-GS&gt;50'!H7+'GS&gt;50 TOU-GS&gt;1000'!H7+Intermediate!H7+Sentinel!H7+Streetlights!H7</f>
        <v>36686.537584800004</v>
      </c>
      <c r="D8" s="33"/>
    </row>
    <row r="9" spans="1:4" ht="12.75">
      <c r="A9" s="7">
        <v>37500</v>
      </c>
      <c r="B9" s="17">
        <f>Residential!H8+'GS&lt;50'!H8+'GS&gt;50 Non TOU-GS&gt;50'!H8+'GS&gt;50 TOU-GS&gt;1000'!H8+Intermediate!H8+Sentinel!H8+Streetlights!H8</f>
        <v>26081.0112276</v>
      </c>
      <c r="D9" s="33"/>
    </row>
    <row r="10" spans="1:4" ht="12.75">
      <c r="A10" s="7">
        <v>37530</v>
      </c>
      <c r="B10" s="17">
        <f>Residential!H9+'GS&lt;50'!H9+'GS&gt;50 Non TOU-GS&gt;50'!H9+'GS&gt;50 TOU-GS&gt;1000'!H9+Intermediate!H9+Sentinel!H9+Streetlights!H9</f>
        <v>26604.3331862</v>
      </c>
      <c r="D10" s="33"/>
    </row>
    <row r="11" spans="1:4" ht="12.75">
      <c r="A11" s="7">
        <v>37561</v>
      </c>
      <c r="B11" s="17">
        <f>Residential!H10+'GS&lt;50'!H10+'GS&gt;50 Non TOU-GS&gt;50'!H10+'GS&gt;50 TOU-GS&gt;1000'!H10+Intermediate!H10+Sentinel!H10+Streetlights!H10</f>
        <v>27260.2576831</v>
      </c>
      <c r="D11" s="33"/>
    </row>
    <row r="12" spans="1:4" ht="12.75">
      <c r="A12" s="7">
        <v>37591</v>
      </c>
      <c r="B12" s="17">
        <f>Residential!H11+'GS&lt;50'!H11+'GS&gt;50 Non TOU-GS&gt;50'!H11+'GS&gt;50 TOU-GS&gt;1000'!H11+Intermediate!H11+Sentinel!H11+Streetlights!H11</f>
        <v>61454.78368500001</v>
      </c>
      <c r="D12" s="33"/>
    </row>
    <row r="13" spans="1:4" ht="12.75">
      <c r="A13" s="7">
        <v>37622</v>
      </c>
      <c r="B13" s="17">
        <f>Residential!H15+'GS&lt;50'!H15+'GS&gt;50 Non TOU-GS&gt;50'!H15+'GS&gt;50 TOU-GS&gt;1000'!H15+Intermediate!H15+Sentinel!H15+Streetlights!H15</f>
        <v>-645.6795595999997</v>
      </c>
      <c r="D13" s="33"/>
    </row>
    <row r="14" spans="1:4" ht="12.75">
      <c r="A14" s="7">
        <v>37653</v>
      </c>
      <c r="B14" s="17">
        <f>Residential!H16+'GS&lt;50'!H16+'GS&gt;50 Non TOU-GS&gt;50'!H16+'GS&gt;50 TOU-GS&gt;1000'!H16+Intermediate!H16+Sentinel!H16+Streetlights!H16</f>
        <v>29739.197157700004</v>
      </c>
      <c r="D14" s="33"/>
    </row>
    <row r="15" spans="1:4" ht="12.75">
      <c r="A15" s="7">
        <v>37681</v>
      </c>
      <c r="B15" s="17">
        <f>Residential!H17+'GS&lt;50'!H17+'GS&gt;50 Non TOU-GS&gt;50'!H17+'GS&gt;50 TOU-GS&gt;1000'!H17+Intermediate!H17+Sentinel!H17+Streetlights!H17</f>
        <v>29599.601805800005</v>
      </c>
      <c r="D15" s="33"/>
    </row>
    <row r="16" spans="1:4" ht="12.75">
      <c r="A16" s="7">
        <v>37712</v>
      </c>
      <c r="B16" s="17">
        <f>Residential!H18+'GS&lt;50'!H18+'GS&gt;50 Non TOU-GS&gt;50'!H18+'GS&gt;50 TOU-GS&gt;1000'!H18+Intermediate!H18+Sentinel!H18+Streetlights!H18</f>
        <v>22338.245539599997</v>
      </c>
      <c r="D16" s="33"/>
    </row>
    <row r="17" spans="1:4" ht="12.75">
      <c r="A17" s="7">
        <v>37742</v>
      </c>
      <c r="B17" s="17">
        <f>Residential!H19+'GS&lt;50'!H19+'GS&gt;50 Non TOU-GS&gt;50'!H19+'GS&gt;50 TOU-GS&gt;1000'!H19+Intermediate!H19+Sentinel!H19+Streetlights!H19</f>
        <v>33731.36975799999</v>
      </c>
      <c r="D17" s="33"/>
    </row>
    <row r="18" spans="1:4" ht="12.75">
      <c r="A18" s="7">
        <v>37773</v>
      </c>
      <c r="B18" s="17">
        <f>Residential!H20+'GS&lt;50'!H20+'GS&gt;50 Non TOU-GS&gt;50'!H20+'GS&gt;50 TOU-GS&gt;1000'!H20+Intermediate!H20+Sentinel!H20+Streetlights!H20</f>
        <v>22876.053809600002</v>
      </c>
      <c r="D18" s="33"/>
    </row>
    <row r="19" spans="1:4" ht="12.75">
      <c r="A19" s="7">
        <v>37803</v>
      </c>
      <c r="B19" s="17">
        <f>Residential!H21+'GS&lt;50'!H21+'GS&gt;50 Non TOU-GS&gt;50'!H21+'GS&gt;50 TOU-GS&gt;1000'!H21+Intermediate!H21+Sentinel!H21+Streetlights!H21</f>
        <v>26789.264595000004</v>
      </c>
      <c r="D19" s="33"/>
    </row>
    <row r="20" spans="1:4" ht="12.75">
      <c r="A20" s="7">
        <v>37834</v>
      </c>
      <c r="B20" s="17">
        <f>Residential!H22+'GS&lt;50'!H22+'GS&gt;50 Non TOU-GS&gt;50'!H22+'GS&gt;50 TOU-GS&gt;1000'!H22+Intermediate!H22+Sentinel!H22+Streetlights!H22</f>
        <v>25969.5346154</v>
      </c>
      <c r="D20" s="33"/>
    </row>
    <row r="21" spans="1:4" ht="12.75">
      <c r="A21" s="7">
        <v>37865</v>
      </c>
      <c r="B21" s="17">
        <f>Residential!H23+'GS&lt;50'!H23+'GS&gt;50 Non TOU-GS&gt;50'!H23+'GS&gt;50 TOU-GS&gt;1000'!H23+Intermediate!H23+Sentinel!H23+Streetlights!H23</f>
        <v>29374.0823025</v>
      </c>
      <c r="D21" s="33"/>
    </row>
    <row r="22" spans="1:4" ht="12.75">
      <c r="A22" s="7">
        <v>37895</v>
      </c>
      <c r="B22" s="17">
        <f>Residential!H24+'GS&lt;50'!H24+'GS&gt;50 Non TOU-GS&gt;50'!H24+'GS&gt;50 TOU-GS&gt;1000'!H24+Intermediate!H24+Sentinel!H24+Streetlights!H24</f>
        <v>21694.6467629</v>
      </c>
      <c r="D22" s="33"/>
    </row>
    <row r="23" spans="1:4" ht="12.75">
      <c r="A23" s="7">
        <v>37926</v>
      </c>
      <c r="B23" s="17">
        <f>Residential!H25+'GS&lt;50'!H25+'GS&gt;50 Non TOU-GS&gt;50'!H25+'GS&gt;50 TOU-GS&gt;1000'!H25+Intermediate!H25+Sentinel!H25+Streetlights!H25</f>
        <v>25067.028624000002</v>
      </c>
      <c r="D23" s="33"/>
    </row>
    <row r="24" spans="1:4" ht="12.75">
      <c r="A24" s="7">
        <v>37956</v>
      </c>
      <c r="B24" s="17">
        <f>Residential!H26+'GS&lt;50'!H26+'GS&gt;50 Non TOU-GS&gt;50'!H26+'GS&gt;50 TOU-GS&gt;1000'!H26+Intermediate!H26+Sentinel!H26+Streetlights!H26</f>
        <v>66701.7105908</v>
      </c>
      <c r="D24" s="33"/>
    </row>
    <row r="25" spans="1:4" ht="12.75">
      <c r="A25" s="7">
        <v>37987</v>
      </c>
      <c r="B25" s="17">
        <f>Residential!H30+'GS&lt;50'!H30+'GS&gt;50 Non TOU-GS&gt;50'!H30+'GS&gt;50 TOU-GS&gt;1000'!H30+Intermediate!H30+Sentinel!H30+Streetlights!H30</f>
        <v>-14189.32131</v>
      </c>
      <c r="D25" s="33"/>
    </row>
    <row r="26" spans="1:4" ht="12.75">
      <c r="A26" s="7">
        <v>38018</v>
      </c>
      <c r="B26" s="17">
        <f>Residential!H31+'GS&lt;50'!H31+'GS&gt;50 Non TOU-GS&gt;50'!H31+'GS&gt;50 TOU-GS&gt;1000'!H31+Intermediate!H31+Sentinel!H31+Streetlights!H31</f>
        <v>37385.17422</v>
      </c>
      <c r="D26" s="33"/>
    </row>
    <row r="27" spans="1:4" ht="12.75">
      <c r="A27" s="7">
        <v>38047</v>
      </c>
      <c r="B27" s="17">
        <f>Residential!H32+'GS&lt;50'!H32+'GS&gt;50 Non TOU-GS&gt;50'!H32+'GS&gt;50 TOU-GS&gt;1000'!H32+Intermediate!H32+Sentinel!H32+Streetlights!H32</f>
        <v>33951.7429361</v>
      </c>
      <c r="D27" s="33"/>
    </row>
    <row r="28" spans="1:4" ht="12.75">
      <c r="A28" s="7">
        <v>38078</v>
      </c>
      <c r="B28" s="17">
        <f>Residential!H33+'GS&lt;50'!H33+'GS&gt;50 Non TOU-GS&gt;50'!H33+'GS&gt;50 TOU-GS&gt;1000'!H33+Intermediate!H33+Sentinel!H33+Streetlights!H33</f>
        <v>23081.910258499996</v>
      </c>
      <c r="D28" s="33"/>
    </row>
    <row r="29" spans="1:4" ht="12.75">
      <c r="A29" s="7">
        <v>38078</v>
      </c>
      <c r="B29" s="17">
        <f>Residential!H34+'GS&lt;50'!H34+'GS&gt;50 Non TOU-GS&gt;50'!H34+'GS&gt;50 TOU-GS&gt;1000'!H34+Intermediate!H34+Sentinel!H34+Streetlights!H34</f>
        <v>2903.0510179999997</v>
      </c>
      <c r="D29" s="33"/>
    </row>
    <row r="30" spans="1:4" ht="12.75">
      <c r="A30" s="7">
        <v>38108</v>
      </c>
      <c r="B30" s="17">
        <f>Residential!H35+'GS&lt;50'!H35+'GS&gt;50 Non TOU-GS&gt;50'!H35+'GS&gt;50 TOU-GS&gt;1000'!H35+Intermediate!H35+Sentinel!H35+Streetlights!H35</f>
        <v>4653.377806</v>
      </c>
      <c r="D30" s="33"/>
    </row>
    <row r="31" spans="1:4" ht="12.75">
      <c r="A31" s="7">
        <v>38108</v>
      </c>
      <c r="B31" s="17">
        <f>Residential!H36+'GS&lt;50'!H36+'GS&gt;50 Non TOU-GS&gt;50'!H36+'GS&gt;50 TOU-GS&gt;1000'!H36+Intermediate!H36+Sentinel!H36+Streetlights!H36</f>
        <v>16911.562226</v>
      </c>
      <c r="D31" s="33"/>
    </row>
    <row r="32" spans="1:4" ht="12.75">
      <c r="A32" s="7">
        <v>38139</v>
      </c>
      <c r="B32" s="17">
        <f>Residential!H37+'GS&lt;50'!H37+'GS&gt;50 Non TOU-GS&gt;50'!H37+'GS&gt;50 TOU-GS&gt;1000'!H37+Intermediate!H37+Sentinel!H37+Streetlights!H37</f>
        <v>-48.90504</v>
      </c>
      <c r="D32" s="33"/>
    </row>
    <row r="33" spans="1:4" ht="12.75">
      <c r="A33" s="7">
        <v>38139</v>
      </c>
      <c r="B33" s="17">
        <f>Residential!H38+'GS&lt;50'!H38+'GS&gt;50 Non TOU-GS&gt;50'!H38+'GS&gt;50 TOU-GS&gt;1000'!H38+Intermediate!H38+Sentinel!H38+Streetlights!H38</f>
        <v>23395.596803000004</v>
      </c>
      <c r="D33" s="33"/>
    </row>
    <row r="34" spans="1:4" ht="12.75">
      <c r="A34" s="7">
        <v>38169</v>
      </c>
      <c r="B34" s="17">
        <f>Residential!H39+'GS&lt;50'!H39+'GS&gt;50 Non TOU-GS&gt;50'!H39+'GS&gt;50 TOU-GS&gt;1000'!H39+Intermediate!H39+Sentinel!H39+Streetlights!H39</f>
        <v>15900.930960000002</v>
      </c>
      <c r="D34" s="33"/>
    </row>
    <row r="35" spans="1:4" ht="12.75">
      <c r="A35" s="7">
        <v>38200</v>
      </c>
      <c r="B35" s="17">
        <f>Residential!H40+'GS&lt;50'!H40+'GS&gt;50 Non TOU-GS&gt;50'!H40+'GS&gt;50 TOU-GS&gt;1000'!H40+Intermediate!H40+Sentinel!H40+Streetlights!H40</f>
        <v>0</v>
      </c>
      <c r="D35" s="33"/>
    </row>
    <row r="36" spans="1:4" ht="12.75">
      <c r="A36" s="7">
        <v>38200</v>
      </c>
      <c r="B36" s="17">
        <f>Residential!H41+'GS&lt;50'!H41+'GS&gt;50 Non TOU-GS&gt;50'!H41+'GS&gt;50 TOU-GS&gt;1000'!H41+Intermediate!H41+Sentinel!H41+Streetlights!H41</f>
        <v>27398.934442999995</v>
      </c>
      <c r="D36" s="33"/>
    </row>
    <row r="37" spans="1:4" ht="12.75">
      <c r="A37" s="7">
        <v>38231</v>
      </c>
      <c r="B37" s="17">
        <f>Residential!H42+'GS&lt;50'!H42+'GS&gt;50 Non TOU-GS&gt;50'!H42+'GS&gt;50 TOU-GS&gt;1000'!H42+Intermediate!H42+Sentinel!H42+Streetlights!H42</f>
        <v>19770.785264</v>
      </c>
      <c r="D37" s="33"/>
    </row>
    <row r="38" spans="1:4" ht="12.75">
      <c r="A38" s="7">
        <v>38261</v>
      </c>
      <c r="B38" s="17">
        <f>Residential!H43+'GS&lt;50'!H43+'GS&gt;50 Non TOU-GS&gt;50'!H43+'GS&gt;50 TOU-GS&gt;1000'!H43+Intermediate!H43+Sentinel!H43+Streetlights!H43</f>
        <v>16479.64491</v>
      </c>
      <c r="D38" s="33"/>
    </row>
    <row r="39" spans="1:4" ht="12.75">
      <c r="A39" s="7">
        <v>38292</v>
      </c>
      <c r="B39" s="17">
        <f>Residential!H44+'GS&lt;50'!H44+'GS&gt;50 Non TOU-GS&gt;50'!H44+'GS&gt;50 TOU-GS&gt;1000'!H44+Intermediate!H44+Sentinel!H44+Streetlights!H44</f>
        <v>24488.791743000005</v>
      </c>
      <c r="D39" s="33"/>
    </row>
    <row r="40" spans="1:4" ht="12.75">
      <c r="A40" s="7">
        <v>38322</v>
      </c>
      <c r="B40" s="17">
        <f>Residential!H45+'GS&lt;50'!H45+'GS&gt;50 Non TOU-GS&gt;50'!H45+'GS&gt;50 TOU-GS&gt;1000'!H45+Intermediate!H45+Sentinel!H45+Streetlights!H45</f>
        <v>45675.78767599999</v>
      </c>
      <c r="D40" s="33"/>
    </row>
    <row r="41" spans="1:4" ht="12.75">
      <c r="A41" s="7">
        <v>38353</v>
      </c>
      <c r="B41" s="17">
        <f>Residential!H49+'GS&lt;50'!H49+'GS&gt;50 Non TOU-GS&gt;50'!H49+'GS&gt;50 TOU-GS&gt;1000'!H49+Intermediate!H49+Sentinel!H49+Streetlights!H49</f>
        <v>-3987.531803</v>
      </c>
      <c r="D41" s="33"/>
    </row>
    <row r="42" spans="1:4" ht="12.75">
      <c r="A42" s="7">
        <v>38384</v>
      </c>
      <c r="B42" s="17">
        <f>Residential!H50+'GS&lt;50'!H50+'GS&gt;50 Non TOU-GS&gt;50'!H50+'GS&gt;50 TOU-GS&gt;1000'!H50+Intermediate!H50+Sentinel!H50+Streetlights!H50</f>
        <v>28202.786786999997</v>
      </c>
      <c r="D42" s="33"/>
    </row>
    <row r="43" spans="1:4" ht="12.75">
      <c r="A43" s="7">
        <v>38412</v>
      </c>
      <c r="B43" s="17">
        <f>Residential!H51+'GS&lt;50'!H51+'GS&gt;50 Non TOU-GS&gt;50'!H51+'GS&gt;50 TOU-GS&gt;1000'!H51+Intermediate!H51+Sentinel!H51+Streetlights!H51</f>
        <v>27464.841815</v>
      </c>
      <c r="D43" s="33"/>
    </row>
    <row r="44" spans="1:4" ht="12.75">
      <c r="A44" s="7">
        <v>38443</v>
      </c>
      <c r="B44" s="17">
        <f>Residential!H52+'GS&lt;50'!H52+'GS&gt;50 Non TOU-GS&gt;50'!H52+'GS&gt;50 TOU-GS&gt;1000'!H52+Intermediate!H52+Sentinel!H52+Streetlights!H52</f>
        <v>18974.825537999997</v>
      </c>
      <c r="D44" s="33"/>
    </row>
    <row r="45" spans="1:4" ht="12.75">
      <c r="A45" s="7">
        <v>38443</v>
      </c>
      <c r="B45" s="17">
        <f>Residential!H53+'GS&lt;50'!H53+'GS&gt;50 Non TOU-GS&gt;50'!H53+'GS&gt;50 TOU-GS&gt;1000'!H53+Intermediate!H53+Sentinel!H53+Streetlights!H53</f>
        <v>1564.0689770000001</v>
      </c>
      <c r="D45" s="33"/>
    </row>
    <row r="46" spans="1:4" ht="12.75">
      <c r="A46" s="7">
        <v>38473</v>
      </c>
      <c r="B46" s="17">
        <f>Residential!H54+'GS&lt;50'!H54+'GS&gt;50 Non TOU-GS&gt;50'!H54+'GS&gt;50 TOU-GS&gt;1000'!H54+Intermediate!H54+Sentinel!H54+Streetlights!H54</f>
        <v>4741.706722999999</v>
      </c>
      <c r="D46" s="33"/>
    </row>
    <row r="47" spans="1:4" ht="12.75">
      <c r="A47" s="7">
        <v>38473</v>
      </c>
      <c r="B47" s="17">
        <f>Residential!H55+'GS&lt;50'!H55+'GS&gt;50 Non TOU-GS&gt;50'!H55+'GS&gt;50 TOU-GS&gt;1000'!H55+Intermediate!H55+Sentinel!H55+Streetlights!H55</f>
        <v>12443.621835</v>
      </c>
      <c r="D47" s="33"/>
    </row>
    <row r="48" spans="1:4" ht="12.75">
      <c r="A48" s="7">
        <v>38504</v>
      </c>
      <c r="B48" s="17">
        <f>Residential!H56+'GS&lt;50'!H56+'GS&gt;50 Non TOU-GS&gt;50'!H56+'GS&gt;50 TOU-GS&gt;1000'!H56+Intermediate!H56+Sentinel!H56+Streetlights!H56</f>
        <v>0</v>
      </c>
      <c r="D48" s="33"/>
    </row>
    <row r="49" spans="1:4" ht="12.75">
      <c r="A49" s="7">
        <v>38504</v>
      </c>
      <c r="B49" s="17">
        <f>Residential!H57+'GS&lt;50'!H57+'GS&gt;50 Non TOU-GS&gt;50'!H57+'GS&gt;50 TOU-GS&gt;1000'!H57+Intermediate!H57+Sentinel!H57+Streetlights!H57</f>
        <v>17406.603045</v>
      </c>
      <c r="D49" s="33"/>
    </row>
    <row r="50" spans="1:4" ht="12.75">
      <c r="A50" s="7">
        <v>38534</v>
      </c>
      <c r="B50" s="17">
        <f>Residential!H58+'GS&lt;50'!H58+'GS&gt;50 Non TOU-GS&gt;50'!H58+'GS&gt;50 TOU-GS&gt;1000'!H58+Intermediate!H58+Sentinel!H58+Streetlights!H58</f>
        <v>13123.288739999998</v>
      </c>
      <c r="D50" s="33"/>
    </row>
    <row r="51" spans="1:4" ht="12.75">
      <c r="A51" s="7">
        <v>38565</v>
      </c>
      <c r="B51" s="17">
        <f>Residential!H59+'GS&lt;50'!H59+'GS&gt;50 Non TOU-GS&gt;50'!H59+'GS&gt;50 TOU-GS&gt;1000'!H59+Intermediate!H59+Sentinel!H59+Streetlights!H59</f>
        <v>0</v>
      </c>
      <c r="D51" s="33"/>
    </row>
    <row r="52" spans="1:4" ht="12.75">
      <c r="A52" s="7">
        <v>38565</v>
      </c>
      <c r="B52" s="17">
        <f>Residential!H60+'GS&lt;50'!H60+'GS&gt;50 Non TOU-GS&gt;50'!H60+'GS&gt;50 TOU-GS&gt;1000'!H60+Intermediate!H60+Sentinel!H60+Streetlights!H60</f>
        <v>23394.565801999997</v>
      </c>
      <c r="D52" s="33"/>
    </row>
    <row r="53" spans="1:4" ht="12.75">
      <c r="A53" s="7">
        <v>38596</v>
      </c>
      <c r="B53" s="17">
        <f>Residential!H61+'GS&lt;50'!H61+'GS&gt;50 Non TOU-GS&gt;50'!H61+'GS&gt;50 TOU-GS&gt;1000'!H61+Intermediate!H61+Sentinel!H61+Streetlights!H61</f>
        <v>15339.260085000002</v>
      </c>
      <c r="D53" s="33"/>
    </row>
    <row r="54" spans="1:4" ht="12.75">
      <c r="A54" s="7">
        <v>38626</v>
      </c>
      <c r="B54" s="17">
        <f>Residential!H62+'GS&lt;50'!H62+'GS&gt;50 Non TOU-GS&gt;50'!H62+'GS&gt;50 TOU-GS&gt;1000'!H62+Intermediate!H62+Sentinel!H62+Streetlights!H62</f>
        <v>14413.482522000002</v>
      </c>
      <c r="D54" s="33"/>
    </row>
    <row r="55" spans="1:4" ht="12.75">
      <c r="A55" s="7">
        <v>38657</v>
      </c>
      <c r="B55" s="17">
        <f>Residential!H63+'GS&lt;50'!H63+'GS&gt;50 Non TOU-GS&gt;50'!H63+'GS&gt;50 TOU-GS&gt;1000'!H63+Intermediate!H63+Sentinel!H63+Streetlights!H63</f>
        <v>16722.084068999997</v>
      </c>
      <c r="D55" s="33"/>
    </row>
    <row r="56" spans="1:4" ht="12.75">
      <c r="A56" s="7">
        <v>38687</v>
      </c>
      <c r="B56" s="17">
        <f>Residential!H64+'GS&lt;50'!H64+'GS&gt;50 Non TOU-GS&gt;50'!H64+'GS&gt;50 TOU-GS&gt;1000'!H64+Intermediate!H64+Sentinel!H64+Streetlights!H64</f>
        <v>34545.20631</v>
      </c>
      <c r="D56" s="33"/>
    </row>
    <row r="57" spans="1:4" ht="12.75">
      <c r="A57" s="7">
        <v>38718</v>
      </c>
      <c r="B57" s="17">
        <f>Residential!H68+'GS&lt;50'!H68+'GS&gt;50 Non TOU-GS&gt;50'!H68+'GS&gt;50 TOU-GS&gt;1000'!H68+Intermediate!H68+Sentinel!H68+Streetlights!H68</f>
        <v>-3526.3447520000004</v>
      </c>
      <c r="D57" s="33"/>
    </row>
    <row r="58" spans="1:2" ht="12.75">
      <c r="A58" s="7">
        <v>38749</v>
      </c>
      <c r="B58" s="17">
        <f>Residential!H69+'GS&lt;50'!H69+'GS&gt;50 Non TOU-GS&gt;50'!H69+'GS&gt;50 TOU-GS&gt;1000'!H69+Intermediate!H69+Sentinel!H69+Streetlights!H69</f>
        <v>21599.216964000003</v>
      </c>
    </row>
    <row r="59" spans="1:4" ht="12.75">
      <c r="A59" s="7">
        <v>38777</v>
      </c>
      <c r="B59" s="17">
        <f>Residential!H70+'GS&lt;50'!H70+'GS&gt;50 Non TOU-GS&gt;50'!H70+'GS&gt;50 TOU-GS&gt;1000'!H70+Intermediate!H70+Sentinel!H70+Streetlights!H70</f>
        <v>19195.398901999997</v>
      </c>
      <c r="D59" s="33"/>
    </row>
    <row r="60" spans="1:2" ht="12.75">
      <c r="A60" s="7">
        <v>38808</v>
      </c>
      <c r="B60" s="17">
        <f>Residential!H71+'GS&lt;50'!H71+'GS&gt;50 Non TOU-GS&gt;50'!H71+'GS&gt;50 TOU-GS&gt;1000'!H71+Intermediate!H71+Sentinel!H71+Streetlights!H71</f>
        <v>13209.661341</v>
      </c>
    </row>
    <row r="61" spans="1:2" ht="12.75">
      <c r="A61" s="7">
        <v>38838</v>
      </c>
      <c r="B61" s="17">
        <f>Residential!H72+'GS&lt;50'!H72+'GS&gt;50 Non TOU-GS&gt;50'!H72+'GS&gt;50 TOU-GS&gt;1000'!H72+Intermediate!H72+Sentinel!H72+Streetlights!H72</f>
        <v>17091.200576999996</v>
      </c>
    </row>
    <row r="62" spans="1:2" ht="12.75">
      <c r="A62" s="7">
        <v>38869</v>
      </c>
      <c r="B62" s="17">
        <f>Residential!H73+'GS&lt;50'!H73+'GS&gt;50 Non TOU-GS&gt;50'!H73+'GS&gt;50 TOU-GS&gt;1000'!H73+Intermediate!H73+Sentinel!H73+Streetlights!H73</f>
        <v>687.6290140000001</v>
      </c>
    </row>
    <row r="63" spans="1:2" ht="12.75">
      <c r="A63" s="7">
        <v>38899</v>
      </c>
      <c r="B63" s="17">
        <f>Residential!H74+'GS&lt;50'!H74+'GS&gt;50 Non TOU-GS&gt;50'!H74+'GS&gt;50 TOU-GS&gt;1000'!H74+Intermediate!H74+Sentinel!H74+Streetlights!H74</f>
        <v>0</v>
      </c>
    </row>
    <row r="64" spans="1:2" ht="12.75">
      <c r="A64" s="7">
        <v>38930</v>
      </c>
      <c r="B64" s="17">
        <f>Residential!H75+'GS&lt;50'!H75+'GS&gt;50 Non TOU-GS&gt;50'!H75+'GS&gt;50 TOU-GS&gt;1000'!H75+Intermediate!H75+Sentinel!H75+Streetlights!H75</f>
        <v>0</v>
      </c>
    </row>
    <row r="65" spans="1:2" ht="12.75">
      <c r="A65" s="7">
        <v>38961</v>
      </c>
      <c r="B65" s="17">
        <f>Residential!H76+'GS&lt;50'!H76+'GS&gt;50 Non TOU-GS&gt;50'!H76+'GS&gt;50 TOU-GS&gt;1000'!H76+Intermediate!H76+Sentinel!H76+Streetlights!H76</f>
        <v>0</v>
      </c>
    </row>
    <row r="66" ht="12.75">
      <c r="A66" s="7"/>
    </row>
    <row r="67" spans="1:2" ht="13.5" thickBot="1">
      <c r="A67" s="7"/>
      <c r="B67" s="29">
        <f>SUM(B3:B65)</f>
        <v>1238321.5148729004</v>
      </c>
    </row>
    <row r="68" ht="13.5" thickTop="1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7109375" style="2" customWidth="1"/>
    <col min="2" max="2" width="29.8515625" style="2" bestFit="1" customWidth="1"/>
    <col min="3" max="3" width="15.421875" style="8" bestFit="1" customWidth="1"/>
    <col min="4" max="4" width="15.57421875" style="8" bestFit="1" customWidth="1"/>
    <col min="5" max="5" width="15.7109375" style="9" customWidth="1"/>
    <col min="6" max="7" width="11.28125" style="10" customWidth="1"/>
    <col min="8" max="8" width="15.28125" style="11" customWidth="1"/>
    <col min="9" max="16384" width="9.140625" style="2" customWidth="1"/>
  </cols>
  <sheetData>
    <row r="1" spans="1:8" ht="36" customHeight="1">
      <c r="A1" s="1" t="str">
        <f>Worksheet!A3</f>
        <v>Date</v>
      </c>
      <c r="B1" s="1" t="str">
        <f>Worksheet!B3</f>
        <v>Description</v>
      </c>
      <c r="C1" s="3" t="s">
        <v>1</v>
      </c>
      <c r="D1" s="3" t="s">
        <v>4</v>
      </c>
      <c r="E1" s="4" t="s">
        <v>3</v>
      </c>
      <c r="F1" s="5" t="s">
        <v>5</v>
      </c>
      <c r="G1" s="4" t="s">
        <v>3</v>
      </c>
      <c r="H1" s="6" t="s">
        <v>0</v>
      </c>
    </row>
    <row r="2" spans="1:8" ht="12.75">
      <c r="A2" s="7">
        <f>Worksheet!A4</f>
        <v>37316</v>
      </c>
      <c r="B2" s="2" t="str">
        <f>Worksheet!B4</f>
        <v>Post Mar1/02 cons only @ new rate</v>
      </c>
      <c r="C2" s="8">
        <f>SUM(Worksheet!C4)</f>
        <v>8116462</v>
      </c>
      <c r="D2" s="8">
        <f>SUM(Worksheet!D4)</f>
        <v>0</v>
      </c>
      <c r="E2" s="9">
        <f>'PILS Rates'!$B$5</f>
        <v>0.00459</v>
      </c>
      <c r="F2" s="10">
        <f>'PILS Rates'!$C$5</f>
        <v>0</v>
      </c>
      <c r="H2" s="11">
        <f aca="true" t="shared" si="0" ref="H2:H11">(C2*E2)+(D2*F2)+(C2*G2)</f>
        <v>37254.560580000005</v>
      </c>
    </row>
    <row r="3" spans="1:8" ht="12.75">
      <c r="A3" s="7">
        <f>Worksheet!A5</f>
        <v>37347</v>
      </c>
      <c r="B3" s="2" t="str">
        <f>Worksheet!B5</f>
        <v>Post Mar1/02 cons only @ new rate</v>
      </c>
      <c r="C3" s="8">
        <f>SUM(Worksheet!C5)</f>
        <v>4158297</v>
      </c>
      <c r="D3" s="8">
        <f>SUM(Worksheet!D5)</f>
        <v>0</v>
      </c>
      <c r="E3" s="9">
        <f>'PILS Rates'!$B$5</f>
        <v>0.00459</v>
      </c>
      <c r="F3" s="10">
        <f>'PILS Rates'!$C$5</f>
        <v>0</v>
      </c>
      <c r="H3" s="11">
        <f t="shared" si="0"/>
        <v>19086.58323</v>
      </c>
    </row>
    <row r="4" spans="1:8" ht="12.75">
      <c r="A4" s="7">
        <f>Worksheet!A6</f>
        <v>37377</v>
      </c>
      <c r="B4" s="2" t="str">
        <f>Worksheet!B6</f>
        <v>Post Mar1/02 cons only @ new rate</v>
      </c>
      <c r="C4" s="8">
        <f>SUM(Worksheet!C6)</f>
        <v>2295786</v>
      </c>
      <c r="D4" s="8">
        <f>SUM(Worksheet!D6)</f>
        <v>0</v>
      </c>
      <c r="E4" s="9">
        <f>'PILS Rates'!$B$5</f>
        <v>0.00459</v>
      </c>
      <c r="F4" s="10">
        <f>'PILS Rates'!$C$5</f>
        <v>0</v>
      </c>
      <c r="H4" s="11">
        <f t="shared" si="0"/>
        <v>10537.65774</v>
      </c>
    </row>
    <row r="5" spans="1:8" ht="12.75">
      <c r="A5" s="7">
        <f>Worksheet!A7</f>
        <v>37408</v>
      </c>
      <c r="B5" s="2" t="str">
        <f>Worksheet!B7</f>
        <v>Post Mar1/02 cons only @ new rate</v>
      </c>
      <c r="C5" s="8">
        <f>SUM(Worksheet!C7)</f>
        <v>2930540</v>
      </c>
      <c r="D5" s="8">
        <f>SUM(Worksheet!D7)</f>
        <v>0</v>
      </c>
      <c r="E5" s="9">
        <f>'PILS Rates'!$B$5</f>
        <v>0.00459</v>
      </c>
      <c r="F5" s="10">
        <f>'PILS Rates'!$C$5</f>
        <v>0</v>
      </c>
      <c r="H5" s="11">
        <f t="shared" si="0"/>
        <v>13451.178600000001</v>
      </c>
    </row>
    <row r="6" spans="1:8" ht="12.75">
      <c r="A6" s="7">
        <f>Worksheet!A8</f>
        <v>37438</v>
      </c>
      <c r="B6" s="2" t="str">
        <f>Worksheet!B8</f>
        <v>Post Mar1/02 cons only @ new rate</v>
      </c>
      <c r="C6" s="8">
        <f>SUM(Worksheet!C8)</f>
        <v>2357191</v>
      </c>
      <c r="D6" s="8">
        <f>SUM(Worksheet!D8)</f>
        <v>0</v>
      </c>
      <c r="E6" s="9">
        <f>'PILS Rates'!$B$5</f>
        <v>0.00459</v>
      </c>
      <c r="F6" s="10">
        <f>'PILS Rates'!$C$5</f>
        <v>0</v>
      </c>
      <c r="H6" s="11">
        <f t="shared" si="0"/>
        <v>10819.50669</v>
      </c>
    </row>
    <row r="7" spans="1:8" ht="12.75">
      <c r="A7" s="7">
        <f>Worksheet!A9</f>
        <v>37469</v>
      </c>
      <c r="B7" s="2" t="str">
        <f>Worksheet!B9</f>
        <v>All consumption from Stats</v>
      </c>
      <c r="C7" s="8">
        <f>SUM(Worksheet!C9)</f>
        <v>4910539</v>
      </c>
      <c r="D7" s="8">
        <f>SUM(Worksheet!D9)</f>
        <v>0</v>
      </c>
      <c r="E7" s="9">
        <f>'PILS Rates'!$B$5</f>
        <v>0.00459</v>
      </c>
      <c r="F7" s="10">
        <f>'PILS Rates'!$C$5</f>
        <v>0</v>
      </c>
      <c r="H7" s="11">
        <f t="shared" si="0"/>
        <v>22539.374010000003</v>
      </c>
    </row>
    <row r="8" spans="1:8" ht="12.75">
      <c r="A8" s="7">
        <f>Worksheet!A10</f>
        <v>37500</v>
      </c>
      <c r="B8" s="2" t="str">
        <f>Worksheet!B10</f>
        <v>Post Mar1/02 cons only @ new rate</v>
      </c>
      <c r="C8" s="8">
        <f>SUM(Worksheet!C10)</f>
        <v>3279924</v>
      </c>
      <c r="D8" s="8">
        <f>SUM(Worksheet!D10)</f>
        <v>0</v>
      </c>
      <c r="E8" s="9">
        <f>'PILS Rates'!$B$5</f>
        <v>0.00459</v>
      </c>
      <c r="F8" s="10">
        <f>'PILS Rates'!$C$5</f>
        <v>0</v>
      </c>
      <c r="H8" s="11">
        <f t="shared" si="0"/>
        <v>15054.851160000002</v>
      </c>
    </row>
    <row r="9" spans="1:8" ht="12.75">
      <c r="A9" s="7">
        <f>Worksheet!A11</f>
        <v>37530</v>
      </c>
      <c r="B9" s="2" t="str">
        <f>Worksheet!B11</f>
        <v>Post Mar1/02 cons only @ new rate</v>
      </c>
      <c r="C9" s="8">
        <f>SUM(Worksheet!C11)</f>
        <v>3310702</v>
      </c>
      <c r="D9" s="8">
        <f>SUM(Worksheet!D11)</f>
        <v>0</v>
      </c>
      <c r="E9" s="9">
        <f>'PILS Rates'!$B$5</f>
        <v>0.00459</v>
      </c>
      <c r="F9" s="10">
        <f>'PILS Rates'!$C$5</f>
        <v>0</v>
      </c>
      <c r="H9" s="11">
        <f t="shared" si="0"/>
        <v>15196.12218</v>
      </c>
    </row>
    <row r="10" spans="1:8" ht="12.75">
      <c r="A10" s="7">
        <f>Worksheet!A12</f>
        <v>37561</v>
      </c>
      <c r="B10" s="2" t="str">
        <f>Worksheet!B12</f>
        <v>All consumption from Stats</v>
      </c>
      <c r="C10" s="8">
        <f>SUM(Worksheet!C12)</f>
        <v>3428769</v>
      </c>
      <c r="D10" s="8">
        <f>SUM(Worksheet!D12)</f>
        <v>0</v>
      </c>
      <c r="E10" s="9">
        <f>'PILS Rates'!$B$5</f>
        <v>0.00459</v>
      </c>
      <c r="F10" s="10">
        <f>'PILS Rates'!$C$5</f>
        <v>0</v>
      </c>
      <c r="H10" s="11">
        <f t="shared" si="0"/>
        <v>15738.049710000001</v>
      </c>
    </row>
    <row r="11" spans="1:8" ht="12.75">
      <c r="A11" s="7">
        <f>Worksheet!A13</f>
        <v>37591</v>
      </c>
      <c r="B11" s="2" t="str">
        <f>Worksheet!B13</f>
        <v>All consumption from Stats</v>
      </c>
      <c r="C11" s="8">
        <f>SUM(Worksheet!C13)</f>
        <v>8338195</v>
      </c>
      <c r="D11" s="8">
        <f>SUM(Worksheet!D13)</f>
        <v>0</v>
      </c>
      <c r="E11" s="9">
        <f>'PILS Rates'!$B$5</f>
        <v>0.00459</v>
      </c>
      <c r="F11" s="10">
        <f>'PILS Rates'!$C$5</f>
        <v>0</v>
      </c>
      <c r="H11" s="11">
        <f t="shared" si="0"/>
        <v>38272.315050000005</v>
      </c>
    </row>
    <row r="12" spans="1:2" ht="12.75">
      <c r="A12" s="7"/>
      <c r="B12" s="7"/>
    </row>
    <row r="13" spans="1:8" ht="12.75">
      <c r="A13" s="12" t="s">
        <v>0</v>
      </c>
      <c r="B13" s="12"/>
      <c r="C13" s="3"/>
      <c r="D13" s="3"/>
      <c r="E13" s="13"/>
      <c r="F13" s="14"/>
      <c r="G13" s="14"/>
      <c r="H13" s="6">
        <f>SUM(H2:H11)</f>
        <v>197950.19895</v>
      </c>
    </row>
    <row r="14" spans="1:2" ht="12.75">
      <c r="A14" s="7"/>
      <c r="B14" s="7"/>
    </row>
    <row r="15" spans="1:8" ht="12.75">
      <c r="A15" s="7">
        <f>Worksheet!A14</f>
        <v>37622</v>
      </c>
      <c r="B15" s="7" t="str">
        <f>Worksheet!B14</f>
        <v>All consumption from Stats</v>
      </c>
      <c r="C15" s="8">
        <f>SUM(Worksheet!C14)</f>
        <v>52880</v>
      </c>
      <c r="D15" s="8">
        <f>SUM(Worksheet!D14)</f>
        <v>0</v>
      </c>
      <c r="E15" s="9">
        <f>'PILS Rates'!$B$5</f>
        <v>0.00459</v>
      </c>
      <c r="F15" s="10">
        <f>'PILS Rates'!$C$5</f>
        <v>0</v>
      </c>
      <c r="H15" s="11">
        <f aca="true" t="shared" si="1" ref="H15:H26">(C15*E15)+(D15*F15)+(C15*G15)</f>
        <v>242.71920000000003</v>
      </c>
    </row>
    <row r="16" spans="1:8" ht="12.75">
      <c r="A16" s="7">
        <f>Worksheet!A15</f>
        <v>37653</v>
      </c>
      <c r="B16" s="7" t="str">
        <f>Worksheet!B15</f>
        <v>All consumption from Stats</v>
      </c>
      <c r="C16" s="8">
        <f>SUM(Worksheet!C15)</f>
        <v>3976384</v>
      </c>
      <c r="D16" s="8">
        <f>SUM(Worksheet!D15)</f>
        <v>0</v>
      </c>
      <c r="E16" s="9">
        <f>'PILS Rates'!$B$5</f>
        <v>0.00459</v>
      </c>
      <c r="F16" s="10">
        <f>'PILS Rates'!$C$5</f>
        <v>0</v>
      </c>
      <c r="H16" s="11">
        <f t="shared" si="1"/>
        <v>18251.602560000003</v>
      </c>
    </row>
    <row r="17" spans="1:8" ht="12.75">
      <c r="A17" s="7">
        <f>Worksheet!A16</f>
        <v>37681</v>
      </c>
      <c r="B17" s="7" t="str">
        <f>Worksheet!B16</f>
        <v>All consumption from Stats</v>
      </c>
      <c r="C17" s="8">
        <f>SUM(Worksheet!C16)</f>
        <v>3967410</v>
      </c>
      <c r="D17" s="8">
        <f>SUM(Worksheet!D16)</f>
        <v>0</v>
      </c>
      <c r="E17" s="9">
        <f>'PILS Rates'!$B$5</f>
        <v>0.00459</v>
      </c>
      <c r="F17" s="10">
        <f>'PILS Rates'!$C$5</f>
        <v>0</v>
      </c>
      <c r="H17" s="11">
        <f t="shared" si="1"/>
        <v>18210.411900000003</v>
      </c>
    </row>
    <row r="18" spans="1:8" ht="12.75">
      <c r="A18" s="7">
        <f>Worksheet!A17</f>
        <v>37712</v>
      </c>
      <c r="B18" s="7" t="str">
        <f>Worksheet!B17</f>
        <v>All consumption from Stats</v>
      </c>
      <c r="C18" s="8">
        <f>SUM(Worksheet!C17)</f>
        <v>2844772</v>
      </c>
      <c r="D18" s="8">
        <f>SUM(Worksheet!D17)</f>
        <v>0</v>
      </c>
      <c r="E18" s="9">
        <f>'PILS Rates'!$B$5</f>
        <v>0.00459</v>
      </c>
      <c r="F18" s="10">
        <f>'PILS Rates'!$C$5</f>
        <v>0</v>
      </c>
      <c r="H18" s="11">
        <f t="shared" si="1"/>
        <v>13057.503480000001</v>
      </c>
    </row>
    <row r="19" spans="1:8" ht="12.75">
      <c r="A19" s="7">
        <f>Worksheet!A18</f>
        <v>37742</v>
      </c>
      <c r="B19" s="7" t="str">
        <f>Worksheet!B18</f>
        <v>All consumption from Stats</v>
      </c>
      <c r="C19" s="8">
        <f>SUM(Worksheet!C18)</f>
        <v>4478027</v>
      </c>
      <c r="D19" s="8">
        <f>SUM(Worksheet!D18)</f>
        <v>0</v>
      </c>
      <c r="E19" s="9">
        <f>'PILS Rates'!$B$5</f>
        <v>0.00459</v>
      </c>
      <c r="F19" s="10">
        <f>'PILS Rates'!$C$5</f>
        <v>0</v>
      </c>
      <c r="H19" s="11">
        <f t="shared" si="1"/>
        <v>20554.143930000002</v>
      </c>
    </row>
    <row r="20" spans="1:8" ht="12.75">
      <c r="A20" s="7">
        <f>Worksheet!A19</f>
        <v>37773</v>
      </c>
      <c r="B20" s="7" t="str">
        <f>Worksheet!B19</f>
        <v>All consumption from Stats</v>
      </c>
      <c r="C20" s="8">
        <f>SUM(Worksheet!C19)</f>
        <v>2826250</v>
      </c>
      <c r="D20" s="8">
        <f>SUM(Worksheet!D19)</f>
        <v>0</v>
      </c>
      <c r="E20" s="9">
        <f>'PILS Rates'!$B$5</f>
        <v>0.00459</v>
      </c>
      <c r="F20" s="10">
        <f>'PILS Rates'!$C$5</f>
        <v>0</v>
      </c>
      <c r="H20" s="11">
        <f t="shared" si="1"/>
        <v>12972.487500000001</v>
      </c>
    </row>
    <row r="21" spans="1:8" ht="12.75">
      <c r="A21" s="7">
        <f>Worksheet!A20</f>
        <v>37803</v>
      </c>
      <c r="B21" s="7" t="str">
        <f>Worksheet!B20</f>
        <v>All consumption from Stats</v>
      </c>
      <c r="C21" s="8">
        <f>SUM(Worksheet!C20)</f>
        <v>3454569</v>
      </c>
      <c r="D21" s="8">
        <f>SUM(Worksheet!D20)</f>
        <v>0</v>
      </c>
      <c r="E21" s="9">
        <f>'PILS Rates'!$B$5</f>
        <v>0.00459</v>
      </c>
      <c r="F21" s="10">
        <f>'PILS Rates'!$C$5</f>
        <v>0</v>
      </c>
      <c r="H21" s="11">
        <f t="shared" si="1"/>
        <v>15856.471710000002</v>
      </c>
    </row>
    <row r="22" spans="1:8" ht="12.75">
      <c r="A22" s="7">
        <f>Worksheet!A21</f>
        <v>37834</v>
      </c>
      <c r="B22" s="7" t="str">
        <f>Worksheet!B21</f>
        <v>All consumption from Stats</v>
      </c>
      <c r="C22" s="8">
        <f>SUM(Worksheet!C21)</f>
        <v>3277540</v>
      </c>
      <c r="D22" s="8">
        <f>SUM(Worksheet!D21)</f>
        <v>0</v>
      </c>
      <c r="E22" s="9">
        <f>'PILS Rates'!$B$5</f>
        <v>0.00459</v>
      </c>
      <c r="F22" s="10">
        <f>'PILS Rates'!$C$5</f>
        <v>0</v>
      </c>
      <c r="H22" s="11">
        <f t="shared" si="1"/>
        <v>15043.9086</v>
      </c>
    </row>
    <row r="23" spans="1:8" ht="12.75">
      <c r="A23" s="7">
        <f>Worksheet!A22</f>
        <v>37865</v>
      </c>
      <c r="B23" s="7" t="str">
        <f>Worksheet!B22</f>
        <v>All consumption from Stats</v>
      </c>
      <c r="C23" s="8">
        <f>SUM(Worksheet!C22)</f>
        <v>3609804</v>
      </c>
      <c r="D23" s="8">
        <f>SUM(Worksheet!D22)</f>
        <v>0</v>
      </c>
      <c r="E23" s="9">
        <f>'PILS Rates'!$B$5</f>
        <v>0.00459</v>
      </c>
      <c r="F23" s="10">
        <f>'PILS Rates'!$C$5</f>
        <v>0</v>
      </c>
      <c r="H23" s="11">
        <f t="shared" si="1"/>
        <v>16569.000360000002</v>
      </c>
    </row>
    <row r="24" spans="1:8" ht="12.75">
      <c r="A24" s="7">
        <f>Worksheet!A23</f>
        <v>37895</v>
      </c>
      <c r="B24" s="7" t="str">
        <f>Worksheet!B23</f>
        <v>All consumption from Stats</v>
      </c>
      <c r="C24" s="8">
        <f>SUM(Worksheet!C23)</f>
        <v>2894235</v>
      </c>
      <c r="D24" s="8">
        <f>SUM(Worksheet!D23)</f>
        <v>0</v>
      </c>
      <c r="E24" s="9">
        <f>'PILS Rates'!$B$5</f>
        <v>0.00459</v>
      </c>
      <c r="F24" s="10">
        <f>'PILS Rates'!$C$5</f>
        <v>0</v>
      </c>
      <c r="H24" s="11">
        <f t="shared" si="1"/>
        <v>13284.53865</v>
      </c>
    </row>
    <row r="25" spans="1:8" ht="12.75">
      <c r="A25" s="7">
        <f>Worksheet!A24</f>
        <v>37926</v>
      </c>
      <c r="B25" s="7" t="str">
        <f>Worksheet!B24</f>
        <v>All consumption from Stats</v>
      </c>
      <c r="C25" s="8">
        <f>SUM(Worksheet!C24)</f>
        <v>3184510</v>
      </c>
      <c r="D25" s="8">
        <f>SUM(Worksheet!D24)</f>
        <v>0</v>
      </c>
      <c r="E25" s="9">
        <f>'PILS Rates'!$B$5</f>
        <v>0.00459</v>
      </c>
      <c r="F25" s="10">
        <f>'PILS Rates'!$C$5</f>
        <v>0</v>
      </c>
      <c r="H25" s="11">
        <f t="shared" si="1"/>
        <v>14616.9009</v>
      </c>
    </row>
    <row r="26" spans="1:8" ht="12.75">
      <c r="A26" s="7">
        <f>Worksheet!A25</f>
        <v>37956</v>
      </c>
      <c r="B26" s="7" t="str">
        <f>Worksheet!B25</f>
        <v>All consumption from Stats</v>
      </c>
      <c r="C26" s="8">
        <f>SUM(Worksheet!C25)</f>
        <v>9257752</v>
      </c>
      <c r="D26" s="8">
        <f>SUM(Worksheet!D25)</f>
        <v>0</v>
      </c>
      <c r="E26" s="9">
        <f>'PILS Rates'!$B$5</f>
        <v>0.00459</v>
      </c>
      <c r="F26" s="10">
        <f>'PILS Rates'!$C$5</f>
        <v>0</v>
      </c>
      <c r="H26" s="11">
        <f t="shared" si="1"/>
        <v>42493.08168</v>
      </c>
    </row>
    <row r="27" spans="1:2" ht="12.75">
      <c r="A27" s="7"/>
      <c r="B27" s="7"/>
    </row>
    <row r="28" spans="1:8" ht="12.75">
      <c r="A28" s="12" t="s">
        <v>0</v>
      </c>
      <c r="B28" s="12"/>
      <c r="C28" s="3"/>
      <c r="D28" s="3"/>
      <c r="E28" s="13"/>
      <c r="F28" s="14"/>
      <c r="G28" s="14"/>
      <c r="H28" s="6">
        <f>SUM(H15:H26)</f>
        <v>201152.77047000002</v>
      </c>
    </row>
    <row r="29" spans="1:2" ht="12.75">
      <c r="A29" s="7"/>
      <c r="B29" s="7"/>
    </row>
    <row r="30" spans="1:8" ht="12.75">
      <c r="A30" s="7">
        <f>Worksheet!A26</f>
        <v>37987</v>
      </c>
      <c r="B30" s="7" t="str">
        <f>Worksheet!B26</f>
        <v>All consumption from Stats</v>
      </c>
      <c r="C30" s="8">
        <f>SUM(Worksheet!C26)</f>
        <v>-2210455</v>
      </c>
      <c r="D30" s="8">
        <f>SUM(Worksheet!D26)</f>
        <v>0</v>
      </c>
      <c r="E30" s="9">
        <f>'PILS Rates'!$B$5</f>
        <v>0.00459</v>
      </c>
      <c r="F30" s="10">
        <f>'PILS Rates'!$C$5</f>
        <v>0</v>
      </c>
      <c r="H30" s="11">
        <f aca="true" t="shared" si="2" ref="H30:H45">(C30*E30)+(D30*F30)+(C30*G30)</f>
        <v>-10145.98845</v>
      </c>
    </row>
    <row r="31" spans="1:8" ht="12.75">
      <c r="A31" s="7">
        <f>Worksheet!A27</f>
        <v>38018</v>
      </c>
      <c r="B31" s="7" t="str">
        <f>Worksheet!B27</f>
        <v>All consumption from Stats</v>
      </c>
      <c r="C31" s="8">
        <f>SUM(Worksheet!C27)</f>
        <v>5288537</v>
      </c>
      <c r="D31" s="8">
        <f>SUM(Worksheet!D27)</f>
        <v>0</v>
      </c>
      <c r="E31" s="9">
        <f>'PILS Rates'!$B$5</f>
        <v>0.00459</v>
      </c>
      <c r="F31" s="10">
        <f>'PILS Rates'!$C$5</f>
        <v>0</v>
      </c>
      <c r="H31" s="11">
        <f t="shared" si="2"/>
        <v>24274.384830000003</v>
      </c>
    </row>
    <row r="32" spans="1:8" ht="12.75">
      <c r="A32" s="7">
        <f>Worksheet!A28</f>
        <v>38047</v>
      </c>
      <c r="B32" s="7" t="str">
        <f>Worksheet!B28</f>
        <v>All consumption from Stats</v>
      </c>
      <c r="C32" s="8">
        <f>SUM(Worksheet!C28)</f>
        <v>4708253</v>
      </c>
      <c r="D32" s="8">
        <f>SUM(Worksheet!D28)</f>
        <v>0</v>
      </c>
      <c r="E32" s="9">
        <f>'PILS Rates'!$B$5</f>
        <v>0.00459</v>
      </c>
      <c r="F32" s="10">
        <f>'PILS Rates'!$C$5</f>
        <v>0</v>
      </c>
      <c r="H32" s="11">
        <f t="shared" si="2"/>
        <v>21610.88127</v>
      </c>
    </row>
    <row r="33" spans="1:8" s="26" customFormat="1" ht="12.75">
      <c r="A33" s="21">
        <f>Worksheet!A29</f>
        <v>38078</v>
      </c>
      <c r="B33" s="21" t="str">
        <f>Worksheet!B29</f>
        <v>Pre Apr 1/04 cons only @ old rate</v>
      </c>
      <c r="C33" s="22">
        <f>SUM(Worksheet!C29)</f>
        <v>2749143</v>
      </c>
      <c r="D33" s="22">
        <f>SUM(Worksheet!D29)</f>
        <v>0</v>
      </c>
      <c r="E33" s="23">
        <f>'PILS Rates'!$B$5</f>
        <v>0.00459</v>
      </c>
      <c r="F33" s="24">
        <f>'PILS Rates'!$C$5</f>
        <v>0</v>
      </c>
      <c r="H33" s="25">
        <f t="shared" si="2"/>
        <v>12618.56637</v>
      </c>
    </row>
    <row r="34" spans="1:8" s="26" customFormat="1" ht="12.75">
      <c r="A34" s="21">
        <f>Worksheet!A30</f>
        <v>38078</v>
      </c>
      <c r="B34" s="21" t="str">
        <f>Worksheet!B30</f>
        <v>Post Apr 1/04 cons only @ new rate</v>
      </c>
      <c r="C34" s="22">
        <f>SUM(Worksheet!C30)</f>
        <v>519743</v>
      </c>
      <c r="D34" s="22">
        <f>SUM(Worksheet!D30)</f>
        <v>0</v>
      </c>
      <c r="E34" s="23"/>
      <c r="F34" s="23"/>
      <c r="G34" s="24">
        <f>'PILS Rates'!$D$5</f>
        <v>0.0038</v>
      </c>
      <c r="H34" s="25">
        <f t="shared" si="2"/>
        <v>1975.0234</v>
      </c>
    </row>
    <row r="35" spans="1:8" s="26" customFormat="1" ht="12.75">
      <c r="A35" s="21">
        <f>Worksheet!A31</f>
        <v>38108</v>
      </c>
      <c r="B35" s="21" t="str">
        <f>Worksheet!B31</f>
        <v>Pre Apr 1/04 cons only @ old rate</v>
      </c>
      <c r="C35" s="22">
        <f>SUM(Worksheet!C31)</f>
        <v>826067</v>
      </c>
      <c r="D35" s="22">
        <f>SUM(Worksheet!D31)</f>
        <v>0</v>
      </c>
      <c r="E35" s="23">
        <f>'PILS Rates'!$B$5</f>
        <v>0.00459</v>
      </c>
      <c r="F35" s="24">
        <f>'PILS Rates'!$C$5</f>
        <v>0</v>
      </c>
      <c r="H35" s="25">
        <f t="shared" si="2"/>
        <v>3791.64753</v>
      </c>
    </row>
    <row r="36" spans="1:8" s="26" customFormat="1" ht="12.75">
      <c r="A36" s="21">
        <f>Worksheet!A32</f>
        <v>38108</v>
      </c>
      <c r="B36" s="21" t="str">
        <f>Worksheet!B32</f>
        <v>Post Apr 1/04 cons only @ new rate</v>
      </c>
      <c r="C36" s="22">
        <f>SUM(Worksheet!C32)</f>
        <v>2701921</v>
      </c>
      <c r="D36" s="22">
        <f>SUM(Worksheet!D32)</f>
        <v>0</v>
      </c>
      <c r="E36" s="23"/>
      <c r="F36" s="23"/>
      <c r="G36" s="24">
        <f>'PILS Rates'!$D$5</f>
        <v>0.0038</v>
      </c>
      <c r="H36" s="25">
        <f t="shared" si="2"/>
        <v>10267.2998</v>
      </c>
    </row>
    <row r="37" spans="1:8" s="26" customFormat="1" ht="12.75">
      <c r="A37" s="21">
        <f>Worksheet!A33</f>
        <v>38139</v>
      </c>
      <c r="B37" s="21" t="str">
        <f>Worksheet!B33</f>
        <v>Pre Apr 1/04 cons only @ old rate</v>
      </c>
      <c r="C37" s="22">
        <f>SUM(Worksheet!C33)</f>
        <v>2044</v>
      </c>
      <c r="D37" s="22">
        <f>SUM(Worksheet!D33)</f>
        <v>0</v>
      </c>
      <c r="E37" s="23">
        <f>'PILS Rates'!$B$5</f>
        <v>0.00459</v>
      </c>
      <c r="F37" s="24">
        <f>'PILS Rates'!$C$5</f>
        <v>0</v>
      </c>
      <c r="H37" s="25">
        <f t="shared" si="2"/>
        <v>9.381960000000001</v>
      </c>
    </row>
    <row r="38" spans="1:8" s="26" customFormat="1" ht="12.75">
      <c r="A38" s="21">
        <f>Worksheet!A34</f>
        <v>38139</v>
      </c>
      <c r="B38" s="21" t="str">
        <f>Worksheet!B34</f>
        <v>Post Apr 1/04 cons only @ new rate</v>
      </c>
      <c r="C38" s="22">
        <f>SUM(Worksheet!C34)</f>
        <v>3766886</v>
      </c>
      <c r="D38" s="22">
        <f>SUM(Worksheet!D34)</f>
        <v>0</v>
      </c>
      <c r="E38" s="23"/>
      <c r="F38" s="23"/>
      <c r="G38" s="24">
        <f>'PILS Rates'!$D$5</f>
        <v>0.0038</v>
      </c>
      <c r="H38" s="25">
        <f t="shared" si="2"/>
        <v>14314.1668</v>
      </c>
    </row>
    <row r="39" spans="1:8" s="26" customFormat="1" ht="12.75">
      <c r="A39" s="21">
        <f>Worksheet!A35</f>
        <v>38169</v>
      </c>
      <c r="B39" s="21" t="str">
        <f>Worksheet!B35</f>
        <v>All consumption from Stats</v>
      </c>
      <c r="C39" s="22">
        <f>SUM(Worksheet!C35)</f>
        <v>2339553</v>
      </c>
      <c r="D39" s="22">
        <f>SUM(Worksheet!D35)</f>
        <v>0</v>
      </c>
      <c r="E39" s="23"/>
      <c r="F39" s="23"/>
      <c r="G39" s="24">
        <f>'PILS Rates'!$D$5</f>
        <v>0.0038</v>
      </c>
      <c r="H39" s="25">
        <f t="shared" si="2"/>
        <v>8890.3014</v>
      </c>
    </row>
    <row r="40" spans="1:8" s="26" customFormat="1" ht="12.75">
      <c r="A40" s="21">
        <f>Worksheet!A36</f>
        <v>38200</v>
      </c>
      <c r="B40" s="21" t="str">
        <f>Worksheet!B36</f>
        <v>Pre Apr 1/04 cons only @ old rate</v>
      </c>
      <c r="C40" s="22">
        <f>SUM(Worksheet!C36)</f>
        <v>0</v>
      </c>
      <c r="D40" s="22">
        <f>SUM(Worksheet!D36)</f>
        <v>0</v>
      </c>
      <c r="E40" s="23">
        <f>'PILS Rates'!$B$5</f>
        <v>0.00459</v>
      </c>
      <c r="F40" s="24">
        <f>'PILS Rates'!$C$5</f>
        <v>0</v>
      </c>
      <c r="G40" s="24"/>
      <c r="H40" s="25">
        <f t="shared" si="2"/>
        <v>0</v>
      </c>
    </row>
    <row r="41" spans="1:8" s="26" customFormat="1" ht="12.75">
      <c r="A41" s="21">
        <f>Worksheet!A37</f>
        <v>38200</v>
      </c>
      <c r="B41" s="21" t="str">
        <f>Worksheet!B37</f>
        <v>Post Apr 1/04 cons only @ new rate</v>
      </c>
      <c r="C41" s="22">
        <f>SUM(Worksheet!C37)</f>
        <v>4499487</v>
      </c>
      <c r="D41" s="22">
        <f>SUM(Worksheet!D37)</f>
        <v>0</v>
      </c>
      <c r="E41" s="23"/>
      <c r="F41" s="23"/>
      <c r="G41" s="24">
        <f>'PILS Rates'!$D$5</f>
        <v>0.0038</v>
      </c>
      <c r="H41" s="25">
        <f t="shared" si="2"/>
        <v>17098.0506</v>
      </c>
    </row>
    <row r="42" spans="1:8" ht="12.75">
      <c r="A42" s="7">
        <f>Worksheet!A38</f>
        <v>38231</v>
      </c>
      <c r="B42" s="7" t="str">
        <f>Worksheet!B38</f>
        <v>All consumption from Stats</v>
      </c>
      <c r="C42" s="8">
        <f>SUM(Worksheet!C38)</f>
        <v>3055353</v>
      </c>
      <c r="D42" s="8">
        <f>SUM(Worksheet!D38)</f>
        <v>0</v>
      </c>
      <c r="E42" s="23"/>
      <c r="F42" s="9"/>
      <c r="G42" s="10">
        <f>'PILS Rates'!$D$5</f>
        <v>0.0038</v>
      </c>
      <c r="H42" s="11">
        <f t="shared" si="2"/>
        <v>11610.3414</v>
      </c>
    </row>
    <row r="43" spans="1:8" ht="12.75">
      <c r="A43" s="7">
        <f>Worksheet!A39</f>
        <v>38261</v>
      </c>
      <c r="B43" s="7" t="str">
        <f>Worksheet!B39</f>
        <v>All consumption from Stats</v>
      </c>
      <c r="C43" s="8">
        <f>SUM(Worksheet!C39)</f>
        <v>2401280</v>
      </c>
      <c r="D43" s="8">
        <f>SUM(Worksheet!D39)</f>
        <v>0</v>
      </c>
      <c r="F43" s="9"/>
      <c r="G43" s="10">
        <f>'PILS Rates'!$D$5</f>
        <v>0.0038</v>
      </c>
      <c r="H43" s="11">
        <f t="shared" si="2"/>
        <v>9124.864</v>
      </c>
    </row>
    <row r="44" spans="1:8" ht="12.75">
      <c r="A44" s="7">
        <f>Worksheet!A40</f>
        <v>38292</v>
      </c>
      <c r="B44" s="7" t="str">
        <f>Worksheet!B40</f>
        <v>All consumption from Stats</v>
      </c>
      <c r="C44" s="8">
        <f>SUM(Worksheet!C40)</f>
        <v>4019832</v>
      </c>
      <c r="D44" s="8">
        <f>SUM(Worksheet!D40)</f>
        <v>0</v>
      </c>
      <c r="F44" s="9"/>
      <c r="G44" s="10">
        <f>'PILS Rates'!$D$5</f>
        <v>0.0038</v>
      </c>
      <c r="H44" s="11">
        <f t="shared" si="2"/>
        <v>15275.3616</v>
      </c>
    </row>
    <row r="45" spans="1:8" ht="12.75">
      <c r="A45" s="7">
        <f>Worksheet!A41</f>
        <v>38322</v>
      </c>
      <c r="B45" s="7" t="str">
        <f>Worksheet!B41</f>
        <v>All consumption from Stats</v>
      </c>
      <c r="C45" s="8">
        <f>SUM(Worksheet!C41)</f>
        <v>8187858</v>
      </c>
      <c r="D45" s="8">
        <f>SUM(Worksheet!D41)</f>
        <v>0</v>
      </c>
      <c r="F45" s="9"/>
      <c r="G45" s="10">
        <f>'PILS Rates'!$D$5</f>
        <v>0.0038</v>
      </c>
      <c r="H45" s="11">
        <f t="shared" si="2"/>
        <v>31113.8604</v>
      </c>
    </row>
    <row r="46" spans="1:2" ht="12.75">
      <c r="A46" s="7"/>
      <c r="B46" s="7"/>
    </row>
    <row r="47" spans="1:8" ht="12.75">
      <c r="A47" s="12" t="s">
        <v>0</v>
      </c>
      <c r="B47" s="12"/>
      <c r="C47" s="3"/>
      <c r="D47" s="3"/>
      <c r="E47" s="13"/>
      <c r="F47" s="14"/>
      <c r="G47" s="14"/>
      <c r="H47" s="6">
        <f>SUM(H30:H45)</f>
        <v>171828.14291000002</v>
      </c>
    </row>
    <row r="48" spans="1:2" ht="12.75">
      <c r="A48" s="7"/>
      <c r="B48" s="7"/>
    </row>
    <row r="49" spans="1:8" ht="12.75">
      <c r="A49" s="7">
        <f>Worksheet!A42</f>
        <v>38353</v>
      </c>
      <c r="B49" s="7" t="str">
        <f>Worksheet!B42</f>
        <v>All consumption from Stats</v>
      </c>
      <c r="C49" s="8">
        <f>SUM(Worksheet!C42)</f>
        <v>-810427</v>
      </c>
      <c r="D49" s="8">
        <f>SUM(Worksheet!D42)</f>
        <v>0</v>
      </c>
      <c r="G49" s="10">
        <f>'PILS Rates'!$D$5</f>
        <v>0.0038</v>
      </c>
      <c r="H49" s="11">
        <f aca="true" t="shared" si="3" ref="H49:H64">(C49*E49)+(D49*F49)+(C49*G49)</f>
        <v>-3079.6226</v>
      </c>
    </row>
    <row r="50" spans="1:8" s="26" customFormat="1" ht="12.75">
      <c r="A50" s="21">
        <f>Worksheet!A43</f>
        <v>38384</v>
      </c>
      <c r="B50" s="21" t="str">
        <f>Worksheet!B43</f>
        <v>All consumption from Stats</v>
      </c>
      <c r="C50" s="22">
        <f>SUM(Worksheet!C43)</f>
        <v>4907863</v>
      </c>
      <c r="D50" s="22">
        <f>SUM(Worksheet!D43)</f>
        <v>0</v>
      </c>
      <c r="E50" s="23"/>
      <c r="F50" s="24"/>
      <c r="G50" s="24">
        <f>'PILS Rates'!$D$5</f>
        <v>0.0038</v>
      </c>
      <c r="H50" s="25">
        <f t="shared" si="3"/>
        <v>18649.8794</v>
      </c>
    </row>
    <row r="51" spans="1:8" s="26" customFormat="1" ht="12.75">
      <c r="A51" s="21">
        <f>Worksheet!A44</f>
        <v>38412</v>
      </c>
      <c r="B51" s="21" t="str">
        <f>Worksheet!B44</f>
        <v>All consumption from Stats</v>
      </c>
      <c r="C51" s="22">
        <f>SUM(Worksheet!C44)</f>
        <v>4713715</v>
      </c>
      <c r="D51" s="22">
        <f>SUM(Worksheet!D44)</f>
        <v>0</v>
      </c>
      <c r="E51" s="23"/>
      <c r="F51" s="24"/>
      <c r="G51" s="24">
        <f>'PILS Rates'!$D$5</f>
        <v>0.0038</v>
      </c>
      <c r="H51" s="25">
        <f t="shared" si="3"/>
        <v>17912.117</v>
      </c>
    </row>
    <row r="52" spans="1:8" s="26" customFormat="1" ht="12.75">
      <c r="A52" s="21">
        <f>Worksheet!A45</f>
        <v>38443</v>
      </c>
      <c r="B52" s="21" t="str">
        <f>Worksheet!B45</f>
        <v>Pre Apr 1/05 cons only @ old rate</v>
      </c>
      <c r="C52" s="22">
        <f>SUM(Worksheet!C45)</f>
        <v>2993128</v>
      </c>
      <c r="D52" s="22">
        <f>SUM(Worksheet!D45)</f>
        <v>0</v>
      </c>
      <c r="E52" s="23"/>
      <c r="F52" s="24"/>
      <c r="G52" s="24">
        <f>'PILS Rates'!$D$5</f>
        <v>0.0038</v>
      </c>
      <c r="H52" s="25">
        <f t="shared" si="3"/>
        <v>11373.8864</v>
      </c>
    </row>
    <row r="53" spans="1:8" s="26" customFormat="1" ht="12.75">
      <c r="A53" s="21">
        <f>Worksheet!A46</f>
        <v>38443</v>
      </c>
      <c r="B53" s="21" t="str">
        <f>Worksheet!B46</f>
        <v>Post Apr 1/05 cons only @ new rate</v>
      </c>
      <c r="C53" s="22">
        <f>SUM(Worksheet!C46)</f>
        <v>429906</v>
      </c>
      <c r="D53" s="22">
        <f>SUM(Worksheet!D46)</f>
        <v>0</v>
      </c>
      <c r="E53" s="23"/>
      <c r="F53" s="24"/>
      <c r="G53" s="24">
        <f>'PILS Rates'!$E$5</f>
        <v>0.0028</v>
      </c>
      <c r="H53" s="25">
        <f t="shared" si="3"/>
        <v>1203.7368</v>
      </c>
    </row>
    <row r="54" spans="1:8" s="26" customFormat="1" ht="12.75">
      <c r="A54" s="21">
        <f>Worksheet!A47</f>
        <v>38473</v>
      </c>
      <c r="B54" s="21" t="str">
        <f>Worksheet!B47</f>
        <v>Pre Apr 1/05 cons only @ old rate</v>
      </c>
      <c r="C54" s="22">
        <f>SUM(Worksheet!C47)</f>
        <v>843032</v>
      </c>
      <c r="D54" s="22">
        <f>SUM(Worksheet!D47)</f>
        <v>0</v>
      </c>
      <c r="E54" s="23"/>
      <c r="F54" s="24"/>
      <c r="G54" s="24">
        <f>'PILS Rates'!$D$5</f>
        <v>0.0038</v>
      </c>
      <c r="H54" s="25">
        <f t="shared" si="3"/>
        <v>3203.5216</v>
      </c>
    </row>
    <row r="55" spans="1:8" s="26" customFormat="1" ht="12.75">
      <c r="A55" s="21">
        <f>Worksheet!A48</f>
        <v>38473</v>
      </c>
      <c r="B55" s="21" t="str">
        <f>Worksheet!B48</f>
        <v>Post Apr 1/05 cons only @ new rate</v>
      </c>
      <c r="C55" s="22">
        <f>SUM(Worksheet!C48)</f>
        <v>2657770</v>
      </c>
      <c r="D55" s="22">
        <f>SUM(Worksheet!D48)</f>
        <v>0</v>
      </c>
      <c r="E55" s="23"/>
      <c r="F55" s="24"/>
      <c r="G55" s="24">
        <f>'PILS Rates'!$E$5</f>
        <v>0.0028</v>
      </c>
      <c r="H55" s="25">
        <f t="shared" si="3"/>
        <v>7441.756</v>
      </c>
    </row>
    <row r="56" spans="1:8" s="26" customFormat="1" ht="12.75">
      <c r="A56" s="21">
        <f>Worksheet!A49</f>
        <v>38504</v>
      </c>
      <c r="B56" s="21" t="str">
        <f>Worksheet!B49</f>
        <v>Pre Apr 1/05 cons only @ old rate</v>
      </c>
      <c r="C56" s="22">
        <f>SUM(Worksheet!C49)</f>
        <v>0</v>
      </c>
      <c r="D56" s="22">
        <f>SUM(Worksheet!D49)</f>
        <v>0</v>
      </c>
      <c r="E56" s="23"/>
      <c r="F56" s="24"/>
      <c r="G56" s="24">
        <f>'PILS Rates'!$D$5</f>
        <v>0.0038</v>
      </c>
      <c r="H56" s="25">
        <f t="shared" si="3"/>
        <v>0</v>
      </c>
    </row>
    <row r="57" spans="1:8" s="26" customFormat="1" ht="12.75">
      <c r="A57" s="21">
        <f>Worksheet!A50</f>
        <v>38504</v>
      </c>
      <c r="B57" s="21" t="str">
        <f>Worksheet!B50</f>
        <v>Post Apr 1/05 cons only @ new rate</v>
      </c>
      <c r="C57" s="22">
        <f>SUM(Worksheet!C50)</f>
        <v>3845660</v>
      </c>
      <c r="D57" s="22">
        <f>SUM(Worksheet!D50)</f>
        <v>0</v>
      </c>
      <c r="E57" s="23"/>
      <c r="F57" s="24"/>
      <c r="G57" s="24">
        <f>'PILS Rates'!$E$5</f>
        <v>0.0028</v>
      </c>
      <c r="H57" s="25">
        <f t="shared" si="3"/>
        <v>10767.848</v>
      </c>
    </row>
    <row r="58" spans="1:8" s="26" customFormat="1" ht="12.75">
      <c r="A58" s="21">
        <f>Worksheet!A51</f>
        <v>38534</v>
      </c>
      <c r="B58" s="21" t="str">
        <f>Worksheet!B51</f>
        <v>All consumption from Stats</v>
      </c>
      <c r="C58" s="22">
        <f>SUM(Worksheet!C51)</f>
        <v>2811697</v>
      </c>
      <c r="D58" s="22">
        <f>SUM(Worksheet!D51)</f>
        <v>0</v>
      </c>
      <c r="E58" s="23"/>
      <c r="F58" s="24"/>
      <c r="G58" s="24">
        <f>'PILS Rates'!$E$5</f>
        <v>0.0028</v>
      </c>
      <c r="H58" s="25">
        <f t="shared" si="3"/>
        <v>7872.7516</v>
      </c>
    </row>
    <row r="59" spans="1:8" s="26" customFormat="1" ht="12.75">
      <c r="A59" s="21">
        <f>Worksheet!A52</f>
        <v>38565</v>
      </c>
      <c r="B59" s="21" t="str">
        <f>Worksheet!B52</f>
        <v>Pre Apr 1/05 cons only @ old rate</v>
      </c>
      <c r="C59" s="22">
        <f>SUM(Worksheet!C52)</f>
        <v>0</v>
      </c>
      <c r="D59" s="22">
        <f>SUM(Worksheet!D52)</f>
        <v>0</v>
      </c>
      <c r="E59" s="23"/>
      <c r="F59" s="24"/>
      <c r="G59" s="24">
        <f>'PILS Rates'!$D$5</f>
        <v>0.0038</v>
      </c>
      <c r="H59" s="25">
        <f t="shared" si="3"/>
        <v>0</v>
      </c>
    </row>
    <row r="60" spans="1:8" ht="12.75">
      <c r="A60" s="7">
        <f>Worksheet!A53</f>
        <v>38565</v>
      </c>
      <c r="B60" s="7" t="str">
        <f>Worksheet!B53</f>
        <v>Post Apr 1/05 cons only @ new rate</v>
      </c>
      <c r="C60" s="8">
        <f>SUM(Worksheet!C53)</f>
        <v>5505093</v>
      </c>
      <c r="D60" s="8">
        <f>SUM(Worksheet!D53)</f>
        <v>0</v>
      </c>
      <c r="G60" s="10">
        <f>'PILS Rates'!$E$5</f>
        <v>0.0028</v>
      </c>
      <c r="H60" s="11">
        <f t="shared" si="3"/>
        <v>15414.2604</v>
      </c>
    </row>
    <row r="61" spans="1:8" ht="12.75">
      <c r="A61" s="7">
        <f>Worksheet!A54</f>
        <v>38596</v>
      </c>
      <c r="B61" s="7" t="str">
        <f>Worksheet!B54</f>
        <v>All consumption from Stats</v>
      </c>
      <c r="C61" s="8">
        <f>SUM(Worksheet!C54)</f>
        <v>3243981</v>
      </c>
      <c r="D61" s="8">
        <f>SUM(Worksheet!D54)</f>
        <v>0</v>
      </c>
      <c r="G61" s="10">
        <f>'PILS Rates'!$E$5</f>
        <v>0.0028</v>
      </c>
      <c r="H61" s="11">
        <f t="shared" si="3"/>
        <v>9083.1468</v>
      </c>
    </row>
    <row r="62" spans="1:8" ht="12.75">
      <c r="A62" s="7">
        <f>Worksheet!A55</f>
        <v>38626</v>
      </c>
      <c r="B62" s="7" t="str">
        <f>Worksheet!B55</f>
        <v>All consumption from Stats</v>
      </c>
      <c r="C62" s="8">
        <f>SUM(Worksheet!C55)</f>
        <v>3123588</v>
      </c>
      <c r="D62" s="8">
        <f>SUM(Worksheet!D55)</f>
        <v>0</v>
      </c>
      <c r="G62" s="10">
        <f>'PILS Rates'!$E$5</f>
        <v>0.0028</v>
      </c>
      <c r="H62" s="11">
        <f t="shared" si="3"/>
        <v>8746.0464</v>
      </c>
    </row>
    <row r="63" spans="1:8" ht="12.75">
      <c r="A63" s="7">
        <f>Worksheet!A56</f>
        <v>38657</v>
      </c>
      <c r="B63" s="7" t="str">
        <f>Worksheet!B56</f>
        <v>All consumption from Stats</v>
      </c>
      <c r="C63" s="8">
        <f>SUM(Worksheet!C56)</f>
        <v>3638553</v>
      </c>
      <c r="D63" s="8">
        <f>SUM(Worksheet!D56)</f>
        <v>0</v>
      </c>
      <c r="G63" s="10">
        <f>'PILS Rates'!$E$5</f>
        <v>0.0028</v>
      </c>
      <c r="H63" s="11">
        <f t="shared" si="3"/>
        <v>10187.9484</v>
      </c>
    </row>
    <row r="64" spans="1:8" ht="12.75">
      <c r="A64" s="7">
        <f>Worksheet!A57</f>
        <v>38687</v>
      </c>
      <c r="B64" s="7" t="str">
        <f>Worksheet!B57</f>
        <v>All consumption from Stats</v>
      </c>
      <c r="C64" s="8">
        <f>SUM(Worksheet!C57)</f>
        <v>7818903</v>
      </c>
      <c r="D64" s="8">
        <f>SUM(Worksheet!D57)</f>
        <v>0</v>
      </c>
      <c r="G64" s="10">
        <f>'PILS Rates'!$E$5</f>
        <v>0.0028</v>
      </c>
      <c r="H64" s="11">
        <f t="shared" si="3"/>
        <v>21892.9284</v>
      </c>
    </row>
    <row r="65" spans="1:2" ht="12.75">
      <c r="A65" s="7"/>
      <c r="B65" s="7"/>
    </row>
    <row r="66" spans="1:8" ht="12.75">
      <c r="A66" s="12" t="s">
        <v>0</v>
      </c>
      <c r="B66" s="12"/>
      <c r="C66" s="3"/>
      <c r="D66" s="3"/>
      <c r="E66" s="13"/>
      <c r="F66" s="14"/>
      <c r="G66" s="14"/>
      <c r="H66" s="6">
        <f>SUM(H49:H64)</f>
        <v>140670.2046</v>
      </c>
    </row>
    <row r="67" spans="1:2" ht="12.75">
      <c r="A67" s="7"/>
      <c r="B67" s="7"/>
    </row>
    <row r="68" spans="1:8" ht="12.75">
      <c r="A68" s="7">
        <f>Worksheet!A58</f>
        <v>38718</v>
      </c>
      <c r="B68" s="7" t="str">
        <f>Worksheet!B58</f>
        <v>All consumption from Stats</v>
      </c>
      <c r="C68" s="8">
        <f>SUM(Worksheet!C58)</f>
        <v>-901822</v>
      </c>
      <c r="D68" s="8">
        <f>SUM(Worksheet!D58)</f>
        <v>0</v>
      </c>
      <c r="G68" s="10">
        <f>'PILS Rates'!$E$5</f>
        <v>0.0028</v>
      </c>
      <c r="H68" s="11">
        <f aca="true" t="shared" si="4" ref="H68:H76">(C68*E68)+(D68*F68)+(C68*G68)</f>
        <v>-2525.1016</v>
      </c>
    </row>
    <row r="69" spans="1:8" ht="12.75">
      <c r="A69" s="7">
        <f>Worksheet!A59</f>
        <v>38749</v>
      </c>
      <c r="B69" s="7" t="str">
        <f>Worksheet!B59</f>
        <v>All consumption from Stats</v>
      </c>
      <c r="C69" s="8">
        <f>SUM(Worksheet!C59)</f>
        <v>5094526</v>
      </c>
      <c r="D69" s="8">
        <f>SUM(Worksheet!D59)</f>
        <v>0</v>
      </c>
      <c r="G69" s="10">
        <f>'PILS Rates'!$E$5</f>
        <v>0.0028</v>
      </c>
      <c r="H69" s="11">
        <f t="shared" si="4"/>
        <v>14264.6728</v>
      </c>
    </row>
    <row r="70" spans="1:8" ht="12.75">
      <c r="A70" s="7">
        <f>Worksheet!A60</f>
        <v>38777</v>
      </c>
      <c r="B70" s="7" t="str">
        <f>Worksheet!B60</f>
        <v>All consumption from Stats</v>
      </c>
      <c r="C70" s="8">
        <f>SUM(Worksheet!C60)</f>
        <v>4469032</v>
      </c>
      <c r="D70" s="8">
        <f>SUM(Worksheet!D60)</f>
        <v>0</v>
      </c>
      <c r="G70" s="10">
        <f>'PILS Rates'!$E$5</f>
        <v>0.0028</v>
      </c>
      <c r="H70" s="11">
        <f t="shared" si="4"/>
        <v>12513.2896</v>
      </c>
    </row>
    <row r="71" spans="1:9" ht="12.75">
      <c r="A71" s="7">
        <f>Worksheet!A61</f>
        <v>38808</v>
      </c>
      <c r="B71" s="7" t="str">
        <f>Worksheet!B61</f>
        <v>All consumption from Stats</v>
      </c>
      <c r="C71" s="8">
        <f>SUM(Worksheet!C61)</f>
        <v>2837919</v>
      </c>
      <c r="D71" s="8">
        <f>SUM(Worksheet!D61)</f>
        <v>0</v>
      </c>
      <c r="G71" s="10">
        <f>'PILS Rates'!$E$5</f>
        <v>0.0028</v>
      </c>
      <c r="H71" s="11">
        <f t="shared" si="4"/>
        <v>7946.1732</v>
      </c>
      <c r="I71" s="15"/>
    </row>
    <row r="72" spans="1:9" ht="12.75">
      <c r="A72" s="7">
        <f>Worksheet!A62</f>
        <v>38838</v>
      </c>
      <c r="B72" s="7" t="str">
        <f>Worksheet!B62</f>
        <v>Pre Apr 30/06 cons only @ old rate</v>
      </c>
      <c r="C72" s="8">
        <f>SUM(Worksheet!C62)</f>
        <v>3744584</v>
      </c>
      <c r="D72" s="8">
        <f>SUM(Worksheet!D62)</f>
        <v>0</v>
      </c>
      <c r="G72" s="10">
        <f>'PILS Rates'!$E$5</f>
        <v>0.0028</v>
      </c>
      <c r="H72" s="11">
        <f t="shared" si="4"/>
        <v>10484.8352</v>
      </c>
      <c r="I72" s="15"/>
    </row>
    <row r="73" spans="1:9" ht="12.75">
      <c r="A73" s="7">
        <f>Worksheet!A63</f>
        <v>38869</v>
      </c>
      <c r="B73" s="7" t="str">
        <f>Worksheet!B63</f>
        <v>Pre Apr 30/06 cons only @ old rate</v>
      </c>
      <c r="C73" s="8">
        <f>SUM(Worksheet!C63)</f>
        <v>124954</v>
      </c>
      <c r="D73" s="8">
        <f>SUM(Worksheet!D63)</f>
        <v>0</v>
      </c>
      <c r="G73" s="10">
        <f>'PILS Rates'!$E$5</f>
        <v>0.0028</v>
      </c>
      <c r="H73" s="11">
        <f t="shared" si="4"/>
        <v>349.8712</v>
      </c>
      <c r="I73" s="15"/>
    </row>
    <row r="74" spans="1:9" ht="12.75">
      <c r="A74" s="7">
        <f>Worksheet!A64</f>
        <v>38899</v>
      </c>
      <c r="B74" s="7" t="str">
        <f>Worksheet!B64</f>
        <v>Pre Apr 30/06 cons only @ old rate</v>
      </c>
      <c r="C74" s="8">
        <f>SUM(Worksheet!C64)</f>
        <v>0</v>
      </c>
      <c r="D74" s="8">
        <f>SUM(Worksheet!D64)</f>
        <v>0</v>
      </c>
      <c r="G74" s="10">
        <f>'PILS Rates'!$E$5</f>
        <v>0.0028</v>
      </c>
      <c r="H74" s="11">
        <f t="shared" si="4"/>
        <v>0</v>
      </c>
      <c r="I74" s="15"/>
    </row>
    <row r="75" spans="1:9" ht="12.75">
      <c r="A75" s="7">
        <f>Worksheet!A65</f>
        <v>38930</v>
      </c>
      <c r="B75" s="7" t="str">
        <f>Worksheet!B65</f>
        <v>Pre Apr 30/06 cons only @ old rate</v>
      </c>
      <c r="C75" s="8">
        <f>SUM(Worksheet!C65)</f>
        <v>0</v>
      </c>
      <c r="D75" s="8">
        <f>SUM(Worksheet!D65)</f>
        <v>0</v>
      </c>
      <c r="G75" s="10">
        <f>'PILS Rates'!$E$5</f>
        <v>0.0028</v>
      </c>
      <c r="H75" s="11">
        <f t="shared" si="4"/>
        <v>0</v>
      </c>
      <c r="I75" s="15"/>
    </row>
    <row r="76" spans="1:8" ht="12.75">
      <c r="A76" s="7">
        <f>Worksheet!A66</f>
        <v>38961</v>
      </c>
      <c r="B76" s="7" t="str">
        <f>Worksheet!B66</f>
        <v>Pre Apr 30/06 cons only @ old rate</v>
      </c>
      <c r="C76" s="8">
        <f>SUM(Worksheet!C66)</f>
        <v>0</v>
      </c>
      <c r="D76" s="8">
        <f>SUM(Worksheet!D66)</f>
        <v>0</v>
      </c>
      <c r="G76" s="10">
        <f>'PILS Rates'!$E$5</f>
        <v>0.0028</v>
      </c>
      <c r="H76" s="11">
        <f t="shared" si="4"/>
        <v>0</v>
      </c>
    </row>
    <row r="77" spans="1:2" ht="12.75">
      <c r="A77" s="7"/>
      <c r="B77" s="7"/>
    </row>
    <row r="78" spans="1:8" ht="12.75">
      <c r="A78" s="12" t="s">
        <v>0</v>
      </c>
      <c r="B78" s="12"/>
      <c r="C78" s="3"/>
      <c r="D78" s="3"/>
      <c r="E78" s="13"/>
      <c r="F78" s="14"/>
      <c r="G78" s="14"/>
      <c r="H78" s="6">
        <f>SUM(H68:H76)</f>
        <v>43033.7404</v>
      </c>
    </row>
    <row r="79" spans="1:2" ht="12.75">
      <c r="A79" s="7"/>
      <c r="B79" s="7"/>
    </row>
    <row r="80" spans="1:8" ht="12.75">
      <c r="A80" s="12" t="s">
        <v>12</v>
      </c>
      <c r="B80" s="12"/>
      <c r="H80" s="6">
        <f>SUM(H78,H66,H47,H28,H13)</f>
        <v>754635.05733</v>
      </c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47">
      <selection activeCell="G49" sqref="G49"/>
    </sheetView>
  </sheetViews>
  <sheetFormatPr defaultColWidth="12.57421875" defaultRowHeight="15"/>
  <cols>
    <col min="1" max="1" width="12.57421875" style="2" customWidth="1"/>
    <col min="2" max="2" width="29.8515625" style="2" bestFit="1" customWidth="1"/>
    <col min="3" max="4" width="12.57421875" style="8" customWidth="1"/>
    <col min="5" max="5" width="12.57421875" style="9" customWidth="1"/>
    <col min="6" max="7" width="12.57421875" style="10" customWidth="1"/>
    <col min="8" max="8" width="12.57421875" style="11" customWidth="1"/>
    <col min="9" max="16384" width="12.57421875" style="2" customWidth="1"/>
  </cols>
  <sheetData>
    <row r="1" spans="1:8" ht="36" customHeight="1">
      <c r="A1" s="1" t="str">
        <f>Worksheet!A3</f>
        <v>Date</v>
      </c>
      <c r="B1" s="1" t="str">
        <f>Worksheet!B3</f>
        <v>Description</v>
      </c>
      <c r="C1" s="3" t="s">
        <v>1</v>
      </c>
      <c r="D1" s="3" t="s">
        <v>4</v>
      </c>
      <c r="E1" s="4" t="s">
        <v>3</v>
      </c>
      <c r="F1" s="5" t="s">
        <v>5</v>
      </c>
      <c r="G1" s="4" t="s">
        <v>3</v>
      </c>
      <c r="H1" s="6" t="s">
        <v>0</v>
      </c>
    </row>
    <row r="2" spans="1:8" ht="12.75">
      <c r="A2" s="7">
        <f>Worksheet!A4</f>
        <v>37316</v>
      </c>
      <c r="B2" s="2" t="str">
        <f>Worksheet!B4</f>
        <v>Post Mar1/02 cons only @ new rate</v>
      </c>
      <c r="C2" s="8">
        <f>SUM(Worksheet!E4)</f>
        <v>4319049</v>
      </c>
      <c r="D2" s="8">
        <f>SUM(Worksheet!F4)</f>
        <v>0</v>
      </c>
      <c r="E2" s="9">
        <f>'PILS Rates'!$B$6</f>
        <v>0.003</v>
      </c>
      <c r="F2" s="10">
        <f>'PILS Rates'!$C$6</f>
        <v>0</v>
      </c>
      <c r="H2" s="11">
        <f>(C2*E2)+(D2*F2)+(C2*G2)</f>
        <v>12957.147</v>
      </c>
    </row>
    <row r="3" spans="1:8" ht="12.75">
      <c r="A3" s="7">
        <f>Worksheet!A5</f>
        <v>37347</v>
      </c>
      <c r="B3" s="2" t="str">
        <f>Worksheet!B5</f>
        <v>Post Mar1/02 cons only @ new rate</v>
      </c>
      <c r="C3" s="8">
        <f>SUM(Worksheet!E5)</f>
        <v>2207161</v>
      </c>
      <c r="D3" s="8">
        <f>SUM(Worksheet!F5)</f>
        <v>0</v>
      </c>
      <c r="E3" s="9">
        <f>'PILS Rates'!$B$6</f>
        <v>0.003</v>
      </c>
      <c r="F3" s="10">
        <f>'PILS Rates'!$C$6</f>
        <v>0</v>
      </c>
      <c r="H3" s="11">
        <f aca="true" t="shared" si="0" ref="H3:H11">(C3*E3)+(D3*F3)+(C3*G3)</f>
        <v>6621.483</v>
      </c>
    </row>
    <row r="4" spans="1:8" ht="12.75">
      <c r="A4" s="7">
        <f>Worksheet!A6</f>
        <v>37377</v>
      </c>
      <c r="B4" s="2" t="str">
        <f>Worksheet!B6</f>
        <v>Post Mar1/02 cons only @ new rate</v>
      </c>
      <c r="C4" s="8">
        <f>SUM(Worksheet!E6)</f>
        <v>923103</v>
      </c>
      <c r="D4" s="8">
        <f>SUM(Worksheet!F6)</f>
        <v>0</v>
      </c>
      <c r="E4" s="9">
        <f>'PILS Rates'!$B$6</f>
        <v>0.003</v>
      </c>
      <c r="F4" s="10">
        <f>'PILS Rates'!$C$6</f>
        <v>0</v>
      </c>
      <c r="H4" s="11">
        <f t="shared" si="0"/>
        <v>2769.309</v>
      </c>
    </row>
    <row r="5" spans="1:8" ht="12.75">
      <c r="A5" s="7">
        <f>Worksheet!A7</f>
        <v>37408</v>
      </c>
      <c r="B5" s="2" t="str">
        <f>Worksheet!B7</f>
        <v>Post Mar1/02 cons only @ new rate</v>
      </c>
      <c r="C5" s="8">
        <f>SUM(Worksheet!E7)</f>
        <v>1576078</v>
      </c>
      <c r="D5" s="8">
        <f>SUM(Worksheet!F7)</f>
        <v>0</v>
      </c>
      <c r="E5" s="9">
        <f>'PILS Rates'!$B$6</f>
        <v>0.003</v>
      </c>
      <c r="F5" s="10">
        <f>'PILS Rates'!$C$6</f>
        <v>0</v>
      </c>
      <c r="H5" s="11">
        <f t="shared" si="0"/>
        <v>4728.234</v>
      </c>
    </row>
    <row r="6" spans="1:8" ht="12.75">
      <c r="A6" s="7">
        <f>Worksheet!A8</f>
        <v>37438</v>
      </c>
      <c r="B6" s="2" t="str">
        <f>Worksheet!B8</f>
        <v>Post Mar1/02 cons only @ new rate</v>
      </c>
      <c r="C6" s="8">
        <f>SUM(Worksheet!E8)</f>
        <v>1330114</v>
      </c>
      <c r="D6" s="8">
        <f>SUM(Worksheet!F8)</f>
        <v>0</v>
      </c>
      <c r="E6" s="9">
        <f>'PILS Rates'!$B$6</f>
        <v>0.003</v>
      </c>
      <c r="F6" s="10">
        <f>'PILS Rates'!$C$6</f>
        <v>0</v>
      </c>
      <c r="H6" s="11">
        <f t="shared" si="0"/>
        <v>3990.342</v>
      </c>
    </row>
    <row r="7" spans="1:8" ht="12.75">
      <c r="A7" s="7">
        <f>Worksheet!A9</f>
        <v>37469</v>
      </c>
      <c r="B7" s="2" t="str">
        <f>Worksheet!B9</f>
        <v>All consumption from Stats</v>
      </c>
      <c r="C7" s="8">
        <f>SUM(Worksheet!E9)</f>
        <v>2519362</v>
      </c>
      <c r="D7" s="8">
        <f>SUM(Worksheet!F9)</f>
        <v>0</v>
      </c>
      <c r="E7" s="9">
        <f>'PILS Rates'!$B$6</f>
        <v>0.003</v>
      </c>
      <c r="F7" s="10">
        <f>'PILS Rates'!$C$6</f>
        <v>0</v>
      </c>
      <c r="H7" s="11">
        <f t="shared" si="0"/>
        <v>7558.086</v>
      </c>
    </row>
    <row r="8" spans="1:8" ht="12.75">
      <c r="A8" s="7">
        <f>Worksheet!A10</f>
        <v>37500</v>
      </c>
      <c r="B8" s="2" t="str">
        <f>Worksheet!B10</f>
        <v>Post Mar1/02 cons only @ new rate</v>
      </c>
      <c r="C8" s="8">
        <f>SUM(Worksheet!E10)</f>
        <v>1792077</v>
      </c>
      <c r="D8" s="8">
        <f>SUM(Worksheet!F10)</f>
        <v>0</v>
      </c>
      <c r="E8" s="9">
        <f>'PILS Rates'!$B$6</f>
        <v>0.003</v>
      </c>
      <c r="F8" s="10">
        <f>'PILS Rates'!$C$6</f>
        <v>0</v>
      </c>
      <c r="H8" s="11">
        <f t="shared" si="0"/>
        <v>5376.231</v>
      </c>
    </row>
    <row r="9" spans="1:8" ht="12.75">
      <c r="A9" s="7">
        <f>Worksheet!A11</f>
        <v>37530</v>
      </c>
      <c r="B9" s="2" t="str">
        <f>Worksheet!B11</f>
        <v>Post Mar1/02 cons only @ new rate</v>
      </c>
      <c r="C9" s="8">
        <f>SUM(Worksheet!E11)</f>
        <v>1801493</v>
      </c>
      <c r="D9" s="8">
        <f>SUM(Worksheet!F11)</f>
        <v>0</v>
      </c>
      <c r="E9" s="9">
        <f>'PILS Rates'!$B$6</f>
        <v>0.003</v>
      </c>
      <c r="F9" s="10">
        <f>'PILS Rates'!$C$6</f>
        <v>0</v>
      </c>
      <c r="H9" s="11">
        <f t="shared" si="0"/>
        <v>5404.479</v>
      </c>
    </row>
    <row r="10" spans="1:8" ht="12.75">
      <c r="A10" s="7">
        <f>Worksheet!A12</f>
        <v>37561</v>
      </c>
      <c r="B10" s="2" t="str">
        <f>Worksheet!B12</f>
        <v>All consumption from Stats</v>
      </c>
      <c r="C10" s="8">
        <f>SUM(Worksheet!E12)</f>
        <v>1877821</v>
      </c>
      <c r="D10" s="8">
        <f>SUM(Worksheet!F12)</f>
        <v>0</v>
      </c>
      <c r="E10" s="9">
        <f>'PILS Rates'!$B$6</f>
        <v>0.003</v>
      </c>
      <c r="F10" s="10">
        <f>'PILS Rates'!$C$6</f>
        <v>0</v>
      </c>
      <c r="H10" s="11">
        <f t="shared" si="0"/>
        <v>5633.463</v>
      </c>
    </row>
    <row r="11" spans="1:8" ht="12.75">
      <c r="A11" s="7">
        <f>Worksheet!A13</f>
        <v>37591</v>
      </c>
      <c r="B11" s="2" t="str">
        <f>Worksheet!B13</f>
        <v>All consumption from Stats</v>
      </c>
      <c r="C11" s="8">
        <f>SUM(Worksheet!E13)</f>
        <v>4095938</v>
      </c>
      <c r="D11" s="8">
        <f>SUM(Worksheet!F13)</f>
        <v>0</v>
      </c>
      <c r="E11" s="9">
        <f>'PILS Rates'!$B$6</f>
        <v>0.003</v>
      </c>
      <c r="F11" s="10">
        <f>'PILS Rates'!$C$6</f>
        <v>0</v>
      </c>
      <c r="H11" s="11">
        <f t="shared" si="0"/>
        <v>12287.814</v>
      </c>
    </row>
    <row r="12" spans="1:2" ht="12.75">
      <c r="A12" s="7"/>
      <c r="B12" s="7"/>
    </row>
    <row r="13" spans="1:8" ht="12.75">
      <c r="A13" s="12" t="s">
        <v>0</v>
      </c>
      <c r="B13" s="12"/>
      <c r="C13" s="3"/>
      <c r="D13" s="3"/>
      <c r="E13" s="13"/>
      <c r="F13" s="14"/>
      <c r="G13" s="14"/>
      <c r="H13" s="6">
        <f>SUM(H2:H11)</f>
        <v>67326.588</v>
      </c>
    </row>
    <row r="14" spans="1:2" ht="12.75">
      <c r="A14" s="7"/>
      <c r="B14" s="7"/>
    </row>
    <row r="15" spans="1:8" ht="12.75">
      <c r="A15" s="7">
        <f>Worksheet!A14</f>
        <v>37622</v>
      </c>
      <c r="B15" s="7" t="str">
        <f>Worksheet!B14</f>
        <v>All consumption from Stats</v>
      </c>
      <c r="C15" s="8">
        <f>SUM(Worksheet!E14)</f>
        <v>-223289</v>
      </c>
      <c r="D15" s="8">
        <f>SUM(Worksheet!F14)</f>
        <v>0</v>
      </c>
      <c r="E15" s="9">
        <f>'PILS Rates'!$B$6</f>
        <v>0.003</v>
      </c>
      <c r="F15" s="10">
        <f>'PILS Rates'!$C$6</f>
        <v>0</v>
      </c>
      <c r="H15" s="11">
        <f aca="true" t="shared" si="1" ref="H15:H26">(C15*E15)+(D15*F15)+(C15*G15)</f>
        <v>-669.867</v>
      </c>
    </row>
    <row r="16" spans="1:8" ht="12.75">
      <c r="A16" s="7">
        <f>Worksheet!A15</f>
        <v>37653</v>
      </c>
      <c r="B16" s="7" t="str">
        <f>Worksheet!B15</f>
        <v>All consumption from Stats</v>
      </c>
      <c r="C16" s="8">
        <f>SUM(Worksheet!E15)</f>
        <v>1878617</v>
      </c>
      <c r="D16" s="8">
        <f>SUM(Worksheet!F15)</f>
        <v>0</v>
      </c>
      <c r="E16" s="9">
        <f>'PILS Rates'!$B$6</f>
        <v>0.003</v>
      </c>
      <c r="F16" s="10">
        <f>'PILS Rates'!$C$6</f>
        <v>0</v>
      </c>
      <c r="H16" s="11">
        <f t="shared" si="1"/>
        <v>5635.851000000001</v>
      </c>
    </row>
    <row r="17" spans="1:8" ht="12.75">
      <c r="A17" s="7">
        <f>Worksheet!A16</f>
        <v>37681</v>
      </c>
      <c r="B17" s="7" t="str">
        <f>Worksheet!B16</f>
        <v>All consumption from Stats</v>
      </c>
      <c r="C17" s="8">
        <f>SUM(Worksheet!E16)</f>
        <v>1937674</v>
      </c>
      <c r="D17" s="8">
        <f>SUM(Worksheet!F16)</f>
        <v>0</v>
      </c>
      <c r="E17" s="9">
        <f>'PILS Rates'!$B$6</f>
        <v>0.003</v>
      </c>
      <c r="F17" s="10">
        <f>'PILS Rates'!$C$6</f>
        <v>0</v>
      </c>
      <c r="H17" s="11">
        <f t="shared" si="1"/>
        <v>5813.022</v>
      </c>
    </row>
    <row r="18" spans="1:8" ht="12.75">
      <c r="A18" s="7">
        <f>Worksheet!A17</f>
        <v>37712</v>
      </c>
      <c r="B18" s="7" t="str">
        <f>Worksheet!B17</f>
        <v>All consumption from Stats</v>
      </c>
      <c r="C18" s="8">
        <f>SUM(Worksheet!E17)</f>
        <v>1441217</v>
      </c>
      <c r="D18" s="8">
        <f>SUM(Worksheet!F17)</f>
        <v>0</v>
      </c>
      <c r="E18" s="9">
        <f>'PILS Rates'!$B$6</f>
        <v>0.003</v>
      </c>
      <c r="F18" s="10">
        <f>'PILS Rates'!$C$6</f>
        <v>0</v>
      </c>
      <c r="H18" s="11">
        <f t="shared" si="1"/>
        <v>4323.651</v>
      </c>
    </row>
    <row r="19" spans="1:8" ht="12.75">
      <c r="A19" s="7">
        <f>Worksheet!A18</f>
        <v>37742</v>
      </c>
      <c r="B19" s="7" t="str">
        <f>Worksheet!B18</f>
        <v>All consumption from Stats</v>
      </c>
      <c r="C19" s="8">
        <f>SUM(Worksheet!E18)</f>
        <v>2336927</v>
      </c>
      <c r="D19" s="8">
        <f>SUM(Worksheet!F18)</f>
        <v>0</v>
      </c>
      <c r="E19" s="9">
        <f>'PILS Rates'!$B$6</f>
        <v>0.003</v>
      </c>
      <c r="F19" s="10">
        <f>'PILS Rates'!$C$6</f>
        <v>0</v>
      </c>
      <c r="H19" s="11">
        <f t="shared" si="1"/>
        <v>7010.781</v>
      </c>
    </row>
    <row r="20" spans="1:8" ht="12.75">
      <c r="A20" s="7">
        <f>Worksheet!A19</f>
        <v>37773</v>
      </c>
      <c r="B20" s="7" t="str">
        <f>Worksheet!B19</f>
        <v>All consumption from Stats</v>
      </c>
      <c r="C20" s="8">
        <f>SUM(Worksheet!E19)</f>
        <v>1460517</v>
      </c>
      <c r="D20" s="8">
        <f>SUM(Worksheet!F19)</f>
        <v>0</v>
      </c>
      <c r="E20" s="9">
        <f>'PILS Rates'!$B$6</f>
        <v>0.003</v>
      </c>
      <c r="F20" s="10">
        <f>'PILS Rates'!$C$6</f>
        <v>0</v>
      </c>
      <c r="H20" s="11">
        <f t="shared" si="1"/>
        <v>4381.551</v>
      </c>
    </row>
    <row r="21" spans="1:8" ht="12.75">
      <c r="A21" s="7">
        <f>Worksheet!A20</f>
        <v>37803</v>
      </c>
      <c r="B21" s="7" t="str">
        <f>Worksheet!B20</f>
        <v>All consumption from Stats</v>
      </c>
      <c r="C21" s="8">
        <f>SUM(Worksheet!E20)</f>
        <v>1751443</v>
      </c>
      <c r="D21" s="8">
        <f>SUM(Worksheet!F20)</f>
        <v>0</v>
      </c>
      <c r="E21" s="9">
        <f>'PILS Rates'!$B$6</f>
        <v>0.003</v>
      </c>
      <c r="F21" s="10">
        <f>'PILS Rates'!$C$6</f>
        <v>0</v>
      </c>
      <c r="H21" s="11">
        <f t="shared" si="1"/>
        <v>5254.329</v>
      </c>
    </row>
    <row r="22" spans="1:8" ht="12.75">
      <c r="A22" s="7">
        <f>Worksheet!A21</f>
        <v>37834</v>
      </c>
      <c r="B22" s="7" t="str">
        <f>Worksheet!B21</f>
        <v>All consumption from Stats</v>
      </c>
      <c r="C22" s="8">
        <f>SUM(Worksheet!E21)</f>
        <v>1771248</v>
      </c>
      <c r="D22" s="8">
        <f>SUM(Worksheet!F21)</f>
        <v>0</v>
      </c>
      <c r="E22" s="9">
        <f>'PILS Rates'!$B$6</f>
        <v>0.003</v>
      </c>
      <c r="F22" s="10">
        <f>'PILS Rates'!$C$6</f>
        <v>0</v>
      </c>
      <c r="H22" s="11">
        <f t="shared" si="1"/>
        <v>5313.744</v>
      </c>
    </row>
    <row r="23" spans="1:8" ht="12.75">
      <c r="A23" s="7">
        <f>Worksheet!A22</f>
        <v>37865</v>
      </c>
      <c r="B23" s="7" t="str">
        <f>Worksheet!B22</f>
        <v>All consumption from Stats</v>
      </c>
      <c r="C23" s="8">
        <f>SUM(Worksheet!E22)</f>
        <v>2204820</v>
      </c>
      <c r="D23" s="8">
        <f>SUM(Worksheet!F22)</f>
        <v>0</v>
      </c>
      <c r="E23" s="9">
        <f>'PILS Rates'!$B$6</f>
        <v>0.003</v>
      </c>
      <c r="F23" s="10">
        <f>'PILS Rates'!$C$6</f>
        <v>0</v>
      </c>
      <c r="H23" s="11">
        <f t="shared" si="1"/>
        <v>6614.46</v>
      </c>
    </row>
    <row r="24" spans="1:8" ht="12.75">
      <c r="A24" s="7">
        <f>Worksheet!A23</f>
        <v>37895</v>
      </c>
      <c r="B24" s="7" t="str">
        <f>Worksheet!B23</f>
        <v>All consumption from Stats</v>
      </c>
      <c r="C24" s="8">
        <f>SUM(Worksheet!E23)</f>
        <v>1104688</v>
      </c>
      <c r="D24" s="8">
        <f>SUM(Worksheet!F23)</f>
        <v>0</v>
      </c>
      <c r="E24" s="9">
        <f>'PILS Rates'!$B$6</f>
        <v>0.003</v>
      </c>
      <c r="F24" s="10">
        <f>'PILS Rates'!$C$6</f>
        <v>0</v>
      </c>
      <c r="H24" s="11">
        <f t="shared" si="1"/>
        <v>3314.064</v>
      </c>
    </row>
    <row r="25" spans="1:8" ht="12.75">
      <c r="A25" s="7">
        <f>Worksheet!A24</f>
        <v>37926</v>
      </c>
      <c r="B25" s="7" t="str">
        <f>Worksheet!B24</f>
        <v>All consumption from Stats</v>
      </c>
      <c r="C25" s="8">
        <f>SUM(Worksheet!E24)</f>
        <v>1636278</v>
      </c>
      <c r="D25" s="8">
        <f>SUM(Worksheet!F24)</f>
        <v>0</v>
      </c>
      <c r="E25" s="9">
        <f>'PILS Rates'!$B$6</f>
        <v>0.003</v>
      </c>
      <c r="F25" s="10">
        <f>'PILS Rates'!$C$6</f>
        <v>0</v>
      </c>
      <c r="H25" s="11">
        <f t="shared" si="1"/>
        <v>4908.834</v>
      </c>
    </row>
    <row r="26" spans="1:8" ht="12.75">
      <c r="A26" s="7">
        <f>Worksheet!A25</f>
        <v>37956</v>
      </c>
      <c r="B26" s="7" t="str">
        <f>Worksheet!B25</f>
        <v>All consumption from Stats</v>
      </c>
      <c r="C26" s="8">
        <f>SUM(Worksheet!E25)</f>
        <v>4286070</v>
      </c>
      <c r="D26" s="8">
        <f>SUM(Worksheet!F25)</f>
        <v>0</v>
      </c>
      <c r="E26" s="9">
        <f>'PILS Rates'!$B$6</f>
        <v>0.003</v>
      </c>
      <c r="F26" s="10">
        <f>'PILS Rates'!$C$6</f>
        <v>0</v>
      </c>
      <c r="H26" s="11">
        <f t="shared" si="1"/>
        <v>12858.210000000001</v>
      </c>
    </row>
    <row r="27" spans="1:2" ht="12.75">
      <c r="A27" s="7"/>
      <c r="B27" s="7"/>
    </row>
    <row r="28" spans="1:8" ht="12.75">
      <c r="A28" s="12" t="s">
        <v>0</v>
      </c>
      <c r="B28" s="12"/>
      <c r="C28" s="3"/>
      <c r="D28" s="3"/>
      <c r="E28" s="13"/>
      <c r="F28" s="14"/>
      <c r="G28" s="14"/>
      <c r="H28" s="6">
        <f>SUM(H15:H26)</f>
        <v>64758.63</v>
      </c>
    </row>
    <row r="29" spans="1:2" ht="12.75">
      <c r="A29" s="7"/>
      <c r="B29" s="7"/>
    </row>
    <row r="30" spans="1:8" ht="12.75">
      <c r="A30" s="7">
        <f>Worksheet!A26</f>
        <v>37987</v>
      </c>
      <c r="B30" s="7" t="str">
        <f>Worksheet!B26</f>
        <v>All consumption from Stats</v>
      </c>
      <c r="C30" s="8">
        <f>SUM(Worksheet!E26)</f>
        <v>-1099475</v>
      </c>
      <c r="D30" s="8">
        <f>SUM(Worksheet!F26)</f>
        <v>0</v>
      </c>
      <c r="E30" s="9">
        <f>'PILS Rates'!$B$6</f>
        <v>0.003</v>
      </c>
      <c r="F30" s="10">
        <f>'PILS Rates'!$C$6</f>
        <v>0</v>
      </c>
      <c r="H30" s="11">
        <f aca="true" t="shared" si="2" ref="H30:H45">(C30*E30)+(D30*F30)+(C30*G30)</f>
        <v>-3298.425</v>
      </c>
    </row>
    <row r="31" spans="1:8" ht="12.75">
      <c r="A31" s="7">
        <f>Worksheet!A27</f>
        <v>38018</v>
      </c>
      <c r="B31" s="7" t="str">
        <f>Worksheet!B27</f>
        <v>All consumption from Stats</v>
      </c>
      <c r="C31" s="8">
        <f>SUM(Worksheet!E27)</f>
        <v>2414772</v>
      </c>
      <c r="D31" s="8">
        <f>SUM(Worksheet!F27)</f>
        <v>0</v>
      </c>
      <c r="E31" s="9">
        <f>'PILS Rates'!$B$6</f>
        <v>0.003</v>
      </c>
      <c r="F31" s="10">
        <f>'PILS Rates'!$C$6</f>
        <v>0</v>
      </c>
      <c r="H31" s="11">
        <f t="shared" si="2"/>
        <v>7244.316</v>
      </c>
    </row>
    <row r="32" spans="1:8" ht="12.75">
      <c r="A32" s="7">
        <f>Worksheet!A28</f>
        <v>38047</v>
      </c>
      <c r="B32" s="7" t="str">
        <f>Worksheet!B28</f>
        <v>All consumption from Stats</v>
      </c>
      <c r="C32" s="8">
        <f>SUM(Worksheet!E28)</f>
        <v>2158012</v>
      </c>
      <c r="D32" s="8">
        <f>SUM(Worksheet!F28)</f>
        <v>0</v>
      </c>
      <c r="E32" s="9">
        <f>'PILS Rates'!$B$6</f>
        <v>0.003</v>
      </c>
      <c r="F32" s="10">
        <f>'PILS Rates'!$C$6</f>
        <v>0</v>
      </c>
      <c r="H32" s="11">
        <f t="shared" si="2"/>
        <v>6474.036</v>
      </c>
    </row>
    <row r="33" spans="1:8" ht="12.75">
      <c r="A33" s="7">
        <f>Worksheet!A29</f>
        <v>38078</v>
      </c>
      <c r="B33" s="7" t="str">
        <f>Worksheet!B29</f>
        <v>Pre Apr 1/04 cons only @ old rate</v>
      </c>
      <c r="C33" s="8">
        <f>SUM(Worksheet!E29)</f>
        <v>1723923</v>
      </c>
      <c r="D33" s="8">
        <f>SUM(Worksheet!F29)</f>
        <v>0</v>
      </c>
      <c r="E33" s="9">
        <f>'PILS Rates'!$B$6</f>
        <v>0.003</v>
      </c>
      <c r="F33" s="10">
        <f>'PILS Rates'!$C$6</f>
        <v>0</v>
      </c>
      <c r="H33" s="11">
        <f t="shared" si="2"/>
        <v>5171.769</v>
      </c>
    </row>
    <row r="34" spans="1:8" ht="12.75">
      <c r="A34" s="7">
        <f>Worksheet!A30</f>
        <v>38078</v>
      </c>
      <c r="B34" s="7" t="str">
        <f>Worksheet!B30</f>
        <v>Post Apr 1/04 cons only @ new rate</v>
      </c>
      <c r="C34" s="8">
        <f>SUM(Worksheet!E30)</f>
        <v>297471</v>
      </c>
      <c r="F34" s="9"/>
      <c r="G34" s="10">
        <f>'PILS Rates'!$D$6</f>
        <v>0.0025</v>
      </c>
      <c r="H34" s="11">
        <f t="shared" si="2"/>
        <v>743.6775</v>
      </c>
    </row>
    <row r="35" spans="1:8" ht="12.75">
      <c r="A35" s="7">
        <f>Worksheet!A31</f>
        <v>38108</v>
      </c>
      <c r="B35" s="7" t="str">
        <f>Worksheet!B31</f>
        <v>Pre Apr 1/04 cons only @ old rate</v>
      </c>
      <c r="C35" s="8">
        <f>SUM(Worksheet!E31)</f>
        <v>153546</v>
      </c>
      <c r="E35" s="9">
        <f>'PILS Rates'!$B$6</f>
        <v>0.003</v>
      </c>
      <c r="F35" s="10">
        <f>'PILS Rates'!$C$6</f>
        <v>0</v>
      </c>
      <c r="H35" s="11">
        <f t="shared" si="2"/>
        <v>460.63800000000003</v>
      </c>
    </row>
    <row r="36" spans="1:8" ht="12.75">
      <c r="A36" s="7">
        <f>Worksheet!A32</f>
        <v>38108</v>
      </c>
      <c r="B36" s="7" t="str">
        <f>Worksheet!B32</f>
        <v>Post Apr 1/04 cons only @ new rate</v>
      </c>
      <c r="C36" s="8">
        <f>SUM(Worksheet!E32)</f>
        <v>1163533</v>
      </c>
      <c r="F36" s="9"/>
      <c r="G36" s="10">
        <f>'PILS Rates'!$D$6</f>
        <v>0.0025</v>
      </c>
      <c r="H36" s="11">
        <f t="shared" si="2"/>
        <v>2908.8325</v>
      </c>
    </row>
    <row r="37" spans="1:8" ht="12.75">
      <c r="A37" s="7">
        <f>Worksheet!A33</f>
        <v>38139</v>
      </c>
      <c r="B37" s="7" t="str">
        <f>Worksheet!B33</f>
        <v>Pre Apr 1/04 cons only @ old rate</v>
      </c>
      <c r="C37" s="8">
        <f>SUM(Worksheet!E33)</f>
        <v>-19429</v>
      </c>
      <c r="D37" s="8">
        <f>SUM(Worksheet!F31)</f>
        <v>0</v>
      </c>
      <c r="E37" s="9">
        <f>'PILS Rates'!$B$6</f>
        <v>0.003</v>
      </c>
      <c r="F37" s="10">
        <f>'PILS Rates'!$C$6</f>
        <v>0</v>
      </c>
      <c r="H37" s="11">
        <f t="shared" si="2"/>
        <v>-58.287</v>
      </c>
    </row>
    <row r="38" spans="1:8" ht="12.75">
      <c r="A38" s="7">
        <f>Worksheet!A34</f>
        <v>38139</v>
      </c>
      <c r="B38" s="7" t="str">
        <f>Worksheet!B34</f>
        <v>Post Apr 1/04 cons only @ new rate</v>
      </c>
      <c r="C38" s="8">
        <f>SUM(Worksheet!E34)</f>
        <v>1812081</v>
      </c>
      <c r="D38" s="8">
        <f>SUM(Worksheet!F33)</f>
        <v>0</v>
      </c>
      <c r="F38" s="9"/>
      <c r="G38" s="10">
        <f>'PILS Rates'!$D$6</f>
        <v>0.0025</v>
      </c>
      <c r="H38" s="11">
        <f t="shared" si="2"/>
        <v>4530.2025</v>
      </c>
    </row>
    <row r="39" spans="1:8" ht="12.75">
      <c r="A39" s="7">
        <f>Worksheet!A35</f>
        <v>38169</v>
      </c>
      <c r="B39" s="7" t="str">
        <f>Worksheet!B35</f>
        <v>All consumption from Stats</v>
      </c>
      <c r="C39" s="8">
        <f>SUM(Worksheet!E35)</f>
        <v>1203365</v>
      </c>
      <c r="D39" s="8">
        <f>SUM(Worksheet!F35)</f>
        <v>0</v>
      </c>
      <c r="F39" s="9"/>
      <c r="G39" s="10">
        <f>'PILS Rates'!$D$6</f>
        <v>0.0025</v>
      </c>
      <c r="H39" s="11">
        <f t="shared" si="2"/>
        <v>3008.4125</v>
      </c>
    </row>
    <row r="40" spans="1:8" ht="12.75">
      <c r="A40" s="7">
        <f>Worksheet!A36</f>
        <v>38200</v>
      </c>
      <c r="B40" s="7" t="str">
        <f>Worksheet!B36</f>
        <v>Pre Apr 1/04 cons only @ old rate</v>
      </c>
      <c r="C40" s="8">
        <f>SUM(Worksheet!E36)</f>
        <v>0</v>
      </c>
      <c r="D40" s="8">
        <f>SUM(Worksheet!F36)</f>
        <v>0</v>
      </c>
      <c r="E40" s="9">
        <f>'PILS Rates'!$B$6</f>
        <v>0.003</v>
      </c>
      <c r="F40" s="10">
        <f>'PILS Rates'!$C$6</f>
        <v>0</v>
      </c>
      <c r="H40" s="11">
        <f t="shared" si="2"/>
        <v>0</v>
      </c>
    </row>
    <row r="41" spans="1:8" ht="12.75">
      <c r="A41" s="7">
        <f>Worksheet!A37</f>
        <v>38200</v>
      </c>
      <c r="B41" s="7" t="str">
        <f>Worksheet!B37</f>
        <v>Post Apr 1/04 cons only @ new rate</v>
      </c>
      <c r="C41" s="8">
        <f>SUM(Worksheet!E37)</f>
        <v>2268330</v>
      </c>
      <c r="D41" s="8">
        <f>SUM(Worksheet!F37)</f>
        <v>0</v>
      </c>
      <c r="F41" s="9"/>
      <c r="G41" s="10">
        <f>'PILS Rates'!$D$6</f>
        <v>0.0025</v>
      </c>
      <c r="H41" s="11">
        <f>(C41*E41)+(D41*F41)+(C41*G41)</f>
        <v>5670.825</v>
      </c>
    </row>
    <row r="42" spans="1:8" ht="12.75">
      <c r="A42" s="7">
        <f>Worksheet!A38</f>
        <v>38231</v>
      </c>
      <c r="B42" s="7" t="str">
        <f>Worksheet!B38</f>
        <v>All consumption from Stats</v>
      </c>
      <c r="C42" s="8">
        <f>SUM(Worksheet!E38)</f>
        <v>1583391</v>
      </c>
      <c r="D42" s="8">
        <f>SUM(Worksheet!F38)</f>
        <v>0</v>
      </c>
      <c r="F42" s="9"/>
      <c r="G42" s="10">
        <f>'PILS Rates'!$D$6</f>
        <v>0.0025</v>
      </c>
      <c r="H42" s="11">
        <f t="shared" si="2"/>
        <v>3958.4775</v>
      </c>
    </row>
    <row r="43" spans="1:8" ht="12.75">
      <c r="A43" s="7">
        <f>Worksheet!A39</f>
        <v>38261</v>
      </c>
      <c r="B43" s="7" t="str">
        <f>Worksheet!B39</f>
        <v>All consumption from Stats</v>
      </c>
      <c r="C43" s="8">
        <f>SUM(Worksheet!E39)</f>
        <v>1250714</v>
      </c>
      <c r="D43" s="8">
        <f>SUM(Worksheet!F39)</f>
        <v>0</v>
      </c>
      <c r="F43" s="9"/>
      <c r="G43" s="10">
        <f>'PILS Rates'!$D$6</f>
        <v>0.0025</v>
      </c>
      <c r="H43" s="11">
        <f t="shared" si="2"/>
        <v>3126.785</v>
      </c>
    </row>
    <row r="44" spans="1:8" ht="12.75">
      <c r="A44" s="7">
        <f>Worksheet!A40</f>
        <v>38292</v>
      </c>
      <c r="B44" s="7" t="str">
        <f>Worksheet!B40</f>
        <v>All consumption from Stats</v>
      </c>
      <c r="C44" s="8">
        <f>SUM(Worksheet!E40)</f>
        <v>1954748</v>
      </c>
      <c r="D44" s="8">
        <f>SUM(Worksheet!F40)</f>
        <v>0</v>
      </c>
      <c r="F44" s="9"/>
      <c r="G44" s="10">
        <f>'PILS Rates'!$D$6</f>
        <v>0.0025</v>
      </c>
      <c r="H44" s="11">
        <f t="shared" si="2"/>
        <v>4886.87</v>
      </c>
    </row>
    <row r="45" spans="1:8" ht="12.75">
      <c r="A45" s="7">
        <f>Worksheet!A41</f>
        <v>38322</v>
      </c>
      <c r="B45" s="7" t="str">
        <f>Worksheet!B41</f>
        <v>All consumption from Stats</v>
      </c>
      <c r="C45" s="8">
        <f>SUM(Worksheet!E41)</f>
        <v>3880627</v>
      </c>
      <c r="D45" s="8">
        <f>SUM(Worksheet!F41)</f>
        <v>0</v>
      </c>
      <c r="F45" s="9"/>
      <c r="G45" s="10">
        <f>'PILS Rates'!$D$6</f>
        <v>0.0025</v>
      </c>
      <c r="H45" s="11">
        <f t="shared" si="2"/>
        <v>9701.567500000001</v>
      </c>
    </row>
    <row r="46" spans="1:2" ht="12.75">
      <c r="A46" s="7"/>
      <c r="B46" s="7"/>
    </row>
    <row r="47" spans="1:8" ht="12.75">
      <c r="A47" s="12" t="s">
        <v>0</v>
      </c>
      <c r="B47" s="12"/>
      <c r="C47" s="3"/>
      <c r="D47" s="3"/>
      <c r="E47" s="13"/>
      <c r="F47" s="14"/>
      <c r="G47" s="14"/>
      <c r="H47" s="6">
        <f>SUM(H30:H45)</f>
        <v>54529.697</v>
      </c>
    </row>
    <row r="48" spans="1:2" ht="12.75">
      <c r="A48" s="7"/>
      <c r="B48" s="7"/>
    </row>
    <row r="49" spans="1:8" ht="12.75">
      <c r="A49" s="7">
        <f>Worksheet!A42</f>
        <v>38353</v>
      </c>
      <c r="B49" s="7" t="str">
        <f>Worksheet!B42</f>
        <v>All consumption from Stats</v>
      </c>
      <c r="C49" s="8">
        <f>SUM(Worksheet!E42)</f>
        <v>-527149</v>
      </c>
      <c r="D49" s="8">
        <f>SUM(Worksheet!F42)</f>
        <v>0</v>
      </c>
      <c r="G49" s="10">
        <f>'PILS Rates'!$D$6</f>
        <v>0.0025</v>
      </c>
      <c r="H49" s="11">
        <f aca="true" t="shared" si="3" ref="H49:H64">(C49*E49)+(D49*F49)+(C49*G49)</f>
        <v>-1317.8725</v>
      </c>
    </row>
    <row r="50" spans="1:8" ht="12.75">
      <c r="A50" s="7">
        <f>Worksheet!A43</f>
        <v>38384</v>
      </c>
      <c r="B50" s="7" t="str">
        <f>Worksheet!B43</f>
        <v>All consumption from Stats</v>
      </c>
      <c r="C50" s="8">
        <f>SUM(Worksheet!E43)</f>
        <v>2198604</v>
      </c>
      <c r="D50" s="8">
        <f>SUM(Worksheet!F43)</f>
        <v>0</v>
      </c>
      <c r="G50" s="10">
        <f>'PILS Rates'!$D$6</f>
        <v>0.0025</v>
      </c>
      <c r="H50" s="11">
        <f t="shared" si="3"/>
        <v>5496.51</v>
      </c>
    </row>
    <row r="51" spans="1:8" ht="12.75">
      <c r="A51" s="7">
        <f>Worksheet!A44</f>
        <v>38412</v>
      </c>
      <c r="B51" s="7" t="str">
        <f>Worksheet!B44</f>
        <v>All consumption from Stats</v>
      </c>
      <c r="C51" s="8">
        <f>SUM(Worksheet!E44)</f>
        <v>2090431</v>
      </c>
      <c r="D51" s="8">
        <f>SUM(Worksheet!F44)</f>
        <v>0</v>
      </c>
      <c r="G51" s="10">
        <f>'PILS Rates'!$D$6</f>
        <v>0.0025</v>
      </c>
      <c r="H51" s="11">
        <f t="shared" si="3"/>
        <v>5226.0775</v>
      </c>
    </row>
    <row r="52" spans="1:8" ht="12.75">
      <c r="A52" s="7">
        <f>Worksheet!A45</f>
        <v>38443</v>
      </c>
      <c r="B52" s="7" t="str">
        <f>Worksheet!B45</f>
        <v>Pre Apr 1/05 cons only @ old rate</v>
      </c>
      <c r="C52" s="8">
        <f>SUM(Worksheet!E45)</f>
        <v>1590367</v>
      </c>
      <c r="D52" s="8">
        <f>SUM(Worksheet!F45)</f>
        <v>0</v>
      </c>
      <c r="G52" s="10">
        <f>'PILS Rates'!$D$6</f>
        <v>0.0025</v>
      </c>
      <c r="H52" s="11">
        <f t="shared" si="3"/>
        <v>3975.9175</v>
      </c>
    </row>
    <row r="53" spans="1:8" ht="12.75">
      <c r="A53" s="7">
        <f>Worksheet!A46</f>
        <v>38443</v>
      </c>
      <c r="B53" s="7" t="str">
        <f>Worksheet!B46</f>
        <v>Post Apr 1/05 cons only @ new rate</v>
      </c>
      <c r="C53" s="8">
        <f>SUM(Worksheet!E46)</f>
        <v>131186</v>
      </c>
      <c r="D53" s="8">
        <f>SUM(Worksheet!F46)</f>
        <v>0</v>
      </c>
      <c r="G53" s="10">
        <f>'PILS Rates'!$E$6</f>
        <v>0.0019</v>
      </c>
      <c r="H53" s="11">
        <f t="shared" si="3"/>
        <v>249.2534</v>
      </c>
    </row>
    <row r="54" spans="1:8" ht="12.75">
      <c r="A54" s="7">
        <f>Worksheet!A47</f>
        <v>38473</v>
      </c>
      <c r="B54" s="7" t="str">
        <f>Worksheet!B47</f>
        <v>Pre Apr 1/05 cons only @ old rate</v>
      </c>
      <c r="C54" s="8">
        <f>SUM(Worksheet!E47)</f>
        <v>494842</v>
      </c>
      <c r="D54" s="8">
        <f>SUM(Worksheet!F47)</f>
        <v>0</v>
      </c>
      <c r="G54" s="10">
        <f>'PILS Rates'!$D$6</f>
        <v>0.0025</v>
      </c>
      <c r="H54" s="11">
        <f t="shared" si="3"/>
        <v>1237.105</v>
      </c>
    </row>
    <row r="55" spans="1:8" ht="12.75">
      <c r="A55" s="7">
        <f>Worksheet!A48</f>
        <v>38473</v>
      </c>
      <c r="B55" s="7" t="str">
        <f>Worksheet!B48</f>
        <v>Post Apr 1/05 cons only @ new rate</v>
      </c>
      <c r="C55" s="8">
        <f>SUM(Worksheet!E48)</f>
        <v>1333324</v>
      </c>
      <c r="D55" s="8">
        <f>SUM(Worksheet!F48)</f>
        <v>0</v>
      </c>
      <c r="G55" s="10">
        <f>'PILS Rates'!$E$6</f>
        <v>0.0019</v>
      </c>
      <c r="H55" s="11">
        <f t="shared" si="3"/>
        <v>2533.3156</v>
      </c>
    </row>
    <row r="56" spans="1:8" ht="12.75">
      <c r="A56" s="7">
        <f>Worksheet!A49</f>
        <v>38504</v>
      </c>
      <c r="B56" s="7" t="str">
        <f>Worksheet!B49</f>
        <v>Pre Apr 1/05 cons only @ old rate</v>
      </c>
      <c r="C56" s="8">
        <f>SUM(Worksheet!E49)</f>
        <v>0</v>
      </c>
      <c r="D56" s="8">
        <f>SUM(Worksheet!F49)</f>
        <v>0</v>
      </c>
      <c r="G56" s="10">
        <f>'PILS Rates'!$D$6</f>
        <v>0.0025</v>
      </c>
      <c r="H56" s="11">
        <f t="shared" si="3"/>
        <v>0</v>
      </c>
    </row>
    <row r="57" spans="1:8" ht="12.75">
      <c r="A57" s="7">
        <f>Worksheet!A50</f>
        <v>38504</v>
      </c>
      <c r="B57" s="7" t="str">
        <f>Worksheet!B50</f>
        <v>Post Apr 1/05 cons only @ new rate</v>
      </c>
      <c r="C57" s="8">
        <f>SUM(Worksheet!E50)</f>
        <v>1952568</v>
      </c>
      <c r="D57" s="8">
        <f>SUM(Worksheet!F50)</f>
        <v>0</v>
      </c>
      <c r="G57" s="10">
        <f>'PILS Rates'!$E$6</f>
        <v>0.0019</v>
      </c>
      <c r="H57" s="11">
        <f t="shared" si="3"/>
        <v>3709.8792</v>
      </c>
    </row>
    <row r="58" spans="1:8" ht="12.75">
      <c r="A58" s="7">
        <f>Worksheet!A51</f>
        <v>38534</v>
      </c>
      <c r="B58" s="7" t="str">
        <f>Worksheet!B51</f>
        <v>All consumption from Stats</v>
      </c>
      <c r="C58" s="8">
        <f>SUM(Worksheet!E51)</f>
        <v>1365402</v>
      </c>
      <c r="D58" s="8">
        <f>SUM(Worksheet!F51)</f>
        <v>0</v>
      </c>
      <c r="G58" s="10">
        <f>'PILS Rates'!$E$6</f>
        <v>0.0019</v>
      </c>
      <c r="H58" s="11">
        <f t="shared" si="3"/>
        <v>2594.2638</v>
      </c>
    </row>
    <row r="59" spans="1:8" ht="12.75">
      <c r="A59" s="7">
        <f>Worksheet!A52</f>
        <v>38565</v>
      </c>
      <c r="B59" s="7" t="str">
        <f>Worksheet!B52</f>
        <v>Pre Apr 1/05 cons only @ old rate</v>
      </c>
      <c r="C59" s="8">
        <f>SUM(Worksheet!E52)</f>
        <v>0</v>
      </c>
      <c r="D59" s="8">
        <f>SUM(Worksheet!F52)</f>
        <v>0</v>
      </c>
      <c r="G59" s="10">
        <f>'PILS Rates'!$D$6</f>
        <v>0.0025</v>
      </c>
      <c r="H59" s="11">
        <f t="shared" si="3"/>
        <v>0</v>
      </c>
    </row>
    <row r="60" spans="1:8" ht="12.75">
      <c r="A60" s="7">
        <f>Worksheet!A53</f>
        <v>38565</v>
      </c>
      <c r="B60" s="7" t="str">
        <f>Worksheet!B53</f>
        <v>Post Apr 1/05 cons only @ new rate</v>
      </c>
      <c r="C60" s="8">
        <f>SUM(Worksheet!E53)</f>
        <v>2560150</v>
      </c>
      <c r="D60" s="8">
        <f>SUM(Worksheet!F53)</f>
        <v>0</v>
      </c>
      <c r="G60" s="10">
        <f>'PILS Rates'!$E$6</f>
        <v>0.0019</v>
      </c>
      <c r="H60" s="11">
        <f>(C60*E60)+(D60*F60)+(C60*G60)</f>
        <v>4864.285</v>
      </c>
    </row>
    <row r="61" spans="1:8" ht="12.75">
      <c r="A61" s="7">
        <f>Worksheet!A54</f>
        <v>38596</v>
      </c>
      <c r="B61" s="7" t="str">
        <f>Worksheet!B54</f>
        <v>All consumption from Stats</v>
      </c>
      <c r="C61" s="8">
        <f>SUM(Worksheet!E54)</f>
        <v>1684721</v>
      </c>
      <c r="D61" s="8">
        <f>SUM(Worksheet!F54)</f>
        <v>0</v>
      </c>
      <c r="G61" s="10">
        <f>'PILS Rates'!$E$6</f>
        <v>0.0019</v>
      </c>
      <c r="H61" s="11">
        <f>(C61*E61)+(D61*F61)+(C61*G61)</f>
        <v>3200.9699</v>
      </c>
    </row>
    <row r="62" spans="1:8" ht="12.75">
      <c r="A62" s="7">
        <f>Worksheet!A55</f>
        <v>38626</v>
      </c>
      <c r="B62" s="7" t="str">
        <f>Worksheet!B55</f>
        <v>All consumption from Stats</v>
      </c>
      <c r="C62" s="8">
        <f>SUM(Worksheet!E55)</f>
        <v>1609043</v>
      </c>
      <c r="D62" s="8">
        <f>SUM(Worksheet!F55)</f>
        <v>0</v>
      </c>
      <c r="G62" s="10">
        <f>'PILS Rates'!$E$6</f>
        <v>0.0019</v>
      </c>
      <c r="H62" s="11">
        <f t="shared" si="3"/>
        <v>3057.1817</v>
      </c>
    </row>
    <row r="63" spans="1:8" ht="12.75">
      <c r="A63" s="7">
        <f>Worksheet!A56</f>
        <v>38657</v>
      </c>
      <c r="B63" s="7" t="str">
        <f>Worksheet!B56</f>
        <v>All consumption from Stats</v>
      </c>
      <c r="C63" s="8">
        <f>SUM(Worksheet!E56)</f>
        <v>1867109</v>
      </c>
      <c r="D63" s="8">
        <f>SUM(Worksheet!F56)</f>
        <v>0</v>
      </c>
      <c r="G63" s="10">
        <f>'PILS Rates'!$E$6</f>
        <v>0.0019</v>
      </c>
      <c r="H63" s="11">
        <f t="shared" si="3"/>
        <v>3547.5071</v>
      </c>
    </row>
    <row r="64" spans="1:8" ht="12.75">
      <c r="A64" s="7">
        <f>Worksheet!A57</f>
        <v>38687</v>
      </c>
      <c r="B64" s="7" t="str">
        <f>Worksheet!B57</f>
        <v>All consumption from Stats</v>
      </c>
      <c r="C64" s="8">
        <f>SUM(Worksheet!E57)</f>
        <v>3705796</v>
      </c>
      <c r="D64" s="8">
        <f>SUM(Worksheet!F57)</f>
        <v>0</v>
      </c>
      <c r="G64" s="10">
        <f>'PILS Rates'!$E$6</f>
        <v>0.0019</v>
      </c>
      <c r="H64" s="11">
        <f t="shared" si="3"/>
        <v>7041.0124</v>
      </c>
    </row>
    <row r="65" spans="1:2" ht="12.75">
      <c r="A65" s="7"/>
      <c r="B65" s="7"/>
    </row>
    <row r="66" spans="1:8" ht="12.75">
      <c r="A66" s="12" t="s">
        <v>0</v>
      </c>
      <c r="B66" s="12"/>
      <c r="C66" s="3"/>
      <c r="D66" s="3"/>
      <c r="E66" s="13"/>
      <c r="F66" s="14"/>
      <c r="G66" s="14"/>
      <c r="H66" s="6">
        <f>SUM(H49:H64)</f>
        <v>45415.4056</v>
      </c>
    </row>
    <row r="67" spans="1:2" ht="12.75">
      <c r="A67" s="7"/>
      <c r="B67" s="7"/>
    </row>
    <row r="68" spans="1:8" ht="12.75">
      <c r="A68" s="7">
        <f>Worksheet!A58</f>
        <v>38718</v>
      </c>
      <c r="B68" s="7" t="str">
        <f>Worksheet!B58</f>
        <v>All consumption from Stats</v>
      </c>
      <c r="C68" s="8">
        <f>SUM(Worksheet!E58)</f>
        <v>-487872</v>
      </c>
      <c r="D68" s="8">
        <f>SUM(Worksheet!F58)</f>
        <v>0</v>
      </c>
      <c r="G68" s="10">
        <f>'PILS Rates'!$E$6</f>
        <v>0.0019</v>
      </c>
      <c r="H68" s="11">
        <f aca="true" t="shared" si="4" ref="H68:H76">(C68*E68)+(D68*F68)+(C68*G68)</f>
        <v>-926.9568</v>
      </c>
    </row>
    <row r="69" spans="1:8" ht="12.75">
      <c r="A69" s="7">
        <f>Worksheet!A59</f>
        <v>38749</v>
      </c>
      <c r="B69" s="7" t="str">
        <f>Worksheet!B59</f>
        <v>All consumption from Stats</v>
      </c>
      <c r="C69" s="8">
        <f>SUM(Worksheet!E59)</f>
        <v>2330448</v>
      </c>
      <c r="D69" s="8">
        <f>SUM(Worksheet!F59)</f>
        <v>0</v>
      </c>
      <c r="G69" s="10">
        <f>'PILS Rates'!$E$6</f>
        <v>0.0019</v>
      </c>
      <c r="H69" s="11">
        <f t="shared" si="4"/>
        <v>4427.8512</v>
      </c>
    </row>
    <row r="70" spans="1:8" ht="12.75">
      <c r="A70" s="7">
        <f>Worksheet!A60</f>
        <v>38777</v>
      </c>
      <c r="B70" s="7" t="str">
        <f>Worksheet!B60</f>
        <v>All consumption from Stats</v>
      </c>
      <c r="C70" s="8">
        <f>SUM(Worksheet!E60)</f>
        <v>2127511</v>
      </c>
      <c r="D70" s="8">
        <f>SUM(Worksheet!F60)</f>
        <v>0</v>
      </c>
      <c r="G70" s="10">
        <f>'PILS Rates'!$E$6</f>
        <v>0.0019</v>
      </c>
      <c r="H70" s="11">
        <f t="shared" si="4"/>
        <v>4042.2709</v>
      </c>
    </row>
    <row r="71" spans="1:9" ht="12.75">
      <c r="A71" s="7">
        <f>Worksheet!A61</f>
        <v>38808</v>
      </c>
      <c r="B71" s="7" t="str">
        <f>Worksheet!B61</f>
        <v>All consumption from Stats</v>
      </c>
      <c r="C71" s="8">
        <f>SUM(Worksheet!E61)</f>
        <v>1418436</v>
      </c>
      <c r="D71" s="8">
        <f>SUM(Worksheet!F61)</f>
        <v>0</v>
      </c>
      <c r="G71" s="10">
        <f>'PILS Rates'!$E$6</f>
        <v>0.0019</v>
      </c>
      <c r="H71" s="11">
        <f t="shared" si="4"/>
        <v>2695.0284</v>
      </c>
      <c r="I71" s="15"/>
    </row>
    <row r="72" spans="1:8" ht="12.75">
      <c r="A72" s="7">
        <f>Worksheet!A62</f>
        <v>38838</v>
      </c>
      <c r="B72" s="7" t="str">
        <f>Worksheet!B62</f>
        <v>Pre Apr 30/06 cons only @ old rate</v>
      </c>
      <c r="C72" s="8">
        <f>SUM(Worksheet!E62)</f>
        <v>1978315</v>
      </c>
      <c r="D72" s="8">
        <f>SUM(Worksheet!F62)</f>
        <v>0</v>
      </c>
      <c r="G72" s="10">
        <f>'PILS Rates'!$E$6</f>
        <v>0.0019</v>
      </c>
      <c r="H72" s="11">
        <f t="shared" si="4"/>
        <v>3758.7985</v>
      </c>
    </row>
    <row r="73" spans="1:8" ht="12.75">
      <c r="A73" s="7">
        <f>Worksheet!A63</f>
        <v>38869</v>
      </c>
      <c r="B73" s="7" t="str">
        <f>Worksheet!B63</f>
        <v>Pre Apr 30/06 cons only @ old rate</v>
      </c>
      <c r="C73" s="8">
        <f>SUM(Worksheet!E63)</f>
        <v>152479</v>
      </c>
      <c r="D73" s="8">
        <f>SUM(Worksheet!F63)</f>
        <v>0</v>
      </c>
      <c r="G73" s="10">
        <f>'PILS Rates'!$E$6</f>
        <v>0.0019</v>
      </c>
      <c r="H73" s="11">
        <f t="shared" si="4"/>
        <v>289.7101</v>
      </c>
    </row>
    <row r="74" spans="1:8" ht="12.75">
      <c r="A74" s="7">
        <f>Worksheet!A64</f>
        <v>38899</v>
      </c>
      <c r="B74" s="7" t="str">
        <f>Worksheet!B64</f>
        <v>Pre Apr 30/06 cons only @ old rate</v>
      </c>
      <c r="C74" s="8">
        <f>SUM(Worksheet!E64)</f>
        <v>0</v>
      </c>
      <c r="D74" s="8">
        <f>SUM(Worksheet!F64)</f>
        <v>0</v>
      </c>
      <c r="G74" s="10">
        <f>'PILS Rates'!$E$6</f>
        <v>0.0019</v>
      </c>
      <c r="H74" s="11">
        <f t="shared" si="4"/>
        <v>0</v>
      </c>
    </row>
    <row r="75" spans="1:8" ht="12.75">
      <c r="A75" s="7">
        <f>Worksheet!A65</f>
        <v>38930</v>
      </c>
      <c r="B75" s="7" t="str">
        <f>Worksheet!B65</f>
        <v>Pre Apr 30/06 cons only @ old rate</v>
      </c>
      <c r="C75" s="8">
        <f>SUM(Worksheet!E65)</f>
        <v>0</v>
      </c>
      <c r="D75" s="8">
        <f>SUM(Worksheet!F65)</f>
        <v>0</v>
      </c>
      <c r="G75" s="10">
        <f>'PILS Rates'!$E$6</f>
        <v>0.0019</v>
      </c>
      <c r="H75" s="11">
        <f t="shared" si="4"/>
        <v>0</v>
      </c>
    </row>
    <row r="76" spans="1:8" ht="12.75">
      <c r="A76" s="7">
        <f>Worksheet!A66</f>
        <v>38961</v>
      </c>
      <c r="B76" s="7" t="str">
        <f>Worksheet!B66</f>
        <v>Pre Apr 30/06 cons only @ old rate</v>
      </c>
      <c r="C76" s="8">
        <f>SUM(Worksheet!E66)</f>
        <v>0</v>
      </c>
      <c r="D76" s="8">
        <f>SUM(Worksheet!F66)</f>
        <v>0</v>
      </c>
      <c r="G76" s="10">
        <f>'PILS Rates'!$E$6</f>
        <v>0.0019</v>
      </c>
      <c r="H76" s="11">
        <f t="shared" si="4"/>
        <v>0</v>
      </c>
    </row>
    <row r="77" spans="1:2" ht="12.75">
      <c r="A77" s="7"/>
      <c r="B77" s="7"/>
    </row>
    <row r="78" spans="1:8" ht="12.75">
      <c r="A78" s="12" t="s">
        <v>0</v>
      </c>
      <c r="B78" s="12"/>
      <c r="C78" s="3"/>
      <c r="D78" s="3"/>
      <c r="E78" s="13"/>
      <c r="F78" s="14"/>
      <c r="G78" s="14"/>
      <c r="H78" s="6">
        <f>SUM(H68:H76)</f>
        <v>14286.7023</v>
      </c>
    </row>
    <row r="79" spans="1:2" ht="12.75">
      <c r="A79" s="7"/>
      <c r="B79" s="7"/>
    </row>
    <row r="80" spans="1:8" ht="12.75">
      <c r="A80" s="12" t="s">
        <v>12</v>
      </c>
      <c r="B80" s="12"/>
      <c r="H80" s="6">
        <f>SUM(H78,H66,H47,H28,H13)</f>
        <v>246317.02289999998</v>
      </c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46">
      <selection activeCell="C51" sqref="C51"/>
    </sheetView>
  </sheetViews>
  <sheetFormatPr defaultColWidth="9.140625" defaultRowHeight="15"/>
  <cols>
    <col min="1" max="1" width="11.7109375" style="2" customWidth="1"/>
    <col min="2" max="2" width="29.8515625" style="2" bestFit="1" customWidth="1"/>
    <col min="3" max="3" width="15.421875" style="8" bestFit="1" customWidth="1"/>
    <col min="4" max="4" width="15.57421875" style="8" bestFit="1" customWidth="1"/>
    <col min="5" max="5" width="15.7109375" style="9" customWidth="1"/>
    <col min="6" max="6" width="13.00390625" style="10" customWidth="1"/>
    <col min="7" max="7" width="11.28125" style="10" customWidth="1"/>
    <col min="8" max="8" width="13.28125" style="11" customWidth="1"/>
    <col min="9" max="16384" width="9.140625" style="2" customWidth="1"/>
  </cols>
  <sheetData>
    <row r="1" spans="2:8" ht="36" customHeight="1">
      <c r="B1" s="2" t="str">
        <f>Worksheet!B3</f>
        <v>Description</v>
      </c>
      <c r="C1" s="3" t="s">
        <v>1</v>
      </c>
      <c r="D1" s="3" t="s">
        <v>4</v>
      </c>
      <c r="E1" s="4" t="s">
        <v>3</v>
      </c>
      <c r="F1" s="5" t="s">
        <v>5</v>
      </c>
      <c r="G1" s="4" t="s">
        <v>3</v>
      </c>
      <c r="H1" s="6" t="s">
        <v>0</v>
      </c>
    </row>
    <row r="2" spans="1:8" ht="12.75">
      <c r="A2" s="7">
        <f>Worksheet!A4</f>
        <v>37316</v>
      </c>
      <c r="B2" s="2" t="str">
        <f>Worksheet!B4</f>
        <v>Post Mar1/02 cons only @ new rate</v>
      </c>
      <c r="C2" s="8">
        <f>SUM(Worksheet!G4)+Worksheet!I4</f>
        <v>21391.199999999997</v>
      </c>
      <c r="D2" s="8">
        <f>SUM(Worksheet!H4)</f>
        <v>0</v>
      </c>
      <c r="E2" s="9">
        <f>'PILS Rates'!$B$7</f>
        <v>0.38858</v>
      </c>
      <c r="F2" s="10">
        <f>'PILS Rates'!$C$7</f>
        <v>0</v>
      </c>
      <c r="H2" s="11">
        <f>(C2*E2)+(D2*F2)+(C2*G2)</f>
        <v>8312.192495999998</v>
      </c>
    </row>
    <row r="3" spans="1:8" ht="12.75">
      <c r="A3" s="7">
        <f>Worksheet!A5</f>
        <v>37347</v>
      </c>
      <c r="B3" s="2" t="str">
        <f>Worksheet!B5</f>
        <v>Post Mar1/02 cons only @ new rate</v>
      </c>
      <c r="C3" s="8">
        <f>SUM(Worksheet!G5)+Worksheet!I5</f>
        <v>10000</v>
      </c>
      <c r="D3" s="8">
        <f>SUM(Worksheet!H5)</f>
        <v>0</v>
      </c>
      <c r="E3" s="9">
        <f>'PILS Rates'!$B$7</f>
        <v>0.38858</v>
      </c>
      <c r="F3" s="10">
        <f>'PILS Rates'!$C$7</f>
        <v>0</v>
      </c>
      <c r="H3" s="11">
        <f aca="true" t="shared" si="0" ref="H3:H11">(C3*E3)+(D3*F3)+(C3*G3)</f>
        <v>3885.7999999999997</v>
      </c>
    </row>
    <row r="4" spans="1:8" ht="12.75">
      <c r="A4" s="7">
        <f>Worksheet!A6</f>
        <v>37377</v>
      </c>
      <c r="B4" s="2" t="str">
        <f>Worksheet!B6</f>
        <v>Post Mar1/02 cons only @ new rate</v>
      </c>
      <c r="C4" s="8">
        <f>SUM(Worksheet!G6)+Worksheet!I6</f>
        <v>4423.7</v>
      </c>
      <c r="D4" s="8">
        <f>SUM(Worksheet!H6)</f>
        <v>0</v>
      </c>
      <c r="E4" s="9">
        <f>'PILS Rates'!$B$7</f>
        <v>0.38858</v>
      </c>
      <c r="F4" s="10">
        <f>'PILS Rates'!$C$7</f>
        <v>0</v>
      </c>
      <c r="H4" s="11">
        <f t="shared" si="0"/>
        <v>1718.9613459999998</v>
      </c>
    </row>
    <row r="5" spans="1:8" ht="12.75">
      <c r="A5" s="7">
        <f>Worksheet!A7</f>
        <v>37408</v>
      </c>
      <c r="B5" s="2" t="str">
        <f>Worksheet!B7</f>
        <v>Post Mar1/02 cons only @ new rate</v>
      </c>
      <c r="C5" s="8">
        <f>SUM(Worksheet!G7)+Worksheet!I7</f>
        <v>7704.799999999999</v>
      </c>
      <c r="D5" s="8">
        <f>SUM(Worksheet!H7)</f>
        <v>0</v>
      </c>
      <c r="E5" s="9">
        <f>'PILS Rates'!$B$7</f>
        <v>0.38858</v>
      </c>
      <c r="F5" s="10">
        <f>'PILS Rates'!$C$7</f>
        <v>0</v>
      </c>
      <c r="H5" s="11">
        <f t="shared" si="0"/>
        <v>2993.9311839999996</v>
      </c>
    </row>
    <row r="6" spans="1:8" ht="12.75">
      <c r="A6" s="7">
        <f>Worksheet!A8</f>
        <v>37438</v>
      </c>
      <c r="B6" s="2" t="str">
        <f>Worksheet!B8</f>
        <v>Post Mar1/02 cons only @ new rate</v>
      </c>
      <c r="C6" s="8">
        <f>SUM(Worksheet!G8)+Worksheet!I8</f>
        <v>4740.4</v>
      </c>
      <c r="D6" s="8">
        <f>SUM(Worksheet!H8)</f>
        <v>0</v>
      </c>
      <c r="E6" s="9">
        <f>'PILS Rates'!$B$7</f>
        <v>0.38858</v>
      </c>
      <c r="F6" s="10">
        <f>'PILS Rates'!$C$7</f>
        <v>0</v>
      </c>
      <c r="H6" s="11">
        <f t="shared" si="0"/>
        <v>1842.0246319999997</v>
      </c>
    </row>
    <row r="7" spans="1:8" ht="12.75">
      <c r="A7" s="7">
        <f>Worksheet!A9</f>
        <v>37469</v>
      </c>
      <c r="B7" s="2" t="str">
        <f>Worksheet!B9</f>
        <v>All consumption from Stats</v>
      </c>
      <c r="C7" s="8">
        <f>SUM(Worksheet!G9)+Worksheet!I9</f>
        <v>10006.3</v>
      </c>
      <c r="D7" s="8">
        <f>SUM(Worksheet!H9)</f>
        <v>0</v>
      </c>
      <c r="E7" s="9">
        <f>'PILS Rates'!$B$7</f>
        <v>0.38858</v>
      </c>
      <c r="F7" s="10">
        <f>'PILS Rates'!$C$7</f>
        <v>0</v>
      </c>
      <c r="H7" s="11">
        <f t="shared" si="0"/>
        <v>3888.2480539999997</v>
      </c>
    </row>
    <row r="8" spans="1:8" ht="12.75">
      <c r="A8" s="7">
        <f>Worksheet!A10</f>
        <v>37500</v>
      </c>
      <c r="B8" s="2" t="str">
        <f>Worksheet!B10</f>
        <v>Post Mar1/02 cons only @ new rate</v>
      </c>
      <c r="C8" s="8">
        <f>SUM(Worksheet!G10)+Worksheet!I10</f>
        <v>7576.2</v>
      </c>
      <c r="D8" s="8">
        <f>SUM(Worksheet!H10)</f>
        <v>0</v>
      </c>
      <c r="E8" s="9">
        <f>'PILS Rates'!$B$7</f>
        <v>0.38858</v>
      </c>
      <c r="F8" s="10">
        <f>'PILS Rates'!$C$7</f>
        <v>0</v>
      </c>
      <c r="H8" s="11">
        <f t="shared" si="0"/>
        <v>2943.9597959999996</v>
      </c>
    </row>
    <row r="9" spans="1:8" ht="12.75">
      <c r="A9" s="7">
        <f>Worksheet!A11</f>
        <v>37530</v>
      </c>
      <c r="B9" s="2" t="str">
        <f>Worksheet!B11</f>
        <v>Post Mar1/02 cons only @ new rate</v>
      </c>
      <c r="C9" s="8">
        <f>SUM(Worksheet!G11)+Worksheet!I11</f>
        <v>8682.6</v>
      </c>
      <c r="D9" s="8">
        <f>SUM(Worksheet!H11)</f>
        <v>0</v>
      </c>
      <c r="E9" s="9">
        <f>'PILS Rates'!$B$7</f>
        <v>0.38858</v>
      </c>
      <c r="F9" s="10">
        <f>'PILS Rates'!$C$7</f>
        <v>0</v>
      </c>
      <c r="H9" s="11">
        <f t="shared" si="0"/>
        <v>3373.884708</v>
      </c>
    </row>
    <row r="10" spans="1:8" ht="12.75">
      <c r="A10" s="7">
        <f>Worksheet!A12</f>
        <v>37561</v>
      </c>
      <c r="B10" s="2" t="str">
        <f>Worksheet!B12</f>
        <v>All consumption from Stats</v>
      </c>
      <c r="C10" s="8">
        <f>SUM(Worksheet!G12)+Worksheet!I12</f>
        <v>7871.8</v>
      </c>
      <c r="D10" s="8">
        <f>SUM(Worksheet!H12)</f>
        <v>0</v>
      </c>
      <c r="E10" s="9">
        <f>'PILS Rates'!$B$7</f>
        <v>0.38858</v>
      </c>
      <c r="F10" s="10">
        <f>'PILS Rates'!$C$7</f>
        <v>0</v>
      </c>
      <c r="H10" s="11">
        <f t="shared" si="0"/>
        <v>3058.824044</v>
      </c>
    </row>
    <row r="11" spans="1:8" ht="12.75">
      <c r="A11" s="7">
        <f>Worksheet!A13</f>
        <v>37591</v>
      </c>
      <c r="B11" s="2" t="str">
        <f>Worksheet!B13</f>
        <v>All consumption from Stats</v>
      </c>
      <c r="C11" s="8">
        <f>SUM(Worksheet!G13)+Worksheet!I13</f>
        <v>15577.399999999998</v>
      </c>
      <c r="D11" s="8">
        <f>SUM(Worksheet!H13)</f>
        <v>0</v>
      </c>
      <c r="E11" s="9">
        <f>'PILS Rates'!$B$7</f>
        <v>0.38858</v>
      </c>
      <c r="F11" s="10">
        <f>'PILS Rates'!$C$7</f>
        <v>0</v>
      </c>
      <c r="H11" s="11">
        <f t="shared" si="0"/>
        <v>6053.066091999999</v>
      </c>
    </row>
    <row r="12" spans="1:2" ht="12.75">
      <c r="A12" s="7"/>
      <c r="B12" s="7"/>
    </row>
    <row r="13" spans="1:8" ht="12.75">
      <c r="A13" s="12" t="s">
        <v>0</v>
      </c>
      <c r="B13" s="12"/>
      <c r="C13" s="3"/>
      <c r="D13" s="3"/>
      <c r="E13" s="13"/>
      <c r="F13" s="14"/>
      <c r="G13" s="14"/>
      <c r="H13" s="6">
        <f>SUM(H2:H11)</f>
        <v>38070.892351999995</v>
      </c>
    </row>
    <row r="14" spans="1:2" ht="12.75">
      <c r="A14" s="7"/>
      <c r="B14" s="7"/>
    </row>
    <row r="15" spans="1:8" ht="12.75">
      <c r="A15" s="7">
        <f>Worksheet!A14</f>
        <v>37622</v>
      </c>
      <c r="B15" s="7" t="str">
        <f>Worksheet!B14</f>
        <v>All consumption from Stats</v>
      </c>
      <c r="C15" s="8">
        <f>SUM(Worksheet!G14)+Worksheet!I14</f>
        <v>-562.3999999999994</v>
      </c>
      <c r="D15" s="8">
        <f>SUM(Worksheet!H14)</f>
        <v>0</v>
      </c>
      <c r="E15" s="9">
        <f>'PILS Rates'!$B$7</f>
        <v>0.38858</v>
      </c>
      <c r="F15" s="10">
        <f>'PILS Rates'!$C$7</f>
        <v>0</v>
      </c>
      <c r="H15" s="11">
        <f aca="true" t="shared" si="1" ref="H15:H26">(C15*E15)+(D15*F15)+(C15*G15)</f>
        <v>-218.53739199999976</v>
      </c>
    </row>
    <row r="16" spans="1:8" ht="12.75">
      <c r="A16" s="7">
        <f>Worksheet!A15</f>
        <v>37653</v>
      </c>
      <c r="B16" s="7" t="str">
        <f>Worksheet!B15</f>
        <v>All consumption from Stats</v>
      </c>
      <c r="C16" s="8">
        <f>SUM(Worksheet!G15)+Worksheet!I15</f>
        <v>8827.2</v>
      </c>
      <c r="D16" s="8">
        <f>SUM(Worksheet!H15)</f>
        <v>0</v>
      </c>
      <c r="E16" s="9">
        <f>'PILS Rates'!$B$7</f>
        <v>0.38858</v>
      </c>
      <c r="F16" s="10">
        <f>'PILS Rates'!$C$7</f>
        <v>0</v>
      </c>
      <c r="H16" s="11">
        <f t="shared" si="1"/>
        <v>3430.0733760000003</v>
      </c>
    </row>
    <row r="17" spans="1:8" ht="12.75">
      <c r="A17" s="7">
        <f>Worksheet!A16</f>
        <v>37681</v>
      </c>
      <c r="B17" s="7" t="str">
        <f>Worksheet!B16</f>
        <v>All consumption from Stats</v>
      </c>
      <c r="C17" s="8">
        <f>SUM(Worksheet!G16)+Worksheet!I16</f>
        <v>8227.9</v>
      </c>
      <c r="D17" s="8">
        <f>SUM(Worksheet!H16)</f>
        <v>0</v>
      </c>
      <c r="E17" s="9">
        <f>'PILS Rates'!$B$7</f>
        <v>0.38858</v>
      </c>
      <c r="F17" s="10">
        <f>'PILS Rates'!$C$7</f>
        <v>0</v>
      </c>
      <c r="H17" s="11">
        <f t="shared" si="1"/>
        <v>3197.197382</v>
      </c>
    </row>
    <row r="18" spans="1:8" ht="12.75">
      <c r="A18" s="7">
        <f>Worksheet!A17</f>
        <v>37712</v>
      </c>
      <c r="B18" s="7" t="str">
        <f>Worksheet!B17</f>
        <v>All consumption from Stats</v>
      </c>
      <c r="C18" s="8">
        <f>SUM(Worksheet!G17)+Worksheet!I17</f>
        <v>6675.299999999999</v>
      </c>
      <c r="D18" s="8">
        <f>SUM(Worksheet!H17)</f>
        <v>0</v>
      </c>
      <c r="E18" s="9">
        <f>'PILS Rates'!$B$7</f>
        <v>0.38858</v>
      </c>
      <c r="F18" s="10">
        <f>'PILS Rates'!$C$7</f>
        <v>0</v>
      </c>
      <c r="H18" s="11">
        <f t="shared" si="1"/>
        <v>2593.8880739999995</v>
      </c>
    </row>
    <row r="19" spans="1:8" ht="12.75">
      <c r="A19" s="7">
        <f>Worksheet!A18</f>
        <v>37742</v>
      </c>
      <c r="B19" s="7" t="str">
        <f>Worksheet!B18</f>
        <v>All consumption from Stats</v>
      </c>
      <c r="C19" s="8">
        <f>SUM(Worksheet!G18)+Worksheet!I18</f>
        <v>9640.4</v>
      </c>
      <c r="D19" s="8">
        <f>SUM(Worksheet!H18)</f>
        <v>0</v>
      </c>
      <c r="E19" s="9">
        <f>'PILS Rates'!$B$7</f>
        <v>0.38858</v>
      </c>
      <c r="F19" s="10">
        <f>'PILS Rates'!$C$7</f>
        <v>0</v>
      </c>
      <c r="H19" s="11">
        <f t="shared" si="1"/>
        <v>3746.0666319999996</v>
      </c>
    </row>
    <row r="20" spans="1:8" ht="12.75">
      <c r="A20" s="7">
        <f>Worksheet!A19</f>
        <v>37773</v>
      </c>
      <c r="B20" s="7" t="str">
        <f>Worksheet!B19</f>
        <v>All consumption from Stats</v>
      </c>
      <c r="C20" s="8">
        <f>SUM(Worksheet!G19)+Worksheet!I19</f>
        <v>7877.7</v>
      </c>
      <c r="D20" s="8">
        <f>SUM(Worksheet!H19)</f>
        <v>0</v>
      </c>
      <c r="E20" s="9">
        <f>'PILS Rates'!$B$7</f>
        <v>0.38858</v>
      </c>
      <c r="F20" s="10">
        <f>'PILS Rates'!$C$7</f>
        <v>0</v>
      </c>
      <c r="H20" s="11">
        <f t="shared" si="1"/>
        <v>3061.116666</v>
      </c>
    </row>
    <row r="21" spans="1:8" ht="12.75">
      <c r="A21" s="7">
        <f>Worksheet!A20</f>
        <v>37803</v>
      </c>
      <c r="B21" s="7" t="str">
        <f>Worksheet!B20</f>
        <v>All consumption from Stats</v>
      </c>
      <c r="C21" s="8">
        <f>SUM(Worksheet!G20)+Worksheet!I20</f>
        <v>8004.3</v>
      </c>
      <c r="D21" s="8">
        <f>SUM(Worksheet!H20)</f>
        <v>0</v>
      </c>
      <c r="E21" s="9">
        <f>'PILS Rates'!$B$7</f>
        <v>0.38858</v>
      </c>
      <c r="F21" s="10">
        <f>'PILS Rates'!$C$7</f>
        <v>0</v>
      </c>
      <c r="H21" s="11">
        <f t="shared" si="1"/>
        <v>3110.3108939999997</v>
      </c>
    </row>
    <row r="22" spans="1:8" ht="12.75">
      <c r="A22" s="7">
        <f>Worksheet!A21</f>
        <v>37834</v>
      </c>
      <c r="B22" s="7" t="str">
        <f>Worksheet!B21</f>
        <v>All consumption from Stats</v>
      </c>
      <c r="C22" s="8">
        <f>SUM(Worksheet!G21)+Worksheet!I21</f>
        <v>7793.3</v>
      </c>
      <c r="D22" s="8">
        <f>SUM(Worksheet!H21)</f>
        <v>0</v>
      </c>
      <c r="E22" s="9">
        <f>'PILS Rates'!$B$7</f>
        <v>0.38858</v>
      </c>
      <c r="F22" s="10">
        <f>'PILS Rates'!$C$7</f>
        <v>0</v>
      </c>
      <c r="H22" s="11">
        <f t="shared" si="1"/>
        <v>3028.320514</v>
      </c>
    </row>
    <row r="23" spans="1:8" ht="12.75">
      <c r="A23" s="7">
        <f>Worksheet!A22</f>
        <v>37865</v>
      </c>
      <c r="B23" s="7" t="str">
        <f>Worksheet!B22</f>
        <v>All consumption from Stats</v>
      </c>
      <c r="C23" s="8">
        <f>SUM(Worksheet!G22)+Worksheet!I22</f>
        <v>9309</v>
      </c>
      <c r="D23" s="8">
        <f>SUM(Worksheet!H22)</f>
        <v>0</v>
      </c>
      <c r="E23" s="9">
        <f>'PILS Rates'!$B$7</f>
        <v>0.38858</v>
      </c>
      <c r="F23" s="10">
        <f>'PILS Rates'!$C$7</f>
        <v>0</v>
      </c>
      <c r="H23" s="11">
        <f t="shared" si="1"/>
        <v>3617.2912199999996</v>
      </c>
    </row>
    <row r="24" spans="1:8" ht="12.75">
      <c r="A24" s="7">
        <f>Worksheet!A23</f>
        <v>37895</v>
      </c>
      <c r="B24" s="7" t="str">
        <f>Worksheet!B23</f>
        <v>All consumption from Stats</v>
      </c>
      <c r="C24" s="8">
        <f>SUM(Worksheet!G23)+Worksheet!I23</f>
        <v>6534.400000000001</v>
      </c>
      <c r="D24" s="8">
        <f>SUM(Worksheet!H23)</f>
        <v>0</v>
      </c>
      <c r="E24" s="9">
        <f>'PILS Rates'!$B$7</f>
        <v>0.38858</v>
      </c>
      <c r="F24" s="10">
        <f>'PILS Rates'!$C$7</f>
        <v>0</v>
      </c>
      <c r="H24" s="11">
        <f t="shared" si="1"/>
        <v>2539.1371520000002</v>
      </c>
    </row>
    <row r="25" spans="1:8" ht="12.75">
      <c r="A25" s="7">
        <f>Worksheet!A24</f>
        <v>37926</v>
      </c>
      <c r="B25" s="7" t="str">
        <f>Worksheet!B24</f>
        <v>All consumption from Stats</v>
      </c>
      <c r="C25" s="8">
        <f>SUM(Worksheet!G24)+Worksheet!I24</f>
        <v>7854.9</v>
      </c>
      <c r="D25" s="8">
        <f>SUM(Worksheet!H24)</f>
        <v>0</v>
      </c>
      <c r="E25" s="9">
        <f>'PILS Rates'!$B$7</f>
        <v>0.38858</v>
      </c>
      <c r="F25" s="10">
        <f>'PILS Rates'!$C$7</f>
        <v>0</v>
      </c>
      <c r="H25" s="11">
        <f t="shared" si="1"/>
        <v>3052.2570419999997</v>
      </c>
    </row>
    <row r="26" spans="1:8" ht="12.75">
      <c r="A26" s="7">
        <f>Worksheet!A25</f>
        <v>37956</v>
      </c>
      <c r="B26" s="7" t="str">
        <f>Worksheet!B25</f>
        <v>All consumption from Stats</v>
      </c>
      <c r="C26" s="8">
        <f>SUM(Worksheet!G25)+Worksheet!I25</f>
        <v>16228.2</v>
      </c>
      <c r="D26" s="8">
        <f>SUM(Worksheet!H25)</f>
        <v>0</v>
      </c>
      <c r="E26" s="9">
        <f>'PILS Rates'!$B$7</f>
        <v>0.38858</v>
      </c>
      <c r="F26" s="10">
        <f>'PILS Rates'!$C$7</f>
        <v>0</v>
      </c>
      <c r="H26" s="11">
        <f t="shared" si="1"/>
        <v>6305.953956</v>
      </c>
    </row>
    <row r="27" spans="1:2" ht="12.75">
      <c r="A27" s="7"/>
      <c r="B27" s="7"/>
    </row>
    <row r="28" spans="1:8" ht="12.75">
      <c r="A28" s="12" t="s">
        <v>0</v>
      </c>
      <c r="B28" s="12"/>
      <c r="C28" s="3"/>
      <c r="D28" s="3"/>
      <c r="E28" s="13"/>
      <c r="F28" s="14"/>
      <c r="G28" s="14"/>
      <c r="H28" s="6">
        <f>SUM(H15:H26)</f>
        <v>37463.075516</v>
      </c>
    </row>
    <row r="29" spans="1:2" ht="12.75">
      <c r="A29" s="7"/>
      <c r="B29" s="7"/>
    </row>
    <row r="30" spans="1:8" ht="12.75">
      <c r="A30" s="7">
        <f>Worksheet!A26</f>
        <v>37987</v>
      </c>
      <c r="B30" s="7" t="str">
        <f>Worksheet!B26</f>
        <v>All consumption from Stats</v>
      </c>
      <c r="C30" s="8">
        <f>SUM(Worksheet!G26)+Worksheet!I26</f>
        <v>-1917</v>
      </c>
      <c r="D30" s="8">
        <f>SUM(Worksheet!H26)</f>
        <v>0</v>
      </c>
      <c r="E30" s="9">
        <f>'PILS Rates'!$B$7</f>
        <v>0.38858</v>
      </c>
      <c r="F30" s="10">
        <f>'PILS Rates'!$C$7</f>
        <v>0</v>
      </c>
      <c r="H30" s="11">
        <f aca="true" t="shared" si="2" ref="H30:H44">(C30*E30)+(D30*F30)+(C30*G30)</f>
        <v>-744.9078599999999</v>
      </c>
    </row>
    <row r="31" spans="1:8" ht="12.75">
      <c r="A31" s="7">
        <f>Worksheet!A27</f>
        <v>38018</v>
      </c>
      <c r="B31" s="7" t="str">
        <f>Worksheet!B27</f>
        <v>All consumption from Stats</v>
      </c>
      <c r="C31" s="8">
        <f>SUM(Worksheet!G27)+Worksheet!I27</f>
        <v>8017.2</v>
      </c>
      <c r="D31" s="8">
        <f>SUM(Worksheet!H27)</f>
        <v>0</v>
      </c>
      <c r="E31" s="9">
        <f>'PILS Rates'!$B$7</f>
        <v>0.38858</v>
      </c>
      <c r="F31" s="10">
        <f>'PILS Rates'!$C$7</f>
        <v>0</v>
      </c>
      <c r="H31" s="11">
        <f t="shared" si="2"/>
        <v>3115.323576</v>
      </c>
    </row>
    <row r="32" spans="1:8" ht="12.75">
      <c r="A32" s="7">
        <f>Worksheet!A28</f>
        <v>38047</v>
      </c>
      <c r="B32" s="7" t="str">
        <f>Worksheet!B28</f>
        <v>All consumption from Stats</v>
      </c>
      <c r="C32" s="8">
        <f>SUM(Worksheet!G28)+Worksheet!I28</f>
        <v>8250.6</v>
      </c>
      <c r="D32" s="8">
        <f>SUM(Worksheet!H28)</f>
        <v>0</v>
      </c>
      <c r="E32" s="9">
        <f>'PILS Rates'!$B$7</f>
        <v>0.38858</v>
      </c>
      <c r="F32" s="10">
        <f>'PILS Rates'!$C$7</f>
        <v>0</v>
      </c>
      <c r="H32" s="11">
        <f t="shared" si="2"/>
        <v>3206.018148</v>
      </c>
    </row>
    <row r="33" spans="1:8" ht="12.75">
      <c r="A33" s="7">
        <f>Worksheet!A29</f>
        <v>38078</v>
      </c>
      <c r="B33" s="7" t="str">
        <f>Worksheet!B29</f>
        <v>Pre Apr 1/04 cons only @ old rate</v>
      </c>
      <c r="C33" s="8">
        <f>SUM(Worksheet!G29)+Worksheet!I29</f>
        <v>6811.299999999999</v>
      </c>
      <c r="D33" s="8">
        <f>SUM(Worksheet!H29)</f>
        <v>0</v>
      </c>
      <c r="E33" s="9">
        <f>'PILS Rates'!$B$7</f>
        <v>0.38858</v>
      </c>
      <c r="F33" s="10">
        <f>'PILS Rates'!$C$7</f>
        <v>0</v>
      </c>
      <c r="H33" s="11">
        <f t="shared" si="2"/>
        <v>2646.7349539999996</v>
      </c>
    </row>
    <row r="34" spans="1:8" ht="12.75">
      <c r="A34" s="7">
        <f>Worksheet!A30</f>
        <v>38078</v>
      </c>
      <c r="B34" s="7" t="str">
        <f>Worksheet!B30</f>
        <v>Post Apr 1/04 cons only @ new rate</v>
      </c>
      <c r="C34" s="8">
        <f>SUM(Worksheet!G30)+Worksheet!I30</f>
        <v>646.5</v>
      </c>
      <c r="D34" s="8">
        <f>SUM(Worksheet!H30)</f>
        <v>0</v>
      </c>
      <c r="F34" s="9"/>
      <c r="G34" s="10">
        <f>'PILS Rates'!$D$7</f>
        <v>0.2844</v>
      </c>
      <c r="H34" s="11">
        <f t="shared" si="2"/>
        <v>183.8646</v>
      </c>
    </row>
    <row r="35" spans="1:8" ht="12.75">
      <c r="A35" s="7">
        <f>Worksheet!A31</f>
        <v>38108</v>
      </c>
      <c r="B35" s="7" t="str">
        <f>Worksheet!B31</f>
        <v>Pre Apr 1/04 cons only @ old rate</v>
      </c>
      <c r="C35" s="8">
        <f>SUM(Worksheet!G31)+Worksheet!I31</f>
        <v>1032.2</v>
      </c>
      <c r="D35" s="8">
        <f>SUM(Worksheet!H31)</f>
        <v>0</v>
      </c>
      <c r="E35" s="9">
        <f>'PILS Rates'!$B$7</f>
        <v>0.38858</v>
      </c>
      <c r="F35" s="10">
        <f>'PILS Rates'!$C$7</f>
        <v>0</v>
      </c>
      <c r="H35" s="11">
        <f t="shared" si="2"/>
        <v>401.09227599999997</v>
      </c>
    </row>
    <row r="36" spans="1:8" ht="12.75">
      <c r="A36" s="7">
        <f>Worksheet!A32</f>
        <v>38108</v>
      </c>
      <c r="B36" s="7" t="str">
        <f>Worksheet!B32</f>
        <v>Post Apr 1/04 cons only @ new rate</v>
      </c>
      <c r="C36" s="8">
        <f>SUM(Worksheet!G32)+Worksheet!I32</f>
        <v>6458.3</v>
      </c>
      <c r="D36" s="8">
        <f>SUM(Worksheet!H32)</f>
        <v>0</v>
      </c>
      <c r="F36" s="9"/>
      <c r="G36" s="10">
        <f>'PILS Rates'!$D$7</f>
        <v>0.2844</v>
      </c>
      <c r="H36" s="11">
        <f t="shared" si="2"/>
        <v>1836.74052</v>
      </c>
    </row>
    <row r="37" spans="1:8" ht="12.75">
      <c r="A37" s="7">
        <f>Worksheet!A33</f>
        <v>38139</v>
      </c>
      <c r="B37" s="7" t="str">
        <f>Worksheet!B33</f>
        <v>Pre Apr 1/04 cons only @ old rate</v>
      </c>
      <c r="C37" s="8">
        <f>SUM(Worksheet!G33)+Worksheet!I33</f>
        <v>0</v>
      </c>
      <c r="D37" s="8">
        <f>SUM(Worksheet!H33)</f>
        <v>0</v>
      </c>
      <c r="E37" s="9">
        <f>'PILS Rates'!$B$7</f>
        <v>0.38858</v>
      </c>
      <c r="F37" s="10">
        <f>'PILS Rates'!$C$7</f>
        <v>0</v>
      </c>
      <c r="H37" s="11">
        <f t="shared" si="2"/>
        <v>0</v>
      </c>
    </row>
    <row r="38" spans="1:8" ht="12.75">
      <c r="A38" s="7">
        <f>Worksheet!A34</f>
        <v>38139</v>
      </c>
      <c r="B38" s="7" t="str">
        <f>Worksheet!B34</f>
        <v>Post Apr 1/04 cons only @ new rate</v>
      </c>
      <c r="C38" s="8">
        <f>SUM(Worksheet!G34)+Worksheet!I34</f>
        <v>8850.300000000001</v>
      </c>
      <c r="D38" s="8">
        <f>SUM(Worksheet!H34)</f>
        <v>0</v>
      </c>
      <c r="F38" s="9"/>
      <c r="G38" s="10">
        <f>'PILS Rates'!$D$7</f>
        <v>0.2844</v>
      </c>
      <c r="H38" s="11">
        <f t="shared" si="2"/>
        <v>2517.02532</v>
      </c>
    </row>
    <row r="39" spans="1:8" ht="12.75">
      <c r="A39" s="7">
        <f>Worksheet!A35</f>
        <v>38169</v>
      </c>
      <c r="B39" s="7" t="str">
        <f>Worksheet!B35</f>
        <v>All consumption from Stats</v>
      </c>
      <c r="C39" s="8">
        <f>SUM(Worksheet!G35)+Worksheet!I35</f>
        <v>6779.8</v>
      </c>
      <c r="D39" s="8">
        <f>SUM(Worksheet!H35)</f>
        <v>0</v>
      </c>
      <c r="F39" s="9"/>
      <c r="G39" s="10">
        <f>'PILS Rates'!$D$7</f>
        <v>0.2844</v>
      </c>
      <c r="H39" s="11">
        <f t="shared" si="2"/>
        <v>1928.1751199999999</v>
      </c>
    </row>
    <row r="40" spans="1:8" ht="12.75">
      <c r="A40" s="7">
        <f>Worksheet!A36</f>
        <v>38200</v>
      </c>
      <c r="B40" s="7" t="str">
        <f>Worksheet!B36</f>
        <v>Pre Apr 1/04 cons only @ old rate</v>
      </c>
      <c r="C40" s="8">
        <f>SUM(Worksheet!G36)+Worksheet!I36</f>
        <v>0</v>
      </c>
      <c r="D40" s="8">
        <f>SUM(Worksheet!H36)</f>
        <v>0</v>
      </c>
      <c r="E40" s="9">
        <f>'PILS Rates'!$B$7</f>
        <v>0.38858</v>
      </c>
      <c r="F40" s="10">
        <f>'PILS Rates'!$C$7</f>
        <v>0</v>
      </c>
      <c r="H40" s="11">
        <f t="shared" si="2"/>
        <v>0</v>
      </c>
    </row>
    <row r="41" spans="1:8" ht="12.75">
      <c r="A41" s="7">
        <f>Worksheet!A37</f>
        <v>38200</v>
      </c>
      <c r="B41" s="7" t="str">
        <f>Worksheet!B37</f>
        <v>Post Apr 1/04 cons only @ new rate</v>
      </c>
      <c r="C41" s="8">
        <f>SUM(Worksheet!G37)+Worksheet!I37</f>
        <v>8965.9</v>
      </c>
      <c r="D41" s="8">
        <f>SUM(Worksheet!H37)</f>
        <v>0</v>
      </c>
      <c r="F41" s="9"/>
      <c r="G41" s="10">
        <f>'PILS Rates'!$D$7</f>
        <v>0.2844</v>
      </c>
      <c r="H41" s="11">
        <f t="shared" si="2"/>
        <v>2549.9019599999997</v>
      </c>
    </row>
    <row r="42" spans="1:8" ht="12.75">
      <c r="A42" s="7">
        <f>Worksheet!A38</f>
        <v>38231</v>
      </c>
      <c r="B42" s="7" t="str">
        <f>Worksheet!B38</f>
        <v>All consumption from Stats</v>
      </c>
      <c r="C42" s="8">
        <f>SUM(Worksheet!G38)+Worksheet!I38</f>
        <v>7233.4</v>
      </c>
      <c r="D42" s="8">
        <f>SUM(Worksheet!H38)</f>
        <v>0</v>
      </c>
      <c r="F42" s="9"/>
      <c r="G42" s="10">
        <f>'PILS Rates'!$D$7</f>
        <v>0.2844</v>
      </c>
      <c r="H42" s="11">
        <f t="shared" si="2"/>
        <v>2057.1789599999997</v>
      </c>
    </row>
    <row r="43" spans="1:8" ht="12.75">
      <c r="A43" s="7">
        <f>Worksheet!A39</f>
        <v>38261</v>
      </c>
      <c r="B43" s="7" t="str">
        <f>Worksheet!B39</f>
        <v>All consumption from Stats</v>
      </c>
      <c r="C43" s="8">
        <f>SUM(Worksheet!G39)+Worksheet!I39</f>
        <v>7698.9</v>
      </c>
      <c r="D43" s="8">
        <f>SUM(Worksheet!H39)</f>
        <v>0</v>
      </c>
      <c r="F43" s="9"/>
      <c r="G43" s="10">
        <f>'PILS Rates'!$D$7</f>
        <v>0.2844</v>
      </c>
      <c r="H43" s="11">
        <f t="shared" si="2"/>
        <v>2189.5671599999996</v>
      </c>
    </row>
    <row r="44" spans="1:8" ht="12.75">
      <c r="A44" s="7">
        <f>Worksheet!A40</f>
        <v>38292</v>
      </c>
      <c r="B44" s="7" t="str">
        <f>Worksheet!B40</f>
        <v>All consumption from Stats</v>
      </c>
      <c r="C44" s="8">
        <f>SUM(Worksheet!G40)+Worksheet!I40</f>
        <v>8299.1</v>
      </c>
      <c r="D44" s="8">
        <f>SUM(Worksheet!H40)</f>
        <v>0</v>
      </c>
      <c r="F44" s="9"/>
      <c r="G44" s="10">
        <f>'PILS Rates'!$D$7</f>
        <v>0.2844</v>
      </c>
      <c r="H44" s="11">
        <f t="shared" si="2"/>
        <v>2360.26404</v>
      </c>
    </row>
    <row r="45" spans="1:8" ht="12.75">
      <c r="A45" s="7">
        <f>Worksheet!A41</f>
        <v>38322</v>
      </c>
      <c r="B45" s="7" t="str">
        <f>Worksheet!B41</f>
        <v>All consumption from Stats</v>
      </c>
      <c r="C45" s="8">
        <f>SUM(Worksheet!G41)+Worksheet!I41</f>
        <v>13848.2</v>
      </c>
      <c r="D45" s="8">
        <f>SUM(Worksheet!H41)</f>
        <v>0</v>
      </c>
      <c r="F45" s="9"/>
      <c r="G45" s="10">
        <f>'PILS Rates'!$D$7</f>
        <v>0.2844</v>
      </c>
      <c r="H45" s="11">
        <f>(C45*E45)+(D45*F45)+(C45*G45)</f>
        <v>3938.42808</v>
      </c>
    </row>
    <row r="46" spans="1:2" ht="12.75">
      <c r="A46" s="7"/>
      <c r="B46" s="7"/>
    </row>
    <row r="47" spans="1:8" ht="12.75">
      <c r="A47" s="12" t="s">
        <v>0</v>
      </c>
      <c r="B47" s="12"/>
      <c r="C47" s="3"/>
      <c r="D47" s="3"/>
      <c r="E47" s="13"/>
      <c r="F47" s="14"/>
      <c r="G47" s="14"/>
      <c r="H47" s="6">
        <f>SUM(H30:H45)</f>
        <v>28185.406854000004</v>
      </c>
    </row>
    <row r="48" spans="1:2" ht="12.75">
      <c r="A48" s="7"/>
      <c r="B48" s="7"/>
    </row>
    <row r="49" spans="1:8" ht="12.75">
      <c r="A49" s="7">
        <f>Worksheet!A42</f>
        <v>38353</v>
      </c>
      <c r="B49" s="7" t="str">
        <f>Worksheet!B42</f>
        <v>All consumption from Stats</v>
      </c>
      <c r="C49" s="8">
        <f>SUM(Worksheet!G42)+Worksheet!I42</f>
        <v>1442.3000000000006</v>
      </c>
      <c r="D49" s="8">
        <f>SUM(Worksheet!H42)</f>
        <v>0</v>
      </c>
      <c r="G49" s="10">
        <f>'PILS Rates'!$D$7</f>
        <v>0.2844</v>
      </c>
      <c r="H49" s="11">
        <f aca="true" t="shared" si="3" ref="H49:H64">(C49*E49)+(D49*F49)+(C49*G49)</f>
        <v>410.19012000000015</v>
      </c>
    </row>
    <row r="50" spans="1:8" ht="12.75">
      <c r="A50" s="7">
        <f>Worksheet!A43</f>
        <v>38384</v>
      </c>
      <c r="B50" s="7" t="str">
        <f>Worksheet!B43</f>
        <v>All consumption from Stats</v>
      </c>
      <c r="C50" s="8">
        <f>SUM(Worksheet!G43)+Worksheet!I43</f>
        <v>8349.5</v>
      </c>
      <c r="D50" s="8">
        <f>SUM(Worksheet!H43)</f>
        <v>0</v>
      </c>
      <c r="G50" s="10">
        <f>'PILS Rates'!$D$7</f>
        <v>0.2844</v>
      </c>
      <c r="H50" s="11">
        <f t="shared" si="3"/>
        <v>2374.5978</v>
      </c>
    </row>
    <row r="51" spans="1:8" ht="12.75">
      <c r="A51" s="7">
        <f>Worksheet!A44</f>
        <v>38412</v>
      </c>
      <c r="B51" s="7" t="str">
        <f>Worksheet!B44</f>
        <v>All consumption from Stats</v>
      </c>
      <c r="C51" s="8">
        <f>SUM(Worksheet!G44)+Worksheet!I44</f>
        <v>8583.5</v>
      </c>
      <c r="D51" s="8">
        <f>SUM(Worksheet!H44)</f>
        <v>0</v>
      </c>
      <c r="G51" s="10">
        <f>'PILS Rates'!$D$7</f>
        <v>0.2844</v>
      </c>
      <c r="H51" s="11">
        <f t="shared" si="3"/>
        <v>2441.1474</v>
      </c>
    </row>
    <row r="52" spans="1:8" ht="12.75">
      <c r="A52" s="7">
        <f>Worksheet!A45</f>
        <v>38443</v>
      </c>
      <c r="B52" s="7" t="str">
        <f>Worksheet!B45</f>
        <v>Pre Apr 1/05 cons only @ old rate</v>
      </c>
      <c r="C52" s="8">
        <f>SUM(Worksheet!G45)+Worksheet!I45</f>
        <v>6916.5</v>
      </c>
      <c r="D52" s="8">
        <f>SUM(Worksheet!H45)</f>
        <v>0</v>
      </c>
      <c r="G52" s="10">
        <f>'PILS Rates'!$D$7</f>
        <v>0.2844</v>
      </c>
      <c r="H52" s="11">
        <f t="shared" si="3"/>
        <v>1967.0526</v>
      </c>
    </row>
    <row r="53" spans="1:8" ht="12.75">
      <c r="A53" s="7">
        <f>Worksheet!A46</f>
        <v>38443</v>
      </c>
      <c r="B53" s="7" t="str">
        <f>Worksheet!B46</f>
        <v>Post Apr 1/05 cons only @ new rate</v>
      </c>
      <c r="C53" s="8">
        <f>SUM(Worksheet!G46)+Worksheet!I46</f>
        <v>594.3</v>
      </c>
      <c r="D53" s="8">
        <f>SUM(Worksheet!H46)</f>
        <v>0</v>
      </c>
      <c r="G53" s="10">
        <f>'PILS Rates'!$E$7</f>
        <v>0.1864</v>
      </c>
      <c r="H53" s="11">
        <f t="shared" si="3"/>
        <v>110.77752</v>
      </c>
    </row>
    <row r="54" spans="1:8" ht="12.75">
      <c r="A54" s="7">
        <f>Worksheet!A47</f>
        <v>38473</v>
      </c>
      <c r="B54" s="7" t="str">
        <f>Worksheet!B47</f>
        <v>Pre Apr 1/05 cons only @ old rate</v>
      </c>
      <c r="C54" s="8">
        <f>SUM(Worksheet!G47)+Worksheet!I47</f>
        <v>1058</v>
      </c>
      <c r="D54" s="8">
        <f>SUM(Worksheet!H47)</f>
        <v>0</v>
      </c>
      <c r="G54" s="10">
        <f>'PILS Rates'!$D$7</f>
        <v>0.2844</v>
      </c>
      <c r="H54" s="11">
        <f t="shared" si="3"/>
        <v>300.8952</v>
      </c>
    </row>
    <row r="55" spans="1:8" ht="12.75">
      <c r="A55" s="7">
        <f>Worksheet!A48</f>
        <v>38473</v>
      </c>
      <c r="B55" s="7" t="str">
        <f>Worksheet!B48</f>
        <v>Post Apr 1/05 cons only @ new rate</v>
      </c>
      <c r="C55" s="8">
        <f>SUM(Worksheet!G48)+Worksheet!I48</f>
        <v>6842.5</v>
      </c>
      <c r="D55" s="8">
        <f>SUM(Worksheet!H48)</f>
        <v>0</v>
      </c>
      <c r="G55" s="10">
        <f>'PILS Rates'!$E$7</f>
        <v>0.1864</v>
      </c>
      <c r="H55" s="11">
        <f t="shared" si="3"/>
        <v>1275.442</v>
      </c>
    </row>
    <row r="56" spans="1:8" ht="12.75">
      <c r="A56" s="7">
        <f>Worksheet!A49</f>
        <v>38504</v>
      </c>
      <c r="B56" s="7" t="str">
        <f>Worksheet!B49</f>
        <v>Pre Apr 1/05 cons only @ old rate</v>
      </c>
      <c r="C56" s="8">
        <f>SUM(Worksheet!G49)+Worksheet!I49</f>
        <v>0</v>
      </c>
      <c r="D56" s="8">
        <f>SUM(Worksheet!H49)</f>
        <v>0</v>
      </c>
      <c r="G56" s="10">
        <f>'PILS Rates'!$D$7</f>
        <v>0.2844</v>
      </c>
      <c r="H56" s="11">
        <f t="shared" si="3"/>
        <v>0</v>
      </c>
    </row>
    <row r="57" spans="1:8" ht="12.75">
      <c r="A57" s="7">
        <f>Worksheet!A50</f>
        <v>38504</v>
      </c>
      <c r="B57" s="7" t="str">
        <f>Worksheet!B50</f>
        <v>Post Apr 1/05 cons only @ new rate</v>
      </c>
      <c r="C57" s="8">
        <f>SUM(Worksheet!G50)+Worksheet!I50</f>
        <v>9221.1</v>
      </c>
      <c r="D57" s="8">
        <f>SUM(Worksheet!H49)</f>
        <v>0</v>
      </c>
      <c r="G57" s="10">
        <f>'PILS Rates'!$E$7</f>
        <v>0.1864</v>
      </c>
      <c r="H57" s="11">
        <f t="shared" si="3"/>
        <v>1718.8130400000002</v>
      </c>
    </row>
    <row r="58" spans="1:8" ht="12.75">
      <c r="A58" s="7">
        <f>Worksheet!A51</f>
        <v>38534</v>
      </c>
      <c r="B58" s="7" t="str">
        <f>Worksheet!B51</f>
        <v>All consumption from Stats</v>
      </c>
      <c r="C58" s="8">
        <f>SUM(Worksheet!G51)+Worksheet!I51</f>
        <v>6986.799999999999</v>
      </c>
      <c r="D58" s="8">
        <f>SUM(Worksheet!H51)</f>
        <v>0</v>
      </c>
      <c r="G58" s="10">
        <f>'PILS Rates'!$E$7</f>
        <v>0.1864</v>
      </c>
      <c r="H58" s="11">
        <f t="shared" si="3"/>
        <v>1302.33952</v>
      </c>
    </row>
    <row r="59" spans="1:8" ht="12.75">
      <c r="A59" s="7">
        <f>Worksheet!A52</f>
        <v>38565</v>
      </c>
      <c r="B59" s="7" t="str">
        <f>Worksheet!B52</f>
        <v>Pre Apr 1/05 cons only @ old rate</v>
      </c>
      <c r="C59" s="8">
        <f>SUM(Worksheet!G52)+Worksheet!I52</f>
        <v>0</v>
      </c>
      <c r="D59" s="8">
        <f>SUM(Worksheet!H52)</f>
        <v>0</v>
      </c>
      <c r="G59" s="10">
        <f>'PILS Rates'!$D$7</f>
        <v>0.2844</v>
      </c>
      <c r="H59" s="11">
        <f t="shared" si="3"/>
        <v>0</v>
      </c>
    </row>
    <row r="60" spans="1:8" ht="12.75">
      <c r="A60" s="7">
        <f>Worksheet!A53</f>
        <v>38565</v>
      </c>
      <c r="B60" s="7" t="str">
        <f>Worksheet!B53</f>
        <v>Post Apr 1/05 cons only @ new rate</v>
      </c>
      <c r="C60" s="8">
        <f>SUM(Worksheet!G53)+Worksheet!I53</f>
        <v>9633.3</v>
      </c>
      <c r="D60" s="8">
        <f>SUM(Worksheet!H53)</f>
        <v>0</v>
      </c>
      <c r="G60" s="10">
        <f>'PILS Rates'!$E$7</f>
        <v>0.1864</v>
      </c>
      <c r="H60" s="11">
        <f>(C60*E60)+(D60*F60)+(C60*G60)</f>
        <v>1795.6471199999999</v>
      </c>
    </row>
    <row r="61" spans="1:8" ht="12.75">
      <c r="A61" s="7">
        <f>Worksheet!A54</f>
        <v>38596</v>
      </c>
      <c r="B61" s="7" t="str">
        <f>Worksheet!B54</f>
        <v>All consumption from Stats</v>
      </c>
      <c r="C61" s="8">
        <f>SUM(Worksheet!G54)+Worksheet!I54</f>
        <v>9427</v>
      </c>
      <c r="D61" s="8">
        <f>SUM(Worksheet!H54)</f>
        <v>0</v>
      </c>
      <c r="G61" s="10">
        <f>'PILS Rates'!$E$7</f>
        <v>0.1864</v>
      </c>
      <c r="H61" s="11">
        <f t="shared" si="3"/>
        <v>1757.1928</v>
      </c>
    </row>
    <row r="62" spans="1:8" ht="12.75">
      <c r="A62" s="7">
        <f>Worksheet!A55</f>
        <v>38626</v>
      </c>
      <c r="B62" s="7" t="str">
        <f>Worksheet!B55</f>
        <v>All consumption from Stats</v>
      </c>
      <c r="C62" s="8">
        <f>SUM(Worksheet!G55)+Worksheet!I55</f>
        <v>7503.6</v>
      </c>
      <c r="D62" s="8">
        <f>SUM(Worksheet!H55)</f>
        <v>0</v>
      </c>
      <c r="G62" s="10">
        <f>'PILS Rates'!$E$7</f>
        <v>0.1864</v>
      </c>
      <c r="H62" s="11">
        <f t="shared" si="3"/>
        <v>1398.6710400000002</v>
      </c>
    </row>
    <row r="63" spans="1:8" ht="12.75">
      <c r="A63" s="7">
        <f>Worksheet!A56</f>
        <v>38657</v>
      </c>
      <c r="B63" s="7" t="str">
        <f>Worksheet!B56</f>
        <v>All consumption from Stats</v>
      </c>
      <c r="C63" s="8">
        <f>SUM(Worksheet!G56)+Worksheet!I56</f>
        <v>8962.9</v>
      </c>
      <c r="D63" s="8">
        <f>SUM(Worksheet!H56)</f>
        <v>0</v>
      </c>
      <c r="G63" s="10">
        <f>'PILS Rates'!$E$7</f>
        <v>0.1864</v>
      </c>
      <c r="H63" s="11">
        <f t="shared" si="3"/>
        <v>1670.68456</v>
      </c>
    </row>
    <row r="64" spans="1:8" ht="12.75">
      <c r="A64" s="7">
        <f>Worksheet!A57</f>
        <v>38687</v>
      </c>
      <c r="B64" s="7" t="str">
        <f>Worksheet!B57</f>
        <v>All consumption from Stats</v>
      </c>
      <c r="C64" s="8">
        <f>SUM(Worksheet!G57)+Worksheet!I57</f>
        <v>16044.400000000001</v>
      </c>
      <c r="D64" s="8">
        <f>SUM(Worksheet!H57)</f>
        <v>0</v>
      </c>
      <c r="G64" s="10">
        <f>'PILS Rates'!$E$7</f>
        <v>0.1864</v>
      </c>
      <c r="H64" s="11">
        <f t="shared" si="3"/>
        <v>2990.6761600000004</v>
      </c>
    </row>
    <row r="65" spans="1:2" ht="12.75">
      <c r="A65" s="7"/>
      <c r="B65" s="7"/>
    </row>
    <row r="66" spans="1:8" ht="12.75">
      <c r="A66" s="12" t="s">
        <v>0</v>
      </c>
      <c r="B66" s="12"/>
      <c r="C66" s="3"/>
      <c r="D66" s="3"/>
      <c r="E66" s="13"/>
      <c r="F66" s="14"/>
      <c r="G66" s="14"/>
      <c r="H66" s="6">
        <f>SUM(H49:H64)</f>
        <v>21514.126880000003</v>
      </c>
    </row>
    <row r="67" spans="1:2" ht="12.75">
      <c r="A67" s="7"/>
      <c r="B67" s="7"/>
    </row>
    <row r="68" spans="1:8" ht="12.75">
      <c r="A68" s="7">
        <f>Worksheet!A58</f>
        <v>38718</v>
      </c>
      <c r="B68" s="7" t="str">
        <f>Worksheet!B58</f>
        <v>All consumption from Stats</v>
      </c>
      <c r="C68" s="8">
        <f>SUM(Worksheet!G58)+Worksheet!I58</f>
        <v>-398.9200000000005</v>
      </c>
      <c r="D68" s="8">
        <f>SUM(Worksheet!H58)</f>
        <v>0</v>
      </c>
      <c r="G68" s="10">
        <f>'PILS Rates'!$E$7</f>
        <v>0.1864</v>
      </c>
      <c r="H68" s="11">
        <f aca="true" t="shared" si="4" ref="H68:H76">(C68*E68)+(D68*F68)+(C68*G68)</f>
        <v>-74.3586880000001</v>
      </c>
    </row>
    <row r="69" spans="1:8" ht="12.75">
      <c r="A69" s="7">
        <f>Worksheet!A59</f>
        <v>38749</v>
      </c>
      <c r="B69" s="7" t="str">
        <f>Worksheet!B59</f>
        <v>All consumption from Stats</v>
      </c>
      <c r="C69" s="8">
        <f>SUM(Worksheet!G59)+Worksheet!I59</f>
        <v>9030.43</v>
      </c>
      <c r="D69" s="8">
        <f>SUM(Worksheet!H59)</f>
        <v>0</v>
      </c>
      <c r="G69" s="10">
        <f>'PILS Rates'!$E$7</f>
        <v>0.1864</v>
      </c>
      <c r="H69" s="11">
        <f t="shared" si="4"/>
        <v>1683.2721520000002</v>
      </c>
    </row>
    <row r="70" spans="1:8" ht="12.75">
      <c r="A70" s="7">
        <f>Worksheet!A60</f>
        <v>38777</v>
      </c>
      <c r="B70" s="7" t="str">
        <f>Worksheet!B60</f>
        <v>All consumption from Stats</v>
      </c>
      <c r="C70" s="8">
        <f>SUM(Worksheet!G60)+Worksheet!I60</f>
        <v>7345.83</v>
      </c>
      <c r="D70" s="8">
        <f>SUM(Worksheet!H60)</f>
        <v>0</v>
      </c>
      <c r="G70" s="10">
        <f>'PILS Rates'!$E$7</f>
        <v>0.1864</v>
      </c>
      <c r="H70" s="11">
        <f t="shared" si="4"/>
        <v>1369.262712</v>
      </c>
    </row>
    <row r="71" spans="1:9" ht="12.75">
      <c r="A71" s="7">
        <f>Worksheet!A61</f>
        <v>38808</v>
      </c>
      <c r="B71" s="7" t="str">
        <f>Worksheet!B61</f>
        <v>All consumption from Stats</v>
      </c>
      <c r="C71" s="8">
        <f>SUM(Worksheet!G61)+Worksheet!I61</f>
        <v>7203.869999999999</v>
      </c>
      <c r="D71" s="8">
        <f>SUM(Worksheet!H61)</f>
        <v>0</v>
      </c>
      <c r="G71" s="10">
        <f>'PILS Rates'!$E$7</f>
        <v>0.1864</v>
      </c>
      <c r="H71" s="11">
        <f t="shared" si="4"/>
        <v>1342.801368</v>
      </c>
      <c r="I71" s="15"/>
    </row>
    <row r="72" spans="1:9" ht="12.75">
      <c r="A72" s="7">
        <f>Worksheet!A62</f>
        <v>38838</v>
      </c>
      <c r="B72" s="7" t="str">
        <f>Worksheet!B62</f>
        <v>Pre Apr 30/06 cons only @ old rate</v>
      </c>
      <c r="C72" s="8">
        <f>SUM(Worksheet!G62)+Worksheet!I62</f>
        <v>8714.86</v>
      </c>
      <c r="D72" s="8">
        <f>SUM(Worksheet!H62)</f>
        <v>0</v>
      </c>
      <c r="G72" s="10">
        <f>'PILS Rates'!$E$7</f>
        <v>0.1864</v>
      </c>
      <c r="H72" s="11">
        <f t="shared" si="4"/>
        <v>1624.4499040000003</v>
      </c>
      <c r="I72" s="15"/>
    </row>
    <row r="73" spans="1:9" ht="12.75">
      <c r="A73" s="7">
        <f>Worksheet!A63</f>
        <v>38869</v>
      </c>
      <c r="B73" s="7" t="str">
        <f>Worksheet!B63</f>
        <v>Pre Apr 30/06 cons only @ old rate</v>
      </c>
      <c r="C73" s="8">
        <f>SUM(Worksheet!G63)+Worksheet!I63</f>
        <v>257.3</v>
      </c>
      <c r="D73" s="8">
        <f>SUM(Worksheet!H63)</f>
        <v>0</v>
      </c>
      <c r="G73" s="10">
        <f>'PILS Rates'!$E$7</f>
        <v>0.1864</v>
      </c>
      <c r="H73" s="11">
        <f t="shared" si="4"/>
        <v>47.96072</v>
      </c>
      <c r="I73" s="15"/>
    </row>
    <row r="74" spans="1:9" ht="12.75">
      <c r="A74" s="7">
        <f>Worksheet!A64</f>
        <v>38899</v>
      </c>
      <c r="B74" s="7" t="str">
        <f>Worksheet!B64</f>
        <v>Pre Apr 30/06 cons only @ old rate</v>
      </c>
      <c r="C74" s="8">
        <f>SUM(Worksheet!G64)+Worksheet!I64</f>
        <v>0</v>
      </c>
      <c r="D74" s="8">
        <f>SUM(Worksheet!H64)</f>
        <v>0</v>
      </c>
      <c r="G74" s="10">
        <f>'PILS Rates'!$E$7</f>
        <v>0.1864</v>
      </c>
      <c r="H74" s="11">
        <f t="shared" si="4"/>
        <v>0</v>
      </c>
      <c r="I74" s="15"/>
    </row>
    <row r="75" spans="1:9" ht="12.75">
      <c r="A75" s="7">
        <f>Worksheet!A65</f>
        <v>38930</v>
      </c>
      <c r="B75" s="7" t="str">
        <f>Worksheet!B65</f>
        <v>Pre Apr 30/06 cons only @ old rate</v>
      </c>
      <c r="C75" s="8">
        <f>SUM(Worksheet!G65)+Worksheet!I65</f>
        <v>0</v>
      </c>
      <c r="D75" s="8">
        <f>SUM(Worksheet!H65)</f>
        <v>0</v>
      </c>
      <c r="G75" s="10">
        <f>'PILS Rates'!$E$7</f>
        <v>0.1864</v>
      </c>
      <c r="H75" s="11">
        <f t="shared" si="4"/>
        <v>0</v>
      </c>
      <c r="I75" s="15"/>
    </row>
    <row r="76" spans="1:9" ht="12.75">
      <c r="A76" s="7">
        <f>Worksheet!A66</f>
        <v>38961</v>
      </c>
      <c r="B76" s="7" t="str">
        <f>Worksheet!B66</f>
        <v>Pre Apr 30/06 cons only @ old rate</v>
      </c>
      <c r="C76" s="8">
        <f>SUM(Worksheet!G66)+Worksheet!I66</f>
        <v>0</v>
      </c>
      <c r="D76" s="8">
        <f>SUM(Worksheet!H66)</f>
        <v>0</v>
      </c>
      <c r="G76" s="10">
        <f>'PILS Rates'!$E$7</f>
        <v>0.1864</v>
      </c>
      <c r="H76" s="11">
        <f t="shared" si="4"/>
        <v>0</v>
      </c>
      <c r="I76" s="15"/>
    </row>
    <row r="77" spans="1:2" ht="12.75">
      <c r="A77" s="7"/>
      <c r="B77" s="7"/>
    </row>
    <row r="78" spans="1:8" ht="12.75">
      <c r="A78" s="12" t="s">
        <v>0</v>
      </c>
      <c r="B78" s="12"/>
      <c r="C78" s="3"/>
      <c r="D78" s="3"/>
      <c r="E78" s="13"/>
      <c r="F78" s="14"/>
      <c r="G78" s="14"/>
      <c r="H78" s="6">
        <f>SUM(H68:H76)</f>
        <v>5993.3881679999995</v>
      </c>
    </row>
    <row r="79" spans="1:2" ht="12.75">
      <c r="A79" s="7"/>
      <c r="B79" s="7"/>
    </row>
    <row r="80" spans="1:8" ht="12.75">
      <c r="A80" s="12" t="s">
        <v>12</v>
      </c>
      <c r="B80" s="12"/>
      <c r="H80" s="6">
        <f>SUM(H78,H66,H47,H28,H13)</f>
        <v>131226.88977</v>
      </c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0">
      <selection activeCell="B83" sqref="B83"/>
    </sheetView>
  </sheetViews>
  <sheetFormatPr defaultColWidth="9.140625" defaultRowHeight="15"/>
  <cols>
    <col min="1" max="1" width="11.7109375" style="2" customWidth="1"/>
    <col min="2" max="2" width="29.8515625" style="2" bestFit="1" customWidth="1"/>
    <col min="3" max="3" width="15.421875" style="8" bestFit="1" customWidth="1"/>
    <col min="4" max="4" width="15.57421875" style="8" bestFit="1" customWidth="1"/>
    <col min="5" max="5" width="15.7109375" style="9" customWidth="1"/>
    <col min="6" max="6" width="13.00390625" style="10" customWidth="1"/>
    <col min="7" max="7" width="11.28125" style="10" customWidth="1"/>
    <col min="8" max="8" width="13.7109375" style="11" customWidth="1"/>
    <col min="9" max="16384" width="9.140625" style="2" customWidth="1"/>
  </cols>
  <sheetData>
    <row r="1" spans="2:8" ht="36" customHeight="1">
      <c r="B1" s="2" t="str">
        <f>Worksheet!B3</f>
        <v>Description</v>
      </c>
      <c r="C1" s="3" t="s">
        <v>1</v>
      </c>
      <c r="D1" s="3" t="s">
        <v>4</v>
      </c>
      <c r="E1" s="4" t="s">
        <v>3</v>
      </c>
      <c r="F1" s="5" t="s">
        <v>5</v>
      </c>
      <c r="G1" s="4" t="s">
        <v>3</v>
      </c>
      <c r="H1" s="6" t="s">
        <v>0</v>
      </c>
    </row>
    <row r="2" spans="1:8" ht="12.75">
      <c r="A2" s="7">
        <f>Worksheet!A4</f>
        <v>37316</v>
      </c>
      <c r="B2" s="2" t="str">
        <f>Worksheet!B4</f>
        <v>Post Mar1/02 cons only @ new rate</v>
      </c>
      <c r="C2" s="8">
        <f>SUM(Worksheet!K4)</f>
        <v>0</v>
      </c>
      <c r="D2" s="8">
        <f>SUM(Worksheet!J4)</f>
        <v>0</v>
      </c>
      <c r="E2" s="9">
        <f>'PILS Rates'!$B$8</f>
        <v>0.38858</v>
      </c>
      <c r="F2" s="10">
        <f>'PILS Rates'!$C$8</f>
        <v>0</v>
      </c>
      <c r="H2" s="11">
        <f>(C2*E2)+(D2*F2)+(C2*G2)</f>
        <v>0</v>
      </c>
    </row>
    <row r="3" spans="1:8" ht="12.75">
      <c r="A3" s="7">
        <f>Worksheet!A5</f>
        <v>37347</v>
      </c>
      <c r="B3" s="2" t="str">
        <f>Worksheet!B5</f>
        <v>Post Mar1/02 cons only @ new rate</v>
      </c>
      <c r="C3" s="8">
        <f>SUM(Worksheet!K5)</f>
        <v>12280.8</v>
      </c>
      <c r="D3" s="8">
        <f>SUM(Worksheet!J5)</f>
        <v>0</v>
      </c>
      <c r="E3" s="9">
        <f>'PILS Rates'!$B$8</f>
        <v>0.38858</v>
      </c>
      <c r="F3" s="10">
        <f>'PILS Rates'!$C$8</f>
        <v>0</v>
      </c>
      <c r="H3" s="11">
        <f aca="true" t="shared" si="0" ref="H3:H11">(C3*E3)+(D3*F3)+(C3*G3)</f>
        <v>4772.073264</v>
      </c>
    </row>
    <row r="4" spans="1:8" ht="12.75">
      <c r="A4" s="7">
        <f>Worksheet!A6</f>
        <v>37377</v>
      </c>
      <c r="B4" s="2" t="str">
        <f>Worksheet!B6</f>
        <v>Post Mar1/02 cons only @ new rate</v>
      </c>
      <c r="C4" s="8">
        <f>SUM(Worksheet!K6)</f>
        <v>0</v>
      </c>
      <c r="D4" s="8">
        <f>SUM(Worksheet!J6)</f>
        <v>0</v>
      </c>
      <c r="E4" s="9">
        <f>'PILS Rates'!$B$8</f>
        <v>0.38858</v>
      </c>
      <c r="F4" s="10">
        <f>'PILS Rates'!$C$8</f>
        <v>0</v>
      </c>
      <c r="H4" s="11">
        <f t="shared" si="0"/>
        <v>0</v>
      </c>
    </row>
    <row r="5" spans="1:8" ht="12.75">
      <c r="A5" s="7">
        <f>Worksheet!A7</f>
        <v>37408</v>
      </c>
      <c r="B5" s="2" t="str">
        <f>Worksheet!B7</f>
        <v>Post Mar1/02 cons only @ new rate</v>
      </c>
      <c r="C5" s="8">
        <f>SUM(Worksheet!K7)</f>
        <v>5058.4</v>
      </c>
      <c r="D5" s="8">
        <f>SUM(Worksheet!J7)</f>
        <v>0</v>
      </c>
      <c r="E5" s="9">
        <f>'PILS Rates'!$B$8</f>
        <v>0.38858</v>
      </c>
      <c r="F5" s="10">
        <f>'PILS Rates'!$C$8</f>
        <v>0</v>
      </c>
      <c r="H5" s="11">
        <f t="shared" si="0"/>
        <v>1965.5930719999997</v>
      </c>
    </row>
    <row r="6" spans="1:8" ht="12.75">
      <c r="A6" s="7">
        <f>Worksheet!A8</f>
        <v>37438</v>
      </c>
      <c r="B6" s="2" t="str">
        <f>Worksheet!B8</f>
        <v>Post Mar1/02 cons only @ new rate</v>
      </c>
      <c r="C6" s="8">
        <f>SUM(Worksheet!K8)</f>
        <v>5248.799999999999</v>
      </c>
      <c r="D6" s="8">
        <f>SUM(Worksheet!J8)</f>
        <v>0</v>
      </c>
      <c r="E6" s="9">
        <f>'PILS Rates'!$B$8</f>
        <v>0.38858</v>
      </c>
      <c r="F6" s="10">
        <f>'PILS Rates'!$C$8</f>
        <v>0</v>
      </c>
      <c r="H6" s="11">
        <f t="shared" si="0"/>
        <v>2039.5787039999996</v>
      </c>
    </row>
    <row r="7" spans="1:8" ht="12.75">
      <c r="A7" s="7">
        <f>Worksheet!A9</f>
        <v>37469</v>
      </c>
      <c r="B7" s="2" t="str">
        <f>Worksheet!B9</f>
        <v>All consumption from Stats</v>
      </c>
      <c r="C7" s="8">
        <f>SUM(Worksheet!K9)</f>
        <v>5171.1</v>
      </c>
      <c r="D7" s="8">
        <f>SUM(Worksheet!J9)</f>
        <v>0</v>
      </c>
      <c r="E7" s="9">
        <f>'PILS Rates'!$B$8</f>
        <v>0.38858</v>
      </c>
      <c r="F7" s="10">
        <f>'PILS Rates'!$C$8</f>
        <v>0</v>
      </c>
      <c r="H7" s="11">
        <f t="shared" si="0"/>
        <v>2009.386038</v>
      </c>
    </row>
    <row r="8" spans="1:8" ht="12.75">
      <c r="A8" s="7">
        <f>Worksheet!A10</f>
        <v>37500</v>
      </c>
      <c r="B8" s="2" t="str">
        <f>Worksheet!B10</f>
        <v>Post Mar1/02 cons only @ new rate</v>
      </c>
      <c r="C8" s="8">
        <f>SUM(Worksheet!K10)</f>
        <v>5187.7</v>
      </c>
      <c r="D8" s="8">
        <f>SUM(Worksheet!J10)</f>
        <v>0</v>
      </c>
      <c r="E8" s="9">
        <f>'PILS Rates'!$B$8</f>
        <v>0.38858</v>
      </c>
      <c r="F8" s="10">
        <f>'PILS Rates'!$C$8</f>
        <v>0</v>
      </c>
      <c r="H8" s="11">
        <f t="shared" si="0"/>
        <v>2015.8364659999997</v>
      </c>
    </row>
    <row r="9" spans="1:8" ht="12.75">
      <c r="A9" s="7">
        <f>Worksheet!A11</f>
        <v>37530</v>
      </c>
      <c r="B9" s="2" t="str">
        <f>Worksheet!B11</f>
        <v>Post Mar1/02 cons only @ new rate</v>
      </c>
      <c r="C9" s="8">
        <f>SUM(Worksheet!K11)</f>
        <v>5159.200000000001</v>
      </c>
      <c r="D9" s="8">
        <f>SUM(Worksheet!J11)</f>
        <v>0</v>
      </c>
      <c r="E9" s="9">
        <f>'PILS Rates'!$B$8</f>
        <v>0.38858</v>
      </c>
      <c r="F9" s="10">
        <f>'PILS Rates'!$C$8</f>
        <v>0</v>
      </c>
      <c r="H9" s="11">
        <f t="shared" si="0"/>
        <v>2004.761936</v>
      </c>
    </row>
    <row r="10" spans="1:8" ht="12.75">
      <c r="A10" s="7">
        <f>Worksheet!A12</f>
        <v>37561</v>
      </c>
      <c r="B10" s="2" t="str">
        <f>Worksheet!B12</f>
        <v>All consumption from Stats</v>
      </c>
      <c r="C10" s="8">
        <f>SUM(Worksheet!K12)</f>
        <v>5061.5</v>
      </c>
      <c r="D10" s="8">
        <f>SUM(Worksheet!J12)</f>
        <v>0</v>
      </c>
      <c r="E10" s="9">
        <f>'PILS Rates'!$B$8</f>
        <v>0.38858</v>
      </c>
      <c r="F10" s="10">
        <f>'PILS Rates'!$C$8</f>
        <v>0</v>
      </c>
      <c r="H10" s="11">
        <f t="shared" si="0"/>
        <v>1966.79767</v>
      </c>
    </row>
    <row r="11" spans="1:8" ht="12.75">
      <c r="A11" s="7">
        <f>Worksheet!A13</f>
        <v>37591</v>
      </c>
      <c r="B11" s="2" t="str">
        <f>Worksheet!B13</f>
        <v>All consumption from Stats</v>
      </c>
      <c r="C11" s="8">
        <f>SUM(Worksheet!K13)</f>
        <v>8715.3</v>
      </c>
      <c r="D11" s="8">
        <f>SUM(Worksheet!J13)</f>
        <v>0</v>
      </c>
      <c r="E11" s="9">
        <f>'PILS Rates'!$B$8</f>
        <v>0.38858</v>
      </c>
      <c r="F11" s="10">
        <f>'PILS Rates'!$C$8</f>
        <v>0</v>
      </c>
      <c r="H11" s="11">
        <f t="shared" si="0"/>
        <v>3386.5912739999994</v>
      </c>
    </row>
    <row r="12" spans="1:2" ht="12.75">
      <c r="A12" s="7"/>
      <c r="B12" s="7"/>
    </row>
    <row r="13" spans="1:8" ht="12.75">
      <c r="A13" s="12" t="s">
        <v>0</v>
      </c>
      <c r="B13" s="12"/>
      <c r="C13" s="3"/>
      <c r="D13" s="3"/>
      <c r="E13" s="13"/>
      <c r="F13" s="14"/>
      <c r="G13" s="14"/>
      <c r="H13" s="6">
        <f>SUM(H2:H11)</f>
        <v>20160.618424</v>
      </c>
    </row>
    <row r="14" spans="1:2" ht="12.75">
      <c r="A14" s="7"/>
      <c r="B14" s="7"/>
    </row>
    <row r="15" spans="1:8" ht="12.75">
      <c r="A15" s="7">
        <f>Worksheet!A14</f>
        <v>37622</v>
      </c>
      <c r="B15" s="7" t="str">
        <f>Worksheet!B14</f>
        <v>All consumption from Stats</v>
      </c>
      <c r="C15" s="8">
        <f>SUM(Worksheet!K14)</f>
        <v>0</v>
      </c>
      <c r="D15" s="8">
        <f>SUM(Worksheet!J14)</f>
        <v>0</v>
      </c>
      <c r="E15" s="9">
        <f>'PILS Rates'!$B$8</f>
        <v>0.38858</v>
      </c>
      <c r="F15" s="10">
        <f>'PILS Rates'!$C$8</f>
        <v>0</v>
      </c>
      <c r="H15" s="11">
        <f aca="true" t="shared" si="1" ref="H15:H26">(C15*E15)+(D15*F15)+(C15*G15)</f>
        <v>0</v>
      </c>
    </row>
    <row r="16" spans="1:8" ht="12.75">
      <c r="A16" s="7">
        <f>Worksheet!A15</f>
        <v>37653</v>
      </c>
      <c r="B16" s="7" t="str">
        <f>Worksheet!B15</f>
        <v>All consumption from Stats</v>
      </c>
      <c r="C16" s="8">
        <f>SUM(Worksheet!K15)</f>
        <v>4364.4</v>
      </c>
      <c r="D16" s="8">
        <f>SUM(Worksheet!J15)</f>
        <v>0</v>
      </c>
      <c r="E16" s="9">
        <f>'PILS Rates'!$B$8</f>
        <v>0.38858</v>
      </c>
      <c r="F16" s="10">
        <f>'PILS Rates'!$C$8</f>
        <v>0</v>
      </c>
      <c r="H16" s="11">
        <f t="shared" si="1"/>
        <v>1695.9185519999999</v>
      </c>
    </row>
    <row r="17" spans="1:8" ht="12.75">
      <c r="A17" s="7">
        <f>Worksheet!A16</f>
        <v>37681</v>
      </c>
      <c r="B17" s="7" t="str">
        <f>Worksheet!B16</f>
        <v>All consumption from Stats</v>
      </c>
      <c r="C17" s="8">
        <f>SUM(Worksheet!K16)</f>
        <v>4317.2</v>
      </c>
      <c r="D17" s="8">
        <f>SUM(Worksheet!J16)</f>
        <v>0</v>
      </c>
      <c r="E17" s="9">
        <f>'PILS Rates'!$B$8</f>
        <v>0.38858</v>
      </c>
      <c r="F17" s="10">
        <f>'PILS Rates'!$C$8</f>
        <v>0</v>
      </c>
      <c r="H17" s="11">
        <f t="shared" si="1"/>
        <v>1677.577576</v>
      </c>
    </row>
    <row r="18" spans="1:8" ht="12.75">
      <c r="A18" s="7">
        <f>Worksheet!A17</f>
        <v>37712</v>
      </c>
      <c r="B18" s="7" t="str">
        <f>Worksheet!B17</f>
        <v>All consumption from Stats</v>
      </c>
      <c r="C18" s="8">
        <f>SUM(Worksheet!K17)</f>
        <v>4365.1</v>
      </c>
      <c r="D18" s="8">
        <f>SUM(Worksheet!J17)</f>
        <v>0</v>
      </c>
      <c r="E18" s="9">
        <f>'PILS Rates'!$B$8</f>
        <v>0.38858</v>
      </c>
      <c r="F18" s="10">
        <f>'PILS Rates'!$C$8</f>
        <v>0</v>
      </c>
      <c r="H18" s="11">
        <f t="shared" si="1"/>
        <v>1696.190558</v>
      </c>
    </row>
    <row r="19" spans="1:8" ht="12.75">
      <c r="A19" s="7">
        <f>Worksheet!A18</f>
        <v>37742</v>
      </c>
      <c r="B19" s="7" t="str">
        <f>Worksheet!B18</f>
        <v>All consumption from Stats</v>
      </c>
      <c r="C19" s="8">
        <f>SUM(Worksheet!K18)</f>
        <v>4524.4</v>
      </c>
      <c r="D19" s="8">
        <f>SUM(Worksheet!J18)</f>
        <v>0</v>
      </c>
      <c r="E19" s="9">
        <f>'PILS Rates'!$B$8</f>
        <v>0.38858</v>
      </c>
      <c r="F19" s="10">
        <f>'PILS Rates'!$C$8</f>
        <v>0</v>
      </c>
      <c r="H19" s="11">
        <f t="shared" si="1"/>
        <v>1758.0913519999997</v>
      </c>
    </row>
    <row r="20" spans="1:8" ht="12.75">
      <c r="A20" s="7">
        <f>Worksheet!A19</f>
        <v>37773</v>
      </c>
      <c r="B20" s="7" t="str">
        <f>Worksheet!B19</f>
        <v>All consumption from Stats</v>
      </c>
      <c r="C20" s="8">
        <f>SUM(Worksheet!K19)</f>
        <v>4608.4</v>
      </c>
      <c r="D20" s="8">
        <f>SUM(Worksheet!J19)</f>
        <v>0</v>
      </c>
      <c r="E20" s="9">
        <f>'PILS Rates'!$B$8</f>
        <v>0.38858</v>
      </c>
      <c r="F20" s="10">
        <f>'PILS Rates'!$C$8</f>
        <v>0</v>
      </c>
      <c r="H20" s="11">
        <f t="shared" si="1"/>
        <v>1790.7320719999998</v>
      </c>
    </row>
    <row r="21" spans="1:8" ht="12.75">
      <c r="A21" s="7">
        <f>Worksheet!A20</f>
        <v>37803</v>
      </c>
      <c r="B21" s="7" t="str">
        <f>Worksheet!B20</f>
        <v>All consumption from Stats</v>
      </c>
      <c r="C21" s="8">
        <f>SUM(Worksheet!K20)</f>
        <v>4913.5</v>
      </c>
      <c r="D21" s="8">
        <f>SUM(Worksheet!J20)</f>
        <v>0</v>
      </c>
      <c r="E21" s="9">
        <f>'PILS Rates'!$B$8</f>
        <v>0.38858</v>
      </c>
      <c r="F21" s="10">
        <f>'PILS Rates'!$C$8</f>
        <v>0</v>
      </c>
      <c r="H21" s="11">
        <f t="shared" si="1"/>
        <v>1909.28783</v>
      </c>
    </row>
    <row r="22" spans="1:8" ht="12.75">
      <c r="A22" s="7">
        <f>Worksheet!A21</f>
        <v>37834</v>
      </c>
      <c r="B22" s="7" t="str">
        <f>Worksheet!B21</f>
        <v>All consumption from Stats</v>
      </c>
      <c r="C22" s="8">
        <f>SUM(Worksheet!K21)</f>
        <v>4925.1</v>
      </c>
      <c r="D22" s="8">
        <f>SUM(Worksheet!J21)</f>
        <v>0</v>
      </c>
      <c r="E22" s="9">
        <f>'PILS Rates'!$B$8</f>
        <v>0.38858</v>
      </c>
      <c r="F22" s="10">
        <f>'PILS Rates'!$C$8</f>
        <v>0</v>
      </c>
      <c r="H22" s="11">
        <f t="shared" si="1"/>
        <v>1913.795358</v>
      </c>
    </row>
    <row r="23" spans="1:8" ht="12.75">
      <c r="A23" s="7">
        <f>Worksheet!A22</f>
        <v>37865</v>
      </c>
      <c r="B23" s="7" t="str">
        <f>Worksheet!B22</f>
        <v>All consumption from Stats</v>
      </c>
      <c r="C23" s="8">
        <f>SUM(Worksheet!K22)</f>
        <v>4952</v>
      </c>
      <c r="D23" s="8">
        <f>SUM(Worksheet!J22)</f>
        <v>0</v>
      </c>
      <c r="E23" s="9">
        <f>'PILS Rates'!$B$8</f>
        <v>0.38858</v>
      </c>
      <c r="F23" s="10">
        <f>'PILS Rates'!$C$8</f>
        <v>0</v>
      </c>
      <c r="H23" s="11">
        <f t="shared" si="1"/>
        <v>1924.2481599999999</v>
      </c>
    </row>
    <row r="24" spans="1:8" ht="12.75">
      <c r="A24" s="7">
        <f>Worksheet!A23</f>
        <v>37895</v>
      </c>
      <c r="B24" s="7" t="str">
        <f>Worksheet!B23</f>
        <v>All consumption from Stats</v>
      </c>
      <c r="C24" s="8">
        <f>SUM(Worksheet!K23)</f>
        <v>4845</v>
      </c>
      <c r="D24" s="8">
        <f>SUM(Worksheet!J23)</f>
        <v>0</v>
      </c>
      <c r="E24" s="9">
        <f>'PILS Rates'!$B$8</f>
        <v>0.38858</v>
      </c>
      <c r="F24" s="10">
        <f>'PILS Rates'!$C$8</f>
        <v>0</v>
      </c>
      <c r="H24" s="11">
        <f t="shared" si="1"/>
        <v>1882.6700999999998</v>
      </c>
    </row>
    <row r="25" spans="1:8" ht="12.75">
      <c r="A25" s="7">
        <f>Worksheet!A24</f>
        <v>37926</v>
      </c>
      <c r="B25" s="7" t="str">
        <f>Worksheet!B24</f>
        <v>All consumption from Stats</v>
      </c>
      <c r="C25" s="8">
        <f>SUM(Worksheet!K24)</f>
        <v>4503.1</v>
      </c>
      <c r="D25" s="8">
        <f>SUM(Worksheet!J24)</f>
        <v>0</v>
      </c>
      <c r="E25" s="9">
        <f>'PILS Rates'!$B$8</f>
        <v>0.38858</v>
      </c>
      <c r="F25" s="10">
        <f>'PILS Rates'!$C$8</f>
        <v>0</v>
      </c>
      <c r="H25" s="11">
        <f t="shared" si="1"/>
        <v>1749.8145980000002</v>
      </c>
    </row>
    <row r="26" spans="1:8" ht="12.75">
      <c r="A26" s="7">
        <f>Worksheet!A25</f>
        <v>37956</v>
      </c>
      <c r="B26" s="7" t="str">
        <f>Worksheet!B25</f>
        <v>All consumption from Stats</v>
      </c>
      <c r="C26" s="8">
        <f>SUM(Worksheet!K25)</f>
        <v>9437.5</v>
      </c>
      <c r="D26" s="8">
        <f>SUM(Worksheet!J25)</f>
        <v>0</v>
      </c>
      <c r="E26" s="9">
        <f>'PILS Rates'!$B$8</f>
        <v>0.38858</v>
      </c>
      <c r="F26" s="10">
        <f>'PILS Rates'!$C$8</f>
        <v>0</v>
      </c>
      <c r="H26" s="11">
        <f t="shared" si="1"/>
        <v>3667.2237499999997</v>
      </c>
    </row>
    <row r="27" spans="1:2" ht="12.75">
      <c r="A27" s="7"/>
      <c r="B27" s="7"/>
    </row>
    <row r="28" spans="1:8" ht="12.75">
      <c r="A28" s="12" t="s">
        <v>0</v>
      </c>
      <c r="B28" s="12"/>
      <c r="C28" s="3"/>
      <c r="D28" s="3"/>
      <c r="E28" s="13"/>
      <c r="F28" s="14"/>
      <c r="G28" s="14"/>
      <c r="H28" s="6">
        <f>SUM(H15:H26)</f>
        <v>21665.549905999997</v>
      </c>
    </row>
    <row r="29" spans="1:2" ht="12.75">
      <c r="A29" s="7"/>
      <c r="B29" s="7"/>
    </row>
    <row r="30" spans="1:8" ht="12.75">
      <c r="A30" s="7">
        <f>Worksheet!A26</f>
        <v>37987</v>
      </c>
      <c r="B30" s="7" t="str">
        <f>Worksheet!B26</f>
        <v>All consumption from Stats</v>
      </c>
      <c r="C30" s="8">
        <f>SUM(Worksheet!K26)</f>
        <v>0</v>
      </c>
      <c r="D30" s="8">
        <f>SUM(Worksheet!J26)</f>
        <v>0</v>
      </c>
      <c r="E30" s="9">
        <f>'PILS Rates'!$B$8</f>
        <v>0.38858</v>
      </c>
      <c r="F30" s="10">
        <f>'PILS Rates'!$C$8</f>
        <v>0</v>
      </c>
      <c r="H30" s="11">
        <f aca="true" t="shared" si="2" ref="H30:H45">(C30*E30)+(D30*F30)+(C30*G30)</f>
        <v>0</v>
      </c>
    </row>
    <row r="31" spans="1:8" ht="12.75">
      <c r="A31" s="7">
        <f>Worksheet!A27</f>
        <v>38018</v>
      </c>
      <c r="B31" s="7" t="str">
        <f>Worksheet!B27</f>
        <v>All consumption from Stats</v>
      </c>
      <c r="C31" s="8">
        <f>SUM(Worksheet!K27)</f>
        <v>5215.4</v>
      </c>
      <c r="D31" s="8">
        <f>SUM(Worksheet!J27)</f>
        <v>0</v>
      </c>
      <c r="E31" s="9">
        <f>'PILS Rates'!$B$8</f>
        <v>0.38858</v>
      </c>
      <c r="F31" s="10">
        <f>'PILS Rates'!$C$8</f>
        <v>0</v>
      </c>
      <c r="H31" s="11">
        <f t="shared" si="2"/>
        <v>2026.6001319999998</v>
      </c>
    </row>
    <row r="32" spans="1:8" ht="12.75">
      <c r="A32" s="7">
        <f>Worksheet!A28</f>
        <v>38047</v>
      </c>
      <c r="B32" s="7" t="str">
        <f>Worksheet!B28</f>
        <v>All consumption from Stats</v>
      </c>
      <c r="C32" s="8">
        <f>SUM(Worksheet!K28)</f>
        <v>5033.2</v>
      </c>
      <c r="D32" s="8">
        <f>SUM(Worksheet!J28)</f>
        <v>0</v>
      </c>
      <c r="E32" s="9">
        <f>'PILS Rates'!$B$8</f>
        <v>0.38858</v>
      </c>
      <c r="F32" s="10">
        <f>'PILS Rates'!$C$8</f>
        <v>0</v>
      </c>
      <c r="H32" s="11">
        <f t="shared" si="2"/>
        <v>1955.8008559999998</v>
      </c>
    </row>
    <row r="33" spans="1:8" ht="12.75">
      <c r="A33" s="7">
        <f>Worksheet!A29</f>
        <v>38078</v>
      </c>
      <c r="B33" s="7" t="str">
        <f>Worksheet!B29</f>
        <v>Pre Apr 1/04 cons only @ old rate</v>
      </c>
      <c r="C33" s="8">
        <f>SUM(Worksheet!K29)</f>
        <v>4955.9</v>
      </c>
      <c r="D33" s="8">
        <f>SUM(Worksheet!J29)</f>
        <v>0</v>
      </c>
      <c r="E33" s="9">
        <f>'PILS Rates'!$B$8</f>
        <v>0.38858</v>
      </c>
      <c r="F33" s="10">
        <f>'PILS Rates'!$C$8</f>
        <v>0</v>
      </c>
      <c r="H33" s="11">
        <f t="shared" si="2"/>
        <v>1925.7636219999997</v>
      </c>
    </row>
    <row r="34" spans="1:8" ht="12.75">
      <c r="A34" s="7">
        <f>Worksheet!A30</f>
        <v>38078</v>
      </c>
      <c r="B34" s="7" t="str">
        <f>Worksheet!B30</f>
        <v>Post Apr 1/04 cons only @ new rate</v>
      </c>
      <c r="C34" s="8">
        <f>SUM(Worksheet!K30)</f>
        <v>0</v>
      </c>
      <c r="D34" s="8">
        <f>SUM(Worksheet!J30)</f>
        <v>0</v>
      </c>
      <c r="F34" s="9"/>
      <c r="G34" s="10">
        <f>'PILS Rates'!$D$8</f>
        <v>0.2844</v>
      </c>
      <c r="H34" s="11">
        <f t="shared" si="2"/>
        <v>0</v>
      </c>
    </row>
    <row r="35" spans="1:8" ht="12.75">
      <c r="A35" s="7">
        <f>Worksheet!A31</f>
        <v>38108</v>
      </c>
      <c r="B35" s="7" t="str">
        <f>Worksheet!B31</f>
        <v>Pre Apr 1/04 cons only @ old rate</v>
      </c>
      <c r="C35" s="8">
        <f>SUM(Worksheet!K31)</f>
        <v>0</v>
      </c>
      <c r="D35" s="8">
        <f>SUM(Worksheet!J31)</f>
        <v>0</v>
      </c>
      <c r="E35" s="9">
        <f>'PILS Rates'!$B$8</f>
        <v>0.38858</v>
      </c>
      <c r="F35" s="10">
        <f>'PILS Rates'!$C$8</f>
        <v>0</v>
      </c>
      <c r="H35" s="11">
        <f t="shared" si="2"/>
        <v>0</v>
      </c>
    </row>
    <row r="36" spans="1:8" ht="12.75">
      <c r="A36" s="7">
        <f>Worksheet!A32</f>
        <v>38108</v>
      </c>
      <c r="B36" s="7" t="str">
        <f>Worksheet!B32</f>
        <v>Post Apr 1/04 cons only @ new rate</v>
      </c>
      <c r="C36" s="8">
        <f>SUM(Worksheet!K32)</f>
        <v>5097.4</v>
      </c>
      <c r="D36" s="8">
        <f>SUM(Worksheet!J32)</f>
        <v>0</v>
      </c>
      <c r="F36" s="9"/>
      <c r="G36" s="10">
        <f>'PILS Rates'!$D$8</f>
        <v>0.2844</v>
      </c>
      <c r="H36" s="11">
        <f t="shared" si="2"/>
        <v>1449.7005599999998</v>
      </c>
    </row>
    <row r="37" spans="1:8" ht="12.75">
      <c r="A37" s="7">
        <f>Worksheet!A33</f>
        <v>38139</v>
      </c>
      <c r="B37" s="7" t="str">
        <f>Worksheet!B33</f>
        <v>Pre Apr 1/04 cons only @ old rate</v>
      </c>
      <c r="C37" s="8">
        <f>SUM(Worksheet!K33)</f>
        <v>0</v>
      </c>
      <c r="D37" s="8">
        <f>SUM(Worksheet!J33)</f>
        <v>0</v>
      </c>
      <c r="E37" s="9">
        <f>'PILS Rates'!$B$8</f>
        <v>0.38858</v>
      </c>
      <c r="F37" s="10">
        <f>'PILS Rates'!$C$8</f>
        <v>0</v>
      </c>
      <c r="H37" s="11">
        <f t="shared" si="2"/>
        <v>0</v>
      </c>
    </row>
    <row r="38" spans="1:8" ht="12.75">
      <c r="A38" s="7">
        <f>Worksheet!A34</f>
        <v>38139</v>
      </c>
      <c r="B38" s="7" t="str">
        <f>Worksheet!B34</f>
        <v>Post Apr 1/04 cons only @ new rate</v>
      </c>
      <c r="C38" s="8">
        <f>SUM(Worksheet!K34)</f>
        <v>5601.1</v>
      </c>
      <c r="D38" s="8">
        <f>SUM(Worksheet!J34)</f>
        <v>0</v>
      </c>
      <c r="F38" s="9"/>
      <c r="G38" s="10">
        <f>'PILS Rates'!$D$8</f>
        <v>0.2844</v>
      </c>
      <c r="H38" s="11">
        <f t="shared" si="2"/>
        <v>1592.95284</v>
      </c>
    </row>
    <row r="39" spans="1:8" ht="12.75">
      <c r="A39" s="7">
        <f>Worksheet!A35</f>
        <v>38169</v>
      </c>
      <c r="B39" s="7" t="str">
        <f>Worksheet!B35</f>
        <v>All consumption from Stats</v>
      </c>
      <c r="C39" s="8">
        <f>SUM(Worksheet!K35)</f>
        <v>5783.8</v>
      </c>
      <c r="D39" s="8">
        <f>SUM(Worksheet!J35)</f>
        <v>0</v>
      </c>
      <c r="F39" s="9"/>
      <c r="G39" s="10">
        <f>'PILS Rates'!$D$8</f>
        <v>0.2844</v>
      </c>
      <c r="H39" s="11">
        <f t="shared" si="2"/>
        <v>1644.91272</v>
      </c>
    </row>
    <row r="40" spans="1:8" ht="12.75">
      <c r="A40" s="7">
        <f>Worksheet!A36</f>
        <v>38200</v>
      </c>
      <c r="B40" s="7" t="str">
        <f>Worksheet!B36</f>
        <v>Pre Apr 1/04 cons only @ old rate</v>
      </c>
      <c r="C40" s="8">
        <f>SUM(Worksheet!K36)</f>
        <v>0</v>
      </c>
      <c r="D40" s="8">
        <f>SUM(Worksheet!J36)</f>
        <v>0</v>
      </c>
      <c r="E40" s="9">
        <f>'PILS Rates'!$B$8</f>
        <v>0.38858</v>
      </c>
      <c r="F40" s="10">
        <f>'PILS Rates'!$C$8</f>
        <v>0</v>
      </c>
      <c r="H40" s="11">
        <f t="shared" si="2"/>
        <v>0</v>
      </c>
    </row>
    <row r="41" spans="1:8" ht="12.75">
      <c r="A41" s="7">
        <f>Worksheet!A37</f>
        <v>38200</v>
      </c>
      <c r="B41" s="7" t="str">
        <f>Worksheet!B37</f>
        <v>Post Apr 1/04 cons only @ new rate</v>
      </c>
      <c r="C41" s="8">
        <f>SUM(Worksheet!K37)</f>
        <v>5752.6</v>
      </c>
      <c r="D41" s="8">
        <f>SUM(Worksheet!J37)</f>
        <v>0</v>
      </c>
      <c r="F41" s="9"/>
      <c r="G41" s="10">
        <f>'PILS Rates'!$D$8</f>
        <v>0.2844</v>
      </c>
      <c r="H41" s="11">
        <f>(C41*E41)+(D41*F41)+(C41*G41)</f>
        <v>1636.03944</v>
      </c>
    </row>
    <row r="42" spans="1:8" ht="12.75">
      <c r="A42" s="7">
        <f>Worksheet!A38</f>
        <v>38231</v>
      </c>
      <c r="B42" s="7" t="str">
        <f>Worksheet!B38</f>
        <v>All consumption from Stats</v>
      </c>
      <c r="C42" s="8">
        <f>SUM(Worksheet!K38)</f>
        <v>5998.8</v>
      </c>
      <c r="D42" s="8">
        <f>SUM(Worksheet!J38)</f>
        <v>0</v>
      </c>
      <c r="F42" s="9"/>
      <c r="G42" s="10">
        <f>'PILS Rates'!$D$8</f>
        <v>0.2844</v>
      </c>
      <c r="H42" s="11">
        <f>(C42*E42)+(D42*F42)+(C42*G42)</f>
        <v>1706.05872</v>
      </c>
    </row>
    <row r="43" spans="1:8" ht="12.75">
      <c r="A43" s="7">
        <f>Worksheet!A39</f>
        <v>38261</v>
      </c>
      <c r="B43" s="7" t="str">
        <f>Worksheet!B39</f>
        <v>All consumption from Stats</v>
      </c>
      <c r="C43" s="8">
        <f>SUM(Worksheet!K39)</f>
        <v>5695.2</v>
      </c>
      <c r="D43" s="8">
        <f>SUM(Worksheet!J39)</f>
        <v>0</v>
      </c>
      <c r="F43" s="9"/>
      <c r="G43" s="10">
        <f>'PILS Rates'!$D$8</f>
        <v>0.2844</v>
      </c>
      <c r="H43" s="11">
        <f t="shared" si="2"/>
        <v>1619.7148799999998</v>
      </c>
    </row>
    <row r="44" spans="1:8" ht="12.75">
      <c r="A44" s="7">
        <f>Worksheet!A40</f>
        <v>38292</v>
      </c>
      <c r="B44" s="7" t="str">
        <f>Worksheet!B40</f>
        <v>All consumption from Stats</v>
      </c>
      <c r="C44" s="8">
        <f>SUM(Worksheet!K40)</f>
        <v>5391.4</v>
      </c>
      <c r="D44" s="8">
        <f>SUM(Worksheet!J40)</f>
        <v>0</v>
      </c>
      <c r="F44" s="9"/>
      <c r="G44" s="10">
        <f>'PILS Rates'!$D$8</f>
        <v>0.2844</v>
      </c>
      <c r="H44" s="11">
        <f t="shared" si="2"/>
        <v>1533.31416</v>
      </c>
    </row>
    <row r="45" spans="1:8" ht="12.75">
      <c r="A45" s="7">
        <f>Worksheet!A41</f>
        <v>38322</v>
      </c>
      <c r="B45" s="7" t="str">
        <f>Worksheet!B41</f>
        <v>All consumption from Stats</v>
      </c>
      <c r="C45" s="8">
        <f>SUM(Worksheet!K41)</f>
        <v>299.5</v>
      </c>
      <c r="D45" s="8">
        <f>SUM(Worksheet!J41)</f>
        <v>0</v>
      </c>
      <c r="F45" s="9"/>
      <c r="G45" s="10">
        <f>'PILS Rates'!$D$8</f>
        <v>0.2844</v>
      </c>
      <c r="H45" s="11">
        <f t="shared" si="2"/>
        <v>85.17779999999999</v>
      </c>
    </row>
    <row r="46" spans="1:2" ht="12.75">
      <c r="A46" s="7"/>
      <c r="B46" s="7"/>
    </row>
    <row r="47" spans="1:8" ht="12.75">
      <c r="A47" s="12" t="s">
        <v>0</v>
      </c>
      <c r="B47" s="12"/>
      <c r="C47" s="3"/>
      <c r="D47" s="3"/>
      <c r="E47" s="13"/>
      <c r="F47" s="14"/>
      <c r="G47" s="14"/>
      <c r="H47" s="6">
        <f>SUM(H30:H45)</f>
        <v>17176.03573</v>
      </c>
    </row>
    <row r="48" spans="1:2" ht="12.75">
      <c r="A48" s="7"/>
      <c r="B48" s="7"/>
    </row>
    <row r="49" spans="1:8" ht="12.75">
      <c r="A49" s="7">
        <f>Worksheet!A42</f>
        <v>38353</v>
      </c>
      <c r="B49" s="7" t="str">
        <f>Worksheet!B42</f>
        <v>All consumption from Stats</v>
      </c>
      <c r="C49" s="8">
        <f>SUM(Worksheet!K42)</f>
        <v>0</v>
      </c>
      <c r="D49" s="8">
        <f>SUM(Worksheet!J42)</f>
        <v>0</v>
      </c>
      <c r="G49" s="10">
        <f>'PILS Rates'!$D$8</f>
        <v>0.2844</v>
      </c>
      <c r="H49" s="11">
        <f aca="true" t="shared" si="3" ref="H49:H64">(C49*E49)+(D49*F49)+(C49*G49)</f>
        <v>0</v>
      </c>
    </row>
    <row r="50" spans="1:8" ht="12.75">
      <c r="A50" s="7">
        <f>Worksheet!A43</f>
        <v>38384</v>
      </c>
      <c r="B50" s="7" t="str">
        <f>Worksheet!B43</f>
        <v>All consumption from Stats</v>
      </c>
      <c r="C50" s="8">
        <f>SUM(Worksheet!K43)</f>
        <v>4344.9</v>
      </c>
      <c r="D50" s="8">
        <f>SUM(Worksheet!J43)</f>
        <v>0</v>
      </c>
      <c r="G50" s="10">
        <f>'PILS Rates'!$D$8</f>
        <v>0.2844</v>
      </c>
      <c r="H50" s="11">
        <f t="shared" si="3"/>
        <v>1235.6895599999998</v>
      </c>
    </row>
    <row r="51" spans="1:8" ht="12.75">
      <c r="A51" s="7">
        <f>Worksheet!A44</f>
        <v>38412</v>
      </c>
      <c r="B51" s="7" t="str">
        <f>Worksheet!B44</f>
        <v>All consumption from Stats</v>
      </c>
      <c r="C51" s="8">
        <f>SUM(Worksheet!K44)</f>
        <v>5079.8</v>
      </c>
      <c r="D51" s="8">
        <f>SUM(Worksheet!J44)</f>
        <v>0</v>
      </c>
      <c r="G51" s="10">
        <f>'PILS Rates'!$D$8</f>
        <v>0.2844</v>
      </c>
      <c r="H51" s="11">
        <f t="shared" si="3"/>
        <v>1444.69512</v>
      </c>
    </row>
    <row r="52" spans="1:8" ht="12.75">
      <c r="A52" s="7">
        <f>Worksheet!A45</f>
        <v>38443</v>
      </c>
      <c r="B52" s="7" t="str">
        <f>Worksheet!B45</f>
        <v>Pre Apr 1/05 cons only @ old rate</v>
      </c>
      <c r="C52" s="8">
        <f>SUM(Worksheet!K45)</f>
        <v>4326.1</v>
      </c>
      <c r="D52" s="8">
        <f>SUM(Worksheet!J45)</f>
        <v>0</v>
      </c>
      <c r="G52" s="10">
        <f>'PILS Rates'!$D$8</f>
        <v>0.2844</v>
      </c>
      <c r="H52" s="11">
        <f t="shared" si="3"/>
        <v>1230.34284</v>
      </c>
    </row>
    <row r="53" spans="1:8" ht="12.75">
      <c r="A53" s="7">
        <f>Worksheet!A46</f>
        <v>38443</v>
      </c>
      <c r="B53" s="7" t="str">
        <f>Worksheet!B46</f>
        <v>Post Apr 1/05 cons only @ new rate</v>
      </c>
      <c r="C53" s="8">
        <f>SUM(Worksheet!K46)</f>
        <v>0</v>
      </c>
      <c r="D53" s="8">
        <f>SUM(Worksheet!J46)</f>
        <v>0</v>
      </c>
      <c r="G53" s="10">
        <f>'PILS Rates'!$E$8</f>
        <v>0.1864</v>
      </c>
      <c r="H53" s="11">
        <f t="shared" si="3"/>
        <v>0</v>
      </c>
    </row>
    <row r="54" spans="1:8" ht="12.75">
      <c r="A54" s="7">
        <f>Worksheet!A47</f>
        <v>38473</v>
      </c>
      <c r="B54" s="7" t="str">
        <f>Worksheet!B47</f>
        <v>Pre Apr 1/05 cons only @ old rate</v>
      </c>
      <c r="C54" s="8">
        <f>SUM(Worksheet!K47)</f>
        <v>0</v>
      </c>
      <c r="D54" s="8">
        <f>SUM(Worksheet!J47)</f>
        <v>0</v>
      </c>
      <c r="G54" s="10">
        <f>'PILS Rates'!$D$8</f>
        <v>0.2844</v>
      </c>
      <c r="H54" s="11">
        <f t="shared" si="3"/>
        <v>0</v>
      </c>
    </row>
    <row r="55" spans="1:8" ht="12.75">
      <c r="A55" s="7">
        <f>Worksheet!A48</f>
        <v>38473</v>
      </c>
      <c r="B55" s="7" t="str">
        <f>Worksheet!B48</f>
        <v>Post Apr 1/05 cons only @ new rate</v>
      </c>
      <c r="C55" s="8">
        <f>SUM(Worksheet!K48)</f>
        <v>4615.5</v>
      </c>
      <c r="D55" s="8">
        <f>SUM(Worksheet!J48)</f>
        <v>0</v>
      </c>
      <c r="G55" s="10">
        <f>'PILS Rates'!$E$8</f>
        <v>0.1864</v>
      </c>
      <c r="H55" s="11">
        <f t="shared" si="3"/>
        <v>860.3292</v>
      </c>
    </row>
    <row r="56" spans="1:8" ht="12.75">
      <c r="A56" s="7">
        <f>Worksheet!A49</f>
        <v>38504</v>
      </c>
      <c r="B56" s="7" t="str">
        <f>Worksheet!B49</f>
        <v>Pre Apr 1/05 cons only @ old rate</v>
      </c>
      <c r="C56" s="8">
        <f>SUM(Worksheet!K49)</f>
        <v>0</v>
      </c>
      <c r="D56" s="8">
        <f>SUM(Worksheet!J49)</f>
        <v>0</v>
      </c>
      <c r="G56" s="10">
        <f>'PILS Rates'!$D$8</f>
        <v>0.2844</v>
      </c>
      <c r="H56" s="11">
        <f t="shared" si="3"/>
        <v>0</v>
      </c>
    </row>
    <row r="57" spans="1:8" ht="12.75">
      <c r="A57" s="7">
        <f>Worksheet!A50</f>
        <v>38504</v>
      </c>
      <c r="B57" s="7" t="str">
        <f>Worksheet!B50</f>
        <v>Post Apr 1/05 cons only @ new rate</v>
      </c>
      <c r="C57" s="8">
        <f>SUM(Worksheet!K50)</f>
        <v>4736.5</v>
      </c>
      <c r="D57" s="8">
        <f>SUM(Worksheet!J50)</f>
        <v>0</v>
      </c>
      <c r="G57" s="10">
        <f>'PILS Rates'!$E$8</f>
        <v>0.1864</v>
      </c>
      <c r="H57" s="11">
        <f t="shared" si="3"/>
        <v>882.8836</v>
      </c>
    </row>
    <row r="58" spans="1:8" ht="12.75">
      <c r="A58" s="7">
        <f>Worksheet!A51</f>
        <v>38534</v>
      </c>
      <c r="B58" s="7" t="str">
        <f>Worksheet!B51</f>
        <v>All consumption from Stats</v>
      </c>
      <c r="C58" s="8">
        <f>SUM(Worksheet!K51)</f>
        <v>5508.7</v>
      </c>
      <c r="D58" s="8">
        <f>SUM(Worksheet!J51)</f>
        <v>0</v>
      </c>
      <c r="G58" s="10">
        <f>'PILS Rates'!$E$8</f>
        <v>0.1864</v>
      </c>
      <c r="H58" s="11">
        <f t="shared" si="3"/>
        <v>1026.82168</v>
      </c>
    </row>
    <row r="59" spans="1:8" ht="12.75">
      <c r="A59" s="7">
        <f>Worksheet!A52</f>
        <v>38565</v>
      </c>
      <c r="B59" s="7" t="str">
        <f>Worksheet!B52</f>
        <v>Pre Apr 1/05 cons only @ old rate</v>
      </c>
      <c r="C59" s="8">
        <f>SUM(Worksheet!K52)</f>
        <v>0</v>
      </c>
      <c r="D59" s="8">
        <f>SUM(Worksheet!J52)</f>
        <v>0</v>
      </c>
      <c r="G59" s="10">
        <f>'PILS Rates'!$D$8</f>
        <v>0.2844</v>
      </c>
      <c r="H59" s="11">
        <f t="shared" si="3"/>
        <v>0</v>
      </c>
    </row>
    <row r="60" spans="1:8" ht="12.75">
      <c r="A60" s="7">
        <f>Worksheet!A53</f>
        <v>38565</v>
      </c>
      <c r="B60" s="7" t="str">
        <f>Worksheet!B53</f>
        <v>Post Apr 1/05 cons only @ new rate</v>
      </c>
      <c r="C60" s="8">
        <f>SUM(Worksheet!K53)</f>
        <v>5314.9</v>
      </c>
      <c r="D60" s="8">
        <f>SUM(Worksheet!J53)</f>
        <v>0</v>
      </c>
      <c r="G60" s="10">
        <f>'PILS Rates'!$E$8</f>
        <v>0.1864</v>
      </c>
      <c r="H60" s="11">
        <f>(C60*E60)+(D60*F60)+(C60*G60)</f>
        <v>990.69736</v>
      </c>
    </row>
    <row r="61" spans="1:8" ht="12.75">
      <c r="A61" s="7">
        <f>Worksheet!A54</f>
        <v>38596</v>
      </c>
      <c r="B61" s="7" t="str">
        <f>Worksheet!B54</f>
        <v>All consumption from Stats</v>
      </c>
      <c r="C61" s="8">
        <f>SUM(Worksheet!K54)</f>
        <v>5227.5</v>
      </c>
      <c r="D61" s="8">
        <f>SUM(Worksheet!J54)</f>
        <v>0</v>
      </c>
      <c r="G61" s="10">
        <f>'PILS Rates'!$E$8</f>
        <v>0.1864</v>
      </c>
      <c r="H61" s="11">
        <f t="shared" si="3"/>
        <v>974.4060000000001</v>
      </c>
    </row>
    <row r="62" spans="1:8" ht="12.75">
      <c r="A62" s="7">
        <f>Worksheet!A55</f>
        <v>38626</v>
      </c>
      <c r="B62" s="7" t="str">
        <f>Worksheet!B55</f>
        <v>All consumption from Stats</v>
      </c>
      <c r="C62" s="8">
        <f>SUM(Worksheet!K55)</f>
        <v>4790.8</v>
      </c>
      <c r="D62" s="8">
        <f>SUM(Worksheet!J55)</f>
        <v>0</v>
      </c>
      <c r="G62" s="10">
        <f>'PILS Rates'!$E$8</f>
        <v>0.1864</v>
      </c>
      <c r="H62" s="11">
        <f t="shared" si="3"/>
        <v>893.00512</v>
      </c>
    </row>
    <row r="63" spans="1:8" ht="12.75">
      <c r="A63" s="7">
        <f>Worksheet!A56</f>
        <v>38657</v>
      </c>
      <c r="B63" s="7" t="str">
        <f>Worksheet!B56</f>
        <v>All consumption from Stats</v>
      </c>
      <c r="C63" s="8">
        <f>SUM(Worksheet!K56)</f>
        <v>5265</v>
      </c>
      <c r="D63" s="8">
        <f>SUM(Worksheet!J56)</f>
        <v>0</v>
      </c>
      <c r="G63" s="10">
        <f>'PILS Rates'!$E$8</f>
        <v>0.1864</v>
      </c>
      <c r="H63" s="11">
        <f t="shared" si="3"/>
        <v>981.3960000000001</v>
      </c>
    </row>
    <row r="64" spans="1:8" ht="12.75">
      <c r="A64" s="7">
        <f>Worksheet!A57</f>
        <v>38687</v>
      </c>
      <c r="B64" s="7" t="str">
        <f>Worksheet!B57</f>
        <v>All consumption from Stats</v>
      </c>
      <c r="C64" s="8">
        <f>SUM(Worksheet!K57)</f>
        <v>10422.7</v>
      </c>
      <c r="D64" s="8">
        <f>SUM(Worksheet!J57)</f>
        <v>0</v>
      </c>
      <c r="G64" s="10">
        <f>'PILS Rates'!$E$8</f>
        <v>0.1864</v>
      </c>
      <c r="H64" s="11">
        <f t="shared" si="3"/>
        <v>1942.7912800000001</v>
      </c>
    </row>
    <row r="65" spans="1:2" ht="12.75">
      <c r="A65" s="7"/>
      <c r="B65" s="7"/>
    </row>
    <row r="66" spans="1:8" ht="12.75">
      <c r="A66" s="12" t="s">
        <v>0</v>
      </c>
      <c r="B66" s="12"/>
      <c r="C66" s="3"/>
      <c r="E66" s="13"/>
      <c r="F66" s="14"/>
      <c r="G66" s="14"/>
      <c r="H66" s="6">
        <f>SUM(H49:H64)</f>
        <v>12463.057760000002</v>
      </c>
    </row>
    <row r="67" spans="1:2" ht="12.75">
      <c r="A67" s="7"/>
      <c r="B67" s="7"/>
    </row>
    <row r="68" spans="1:8" ht="12.75">
      <c r="A68" s="7">
        <f>Worksheet!A58</f>
        <v>38718</v>
      </c>
      <c r="B68" s="7" t="str">
        <f>Worksheet!B58</f>
        <v>All consumption from Stats</v>
      </c>
      <c r="C68" s="8">
        <f>SUM(Worksheet!K58)</f>
        <v>0</v>
      </c>
      <c r="D68" s="8">
        <f>SUM(Worksheet!J58)</f>
        <v>0</v>
      </c>
      <c r="G68" s="10">
        <f>'PILS Rates'!$E$8</f>
        <v>0.1864</v>
      </c>
      <c r="H68" s="11">
        <f aca="true" t="shared" si="4" ref="H68:H76">(C68*E68)+(D68*F68)+(C68*G68)</f>
        <v>0</v>
      </c>
    </row>
    <row r="69" spans="1:8" ht="12.75">
      <c r="A69" s="7">
        <f>Worksheet!A59</f>
        <v>38749</v>
      </c>
      <c r="B69" s="7" t="str">
        <f>Worksheet!B59</f>
        <v>All consumption from Stats</v>
      </c>
      <c r="C69" s="8">
        <f>SUM(Worksheet!K59)</f>
        <v>4866.9</v>
      </c>
      <c r="D69" s="8">
        <f>SUM(Worksheet!J59)</f>
        <v>0</v>
      </c>
      <c r="G69" s="10">
        <f>'PILS Rates'!$E$8</f>
        <v>0.1864</v>
      </c>
      <c r="H69" s="11">
        <f t="shared" si="4"/>
        <v>907.19016</v>
      </c>
    </row>
    <row r="70" spans="1:8" ht="12.75">
      <c r="A70" s="7">
        <f>Worksheet!A60</f>
        <v>38777</v>
      </c>
      <c r="B70" s="7" t="str">
        <f>Worksheet!B60</f>
        <v>All consumption from Stats</v>
      </c>
      <c r="C70" s="8">
        <f>SUM(Worksheet!K60)</f>
        <v>5141.1</v>
      </c>
      <c r="D70" s="8">
        <f>SUM(Worksheet!J60)</f>
        <v>0</v>
      </c>
      <c r="G70" s="10">
        <f>'PILS Rates'!$E$8</f>
        <v>0.1864</v>
      </c>
      <c r="H70" s="11">
        <f t="shared" si="4"/>
        <v>958.3010400000002</v>
      </c>
    </row>
    <row r="71" spans="1:9" ht="12.75">
      <c r="A71" s="7">
        <f>Worksheet!A61</f>
        <v>38808</v>
      </c>
      <c r="B71" s="7" t="str">
        <f>Worksheet!B61</f>
        <v>All consumption from Stats</v>
      </c>
      <c r="C71" s="8">
        <f>SUM(Worksheet!K61)</f>
        <v>4899.3</v>
      </c>
      <c r="D71" s="8">
        <f>SUM(Worksheet!J61)</f>
        <v>0</v>
      </c>
      <c r="G71" s="10">
        <f>'PILS Rates'!$E$8</f>
        <v>0.1864</v>
      </c>
      <c r="H71" s="11">
        <f t="shared" si="4"/>
        <v>913.2295200000001</v>
      </c>
      <c r="I71" s="15"/>
    </row>
    <row r="72" spans="1:9" ht="12.75">
      <c r="A72" s="7">
        <f>Worksheet!A62</f>
        <v>38838</v>
      </c>
      <c r="B72" s="7" t="str">
        <f>Worksheet!B62</f>
        <v>Pre Apr 30/06 cons only @ old rate</v>
      </c>
      <c r="C72" s="8">
        <f>SUM(Worksheet!K62)</f>
        <v>5076.2</v>
      </c>
      <c r="D72" s="8">
        <f>SUM(Worksheet!J62)</f>
        <v>0</v>
      </c>
      <c r="G72" s="10">
        <f>'PILS Rates'!$E$8</f>
        <v>0.1864</v>
      </c>
      <c r="H72" s="11">
        <f t="shared" si="4"/>
        <v>946.20368</v>
      </c>
      <c r="I72" s="15"/>
    </row>
    <row r="73" spans="1:9" ht="12.75">
      <c r="A73" s="7">
        <f>Worksheet!A63</f>
        <v>38869</v>
      </c>
      <c r="B73" s="7" t="str">
        <f>Worksheet!B63</f>
        <v>Pre Apr 30/06 cons only @ old rate</v>
      </c>
      <c r="C73" s="8">
        <f>SUM(Worksheet!K63)</f>
        <v>0</v>
      </c>
      <c r="D73" s="8">
        <f>SUM(Worksheet!J63)</f>
        <v>0</v>
      </c>
      <c r="G73" s="10">
        <f>'PILS Rates'!$E$8</f>
        <v>0.1864</v>
      </c>
      <c r="H73" s="11">
        <f t="shared" si="4"/>
        <v>0</v>
      </c>
      <c r="I73" s="15"/>
    </row>
    <row r="74" spans="1:9" ht="12.75">
      <c r="A74" s="7">
        <f>Worksheet!A64</f>
        <v>38899</v>
      </c>
      <c r="B74" s="7" t="str">
        <f>Worksheet!B64</f>
        <v>Pre Apr 30/06 cons only @ old rate</v>
      </c>
      <c r="C74" s="8">
        <f>SUM(Worksheet!K64)</f>
        <v>0</v>
      </c>
      <c r="D74" s="8">
        <f>SUM(Worksheet!J64)</f>
        <v>0</v>
      </c>
      <c r="G74" s="10">
        <f>'PILS Rates'!$E$8</f>
        <v>0.1864</v>
      </c>
      <c r="H74" s="11">
        <f t="shared" si="4"/>
        <v>0</v>
      </c>
      <c r="I74" s="15"/>
    </row>
    <row r="75" spans="1:9" ht="12.75">
      <c r="A75" s="7">
        <f>Worksheet!A65</f>
        <v>38930</v>
      </c>
      <c r="B75" s="7" t="str">
        <f>Worksheet!B65</f>
        <v>Pre Apr 30/06 cons only @ old rate</v>
      </c>
      <c r="C75" s="8">
        <f>SUM(Worksheet!K65)</f>
        <v>0</v>
      </c>
      <c r="D75" s="8">
        <f>SUM(Worksheet!J65)</f>
        <v>0</v>
      </c>
      <c r="G75" s="10">
        <f>'PILS Rates'!$E$8</f>
        <v>0.1864</v>
      </c>
      <c r="H75" s="11">
        <f t="shared" si="4"/>
        <v>0</v>
      </c>
      <c r="I75" s="15"/>
    </row>
    <row r="76" spans="1:9" ht="12.75">
      <c r="A76" s="7">
        <f>Worksheet!A66</f>
        <v>38961</v>
      </c>
      <c r="B76" s="7" t="str">
        <f>Worksheet!B66</f>
        <v>Pre Apr 30/06 cons only @ old rate</v>
      </c>
      <c r="C76" s="8">
        <f>SUM(Worksheet!K66)</f>
        <v>0</v>
      </c>
      <c r="D76" s="8">
        <f>SUM(Worksheet!J66)</f>
        <v>0</v>
      </c>
      <c r="G76" s="10">
        <f>'PILS Rates'!$E$8</f>
        <v>0.1864</v>
      </c>
      <c r="H76" s="11">
        <f t="shared" si="4"/>
        <v>0</v>
      </c>
      <c r="I76" s="15"/>
    </row>
    <row r="77" spans="1:2" ht="12.75">
      <c r="A77" s="7"/>
      <c r="B77" s="7"/>
    </row>
    <row r="78" spans="1:8" ht="12.75">
      <c r="A78" s="12" t="s">
        <v>0</v>
      </c>
      <c r="B78" s="12"/>
      <c r="C78" s="3"/>
      <c r="D78" s="3"/>
      <c r="E78" s="13"/>
      <c r="F78" s="14"/>
      <c r="G78" s="14"/>
      <c r="H78" s="6">
        <f>SUM(H68:H76)</f>
        <v>3724.9244000000003</v>
      </c>
    </row>
    <row r="79" spans="1:2" ht="12.75">
      <c r="A79" s="7"/>
      <c r="B79" s="7"/>
    </row>
    <row r="80" spans="1:8" ht="12.75">
      <c r="A80" s="12" t="s">
        <v>12</v>
      </c>
      <c r="B80" s="12"/>
      <c r="H80" s="6">
        <f>SUM(H78,H66,H47,H28,H13)</f>
        <v>75190.18622</v>
      </c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1.7109375" style="2" customWidth="1"/>
    <col min="2" max="2" width="29.8515625" style="2" bestFit="1" customWidth="1"/>
    <col min="3" max="3" width="15.421875" style="8" bestFit="1" customWidth="1"/>
    <col min="4" max="4" width="15.57421875" style="8" bestFit="1" customWidth="1"/>
    <col min="5" max="5" width="15.7109375" style="9" customWidth="1"/>
    <col min="6" max="6" width="13.00390625" style="10" customWidth="1"/>
    <col min="7" max="7" width="11.28125" style="10" customWidth="1"/>
    <col min="8" max="8" width="12.28125" style="11" customWidth="1"/>
    <col min="9" max="16384" width="9.140625" style="2" customWidth="1"/>
  </cols>
  <sheetData>
    <row r="1" spans="2:8" ht="36" customHeight="1">
      <c r="B1" s="2" t="str">
        <f>Worksheet!B3</f>
        <v>Description</v>
      </c>
      <c r="C1" s="3" t="s">
        <v>1</v>
      </c>
      <c r="D1" s="3" t="s">
        <v>4</v>
      </c>
      <c r="E1" s="4" t="s">
        <v>3</v>
      </c>
      <c r="F1" s="5" t="s">
        <v>5</v>
      </c>
      <c r="G1" s="4" t="s">
        <v>3</v>
      </c>
      <c r="H1" s="6" t="s">
        <v>0</v>
      </c>
    </row>
    <row r="2" spans="1:8" ht="12.75">
      <c r="A2" s="7">
        <f>Worksheet!A4</f>
        <v>37316</v>
      </c>
      <c r="B2" s="2" t="str">
        <f>Worksheet!B4</f>
        <v>Post Mar1/02 cons only @ new rate</v>
      </c>
      <c r="C2" s="8">
        <f>SUM(Worksheet!M4)</f>
        <v>17770.379999999997</v>
      </c>
      <c r="D2" s="8">
        <f>SUM(Worksheet!N4)</f>
        <v>0</v>
      </c>
      <c r="E2" s="9">
        <f>'PILS Rates'!$B$9</f>
        <v>0.14081</v>
      </c>
      <c r="F2" s="10">
        <f>'PILS Rates'!$C$9</f>
        <v>0</v>
      </c>
      <c r="H2" s="11">
        <f>(C2*E2)+(D2*F2)+(C2*G2)</f>
        <v>2502.2472077999996</v>
      </c>
    </row>
    <row r="3" spans="1:8" ht="12.75">
      <c r="A3" s="7">
        <f>Worksheet!A5</f>
        <v>37347</v>
      </c>
      <c r="B3" s="2" t="str">
        <f>Worksheet!B5</f>
        <v>Post Mar1/02 cons only @ new rate</v>
      </c>
      <c r="C3" s="8">
        <f>SUM(Worksheet!M5)</f>
        <v>9862.77</v>
      </c>
      <c r="D3" s="8">
        <f>SUM(Worksheet!N5)</f>
        <v>0</v>
      </c>
      <c r="E3" s="9">
        <f>'PILS Rates'!$B$9</f>
        <v>0.14081</v>
      </c>
      <c r="F3" s="10">
        <f>'PILS Rates'!$C$9</f>
        <v>0</v>
      </c>
      <c r="H3" s="11">
        <f aca="true" t="shared" si="0" ref="H3:H11">(C3*E3)+(D3*F3)+(C3*G3)</f>
        <v>1388.7766437</v>
      </c>
    </row>
    <row r="4" spans="1:8" ht="12.75">
      <c r="A4" s="7">
        <f>Worksheet!A6</f>
        <v>37377</v>
      </c>
      <c r="B4" s="2" t="str">
        <f>Worksheet!B6</f>
        <v>Post Mar1/02 cons only @ new rate</v>
      </c>
      <c r="C4" s="8">
        <f>SUM(Worksheet!M6)</f>
        <v>8308.52</v>
      </c>
      <c r="D4" s="8">
        <f>SUM(Worksheet!N6)</f>
        <v>0</v>
      </c>
      <c r="E4" s="9">
        <f>'PILS Rates'!$B$9</f>
        <v>0.14081</v>
      </c>
      <c r="F4" s="10">
        <f>'PILS Rates'!$C$9</f>
        <v>0</v>
      </c>
      <c r="H4" s="11">
        <f t="shared" si="0"/>
        <v>1169.9227012</v>
      </c>
    </row>
    <row r="5" spans="1:8" ht="12.75">
      <c r="A5" s="7">
        <f>Worksheet!A7</f>
        <v>37408</v>
      </c>
      <c r="B5" s="2" t="str">
        <f>Worksheet!B7</f>
        <v>Post Mar1/02 cons only @ new rate</v>
      </c>
      <c r="C5" s="8">
        <f>SUM(Worksheet!M7)</f>
        <v>5188.71</v>
      </c>
      <c r="D5" s="8">
        <f>SUM(Worksheet!N7)</f>
        <v>0</v>
      </c>
      <c r="E5" s="9">
        <f>'PILS Rates'!$B$9</f>
        <v>0.14081</v>
      </c>
      <c r="F5" s="10">
        <f>'PILS Rates'!$C$9</f>
        <v>0</v>
      </c>
      <c r="H5" s="11">
        <f t="shared" si="0"/>
        <v>730.6222551</v>
      </c>
    </row>
    <row r="6" spans="1:8" ht="12.75">
      <c r="A6" s="7">
        <f>Worksheet!A8</f>
        <v>37438</v>
      </c>
      <c r="B6" s="2" t="str">
        <f>Worksheet!B8</f>
        <v>Post Mar1/02 cons only @ new rate</v>
      </c>
      <c r="C6" s="8">
        <f>SUM(Worksheet!M8)</f>
        <v>4706.61</v>
      </c>
      <c r="D6" s="8">
        <f>SUM(Worksheet!N8)</f>
        <v>0</v>
      </c>
      <c r="E6" s="9">
        <f>'PILS Rates'!$B$9</f>
        <v>0.14081</v>
      </c>
      <c r="F6" s="10">
        <f>'PILS Rates'!$C$9</f>
        <v>0</v>
      </c>
      <c r="H6" s="11">
        <f t="shared" si="0"/>
        <v>662.7377541</v>
      </c>
    </row>
    <row r="7" spans="1:8" ht="12.75">
      <c r="A7" s="7">
        <f>Worksheet!A9</f>
        <v>37469</v>
      </c>
      <c r="B7" s="2" t="str">
        <f>Worksheet!B9</f>
        <v>All consumption from Stats</v>
      </c>
      <c r="C7" s="8">
        <f>SUM(Worksheet!M9)</f>
        <v>4450.88</v>
      </c>
      <c r="D7" s="8">
        <f>SUM(Worksheet!N9)</f>
        <v>0</v>
      </c>
      <c r="E7" s="9">
        <f>'PILS Rates'!$B$9</f>
        <v>0.14081</v>
      </c>
      <c r="F7" s="10">
        <f>'PILS Rates'!$C$9</f>
        <v>0</v>
      </c>
      <c r="H7" s="11">
        <f t="shared" si="0"/>
        <v>626.7284128</v>
      </c>
    </row>
    <row r="8" spans="1:8" ht="12.75">
      <c r="A8" s="7">
        <f>Worksheet!A10</f>
        <v>37500</v>
      </c>
      <c r="B8" s="2" t="str">
        <f>Worksheet!B10</f>
        <v>Post Mar1/02 cons only @ new rate</v>
      </c>
      <c r="C8" s="8">
        <f>SUM(Worksheet!M10)</f>
        <v>4441.76</v>
      </c>
      <c r="D8" s="8">
        <f>SUM(Worksheet!N10)</f>
        <v>0</v>
      </c>
      <c r="E8" s="9">
        <f>'PILS Rates'!$B$9</f>
        <v>0.14081</v>
      </c>
      <c r="F8" s="10">
        <f>'PILS Rates'!$C$9</f>
        <v>0</v>
      </c>
      <c r="H8" s="11">
        <f t="shared" si="0"/>
        <v>625.4442256</v>
      </c>
    </row>
    <row r="9" spans="1:8" ht="12.75">
      <c r="A9" s="7">
        <f>Worksheet!A11</f>
        <v>37530</v>
      </c>
      <c r="B9" s="2" t="str">
        <f>Worksheet!B11</f>
        <v>Post Mar1/02 cons only @ new rate</v>
      </c>
      <c r="C9" s="8">
        <f>SUM(Worksheet!M11)</f>
        <v>3979.62</v>
      </c>
      <c r="D9" s="8">
        <f>SUM(Worksheet!N11)</f>
        <v>0</v>
      </c>
      <c r="E9" s="9">
        <f>'PILS Rates'!$B$9</f>
        <v>0.14081</v>
      </c>
      <c r="F9" s="10">
        <f>'PILS Rates'!$C$9</f>
        <v>0</v>
      </c>
      <c r="H9" s="11">
        <f t="shared" si="0"/>
        <v>560.3702922</v>
      </c>
    </row>
    <row r="10" spans="1:8" ht="12.75">
      <c r="A10" s="7">
        <f>Worksheet!A12</f>
        <v>37561</v>
      </c>
      <c r="B10" s="2" t="str">
        <f>Worksheet!B12</f>
        <v>All consumption from Stats</v>
      </c>
      <c r="C10" s="8">
        <f>SUM(Worksheet!M12)</f>
        <v>5670.11</v>
      </c>
      <c r="D10" s="8">
        <f>SUM(Worksheet!N12)</f>
        <v>0</v>
      </c>
      <c r="E10" s="9">
        <f>'PILS Rates'!$B$9</f>
        <v>0.14081</v>
      </c>
      <c r="F10" s="10">
        <f>'PILS Rates'!$C$9</f>
        <v>0</v>
      </c>
      <c r="H10" s="11">
        <f t="shared" si="0"/>
        <v>798.4081890999998</v>
      </c>
    </row>
    <row r="11" spans="1:8" ht="12.75">
      <c r="A11" s="7">
        <f>Worksheet!A13</f>
        <v>37591</v>
      </c>
      <c r="B11" s="2" t="str">
        <f>Worksheet!B13</f>
        <v>All consumption from Stats</v>
      </c>
      <c r="C11" s="8">
        <f>SUM(Worksheet!M13)</f>
        <v>9403.9</v>
      </c>
      <c r="D11" s="8">
        <f>SUM(Worksheet!N13)</f>
        <v>0</v>
      </c>
      <c r="E11" s="9">
        <f>'PILS Rates'!$B$9</f>
        <v>0.14081</v>
      </c>
      <c r="F11" s="10">
        <f>'PILS Rates'!$C$9</f>
        <v>0</v>
      </c>
      <c r="H11" s="11">
        <f t="shared" si="0"/>
        <v>1324.163159</v>
      </c>
    </row>
    <row r="12" spans="1:2" ht="12.75">
      <c r="A12" s="7"/>
      <c r="B12" s="7"/>
    </row>
    <row r="13" spans="1:8" ht="12.75">
      <c r="A13" s="12" t="s">
        <v>0</v>
      </c>
      <c r="B13" s="12"/>
      <c r="C13" s="3"/>
      <c r="D13" s="3"/>
      <c r="E13" s="13"/>
      <c r="F13" s="14"/>
      <c r="G13" s="14"/>
      <c r="H13" s="6">
        <f>SUM(H2:H11)</f>
        <v>10389.4208406</v>
      </c>
    </row>
    <row r="14" spans="1:2" ht="12.75">
      <c r="A14" s="7"/>
      <c r="B14" s="7"/>
    </row>
    <row r="15" spans="1:8" ht="12.75">
      <c r="A15" s="7">
        <f>Worksheet!A14</f>
        <v>37622</v>
      </c>
      <c r="B15" s="7" t="str">
        <f>Worksheet!B14</f>
        <v>All consumption from Stats</v>
      </c>
      <c r="C15" s="8">
        <f>SUM(Worksheet!M14)</f>
        <v>0.03999999999996362</v>
      </c>
      <c r="D15" s="8">
        <f>SUM(Worksheet!N14)</f>
        <v>0</v>
      </c>
      <c r="E15" s="9">
        <f>'PILS Rates'!$B$9</f>
        <v>0.14081</v>
      </c>
      <c r="F15" s="10">
        <f>'PILS Rates'!$C$9</f>
        <v>0</v>
      </c>
      <c r="H15" s="11">
        <f aca="true" t="shared" si="1" ref="H15:H26">(C15*E15)+(D15*F15)+(C15*G15)</f>
        <v>0.005632399999994877</v>
      </c>
    </row>
    <row r="16" spans="1:8" ht="12.75">
      <c r="A16" s="7">
        <f>Worksheet!A15</f>
        <v>37653</v>
      </c>
      <c r="B16" s="7" t="str">
        <f>Worksheet!B15</f>
        <v>All consumption from Stats</v>
      </c>
      <c r="C16" s="8">
        <f>SUM(Worksheet!M15)</f>
        <v>4684.37</v>
      </c>
      <c r="D16" s="8">
        <f>SUM(Worksheet!N15)</f>
        <v>0</v>
      </c>
      <c r="E16" s="9">
        <f>'PILS Rates'!$B$9</f>
        <v>0.14081</v>
      </c>
      <c r="F16" s="10">
        <f>'PILS Rates'!$C$9</f>
        <v>0</v>
      </c>
      <c r="H16" s="11">
        <f t="shared" si="1"/>
        <v>659.6061397</v>
      </c>
    </row>
    <row r="17" spans="1:8" ht="12.75">
      <c r="A17" s="7">
        <f>Worksheet!A16</f>
        <v>37681</v>
      </c>
      <c r="B17" s="7" t="str">
        <f>Worksheet!B16</f>
        <v>All consumption from Stats</v>
      </c>
      <c r="C17" s="8">
        <f>SUM(Worksheet!M16)</f>
        <v>4511.38</v>
      </c>
      <c r="D17" s="8">
        <f>SUM(Worksheet!N16)</f>
        <v>0</v>
      </c>
      <c r="E17" s="9">
        <f>'PILS Rates'!$B$9</f>
        <v>0.14081</v>
      </c>
      <c r="F17" s="10">
        <f>'PILS Rates'!$C$9</f>
        <v>0</v>
      </c>
      <c r="H17" s="11">
        <f t="shared" si="1"/>
        <v>635.2474178</v>
      </c>
    </row>
    <row r="18" spans="1:8" ht="12.75">
      <c r="A18" s="7">
        <f>Worksheet!A17</f>
        <v>37712</v>
      </c>
      <c r="B18" s="7" t="str">
        <f>Worksheet!B17</f>
        <v>All consumption from Stats</v>
      </c>
      <c r="C18" s="8">
        <f>SUM(Worksheet!M17)</f>
        <v>4264.96</v>
      </c>
      <c r="D18" s="8">
        <f>SUM(Worksheet!N17)</f>
        <v>0</v>
      </c>
      <c r="E18" s="9">
        <f>'PILS Rates'!$B$9</f>
        <v>0.14081</v>
      </c>
      <c r="F18" s="10">
        <f>'PILS Rates'!$C$9</f>
        <v>0</v>
      </c>
      <c r="H18" s="11">
        <f t="shared" si="1"/>
        <v>600.5490176</v>
      </c>
    </row>
    <row r="19" spans="1:8" ht="12.75">
      <c r="A19" s="7">
        <f>Worksheet!A18</f>
        <v>37742</v>
      </c>
      <c r="B19" s="7" t="str">
        <f>Worksheet!B18</f>
        <v>All consumption from Stats</v>
      </c>
      <c r="C19" s="8">
        <f>SUM(Worksheet!M18)</f>
        <v>4231.4</v>
      </c>
      <c r="D19" s="8">
        <f>SUM(Worksheet!N18)</f>
        <v>0</v>
      </c>
      <c r="E19" s="9">
        <f>'PILS Rates'!$B$9</f>
        <v>0.14081</v>
      </c>
      <c r="F19" s="10">
        <f>'PILS Rates'!$C$9</f>
        <v>0</v>
      </c>
      <c r="H19" s="11">
        <f t="shared" si="1"/>
        <v>595.8234339999999</v>
      </c>
    </row>
    <row r="20" spans="1:8" ht="12.75">
      <c r="A20" s="7">
        <f>Worksheet!A19</f>
        <v>37773</v>
      </c>
      <c r="B20" s="7" t="str">
        <f>Worksheet!B19</f>
        <v>All consumption from Stats</v>
      </c>
      <c r="C20" s="8">
        <f>SUM(Worksheet!M19)</f>
        <v>4287.36</v>
      </c>
      <c r="D20" s="8">
        <f>SUM(Worksheet!N19)</f>
        <v>0</v>
      </c>
      <c r="E20" s="9">
        <f>'PILS Rates'!$B$9</f>
        <v>0.14081</v>
      </c>
      <c r="F20" s="10">
        <f>'PILS Rates'!$C$9</f>
        <v>0</v>
      </c>
      <c r="H20" s="11">
        <f t="shared" si="1"/>
        <v>603.7031615999999</v>
      </c>
    </row>
    <row r="21" spans="1:8" ht="12.75">
      <c r="A21" s="7">
        <f>Worksheet!A20</f>
        <v>37803</v>
      </c>
      <c r="B21" s="7" t="str">
        <f>Worksheet!B20</f>
        <v>All consumption from Stats</v>
      </c>
      <c r="C21" s="8">
        <f>SUM(Worksheet!M20)</f>
        <v>4207.1</v>
      </c>
      <c r="D21" s="8">
        <f>SUM(Worksheet!N20)</f>
        <v>0</v>
      </c>
      <c r="E21" s="9">
        <f>'PILS Rates'!$B$9</f>
        <v>0.14081</v>
      </c>
      <c r="F21" s="10">
        <f>'PILS Rates'!$C$9</f>
        <v>0</v>
      </c>
      <c r="H21" s="11">
        <f t="shared" si="1"/>
        <v>592.401751</v>
      </c>
    </row>
    <row r="22" spans="1:8" ht="12.75">
      <c r="A22" s="7">
        <f>Worksheet!A21</f>
        <v>37834</v>
      </c>
      <c r="B22" s="7" t="str">
        <f>Worksheet!B21</f>
        <v>All consumption from Stats</v>
      </c>
      <c r="C22" s="8">
        <f>SUM(Worksheet!M21)</f>
        <v>4284.14</v>
      </c>
      <c r="D22" s="8">
        <f>SUM(Worksheet!N21)</f>
        <v>0</v>
      </c>
      <c r="E22" s="9">
        <f>'PILS Rates'!$B$9</f>
        <v>0.14081</v>
      </c>
      <c r="F22" s="10">
        <f>'PILS Rates'!$C$9</f>
        <v>0</v>
      </c>
      <c r="H22" s="11">
        <f t="shared" si="1"/>
        <v>603.2497534</v>
      </c>
    </row>
    <row r="23" spans="1:8" ht="12.75">
      <c r="A23" s="7">
        <f>Worksheet!A22</f>
        <v>37865</v>
      </c>
      <c r="B23" s="7" t="str">
        <f>Worksheet!B22</f>
        <v>All consumption from Stats</v>
      </c>
      <c r="C23" s="8">
        <f>SUM(Worksheet!M22)</f>
        <v>4137.25</v>
      </c>
      <c r="D23" s="8">
        <f>SUM(Worksheet!N22)</f>
        <v>0</v>
      </c>
      <c r="E23" s="9">
        <f>'PILS Rates'!$B$9</f>
        <v>0.14081</v>
      </c>
      <c r="F23" s="10">
        <f>'PILS Rates'!$C$9</f>
        <v>0</v>
      </c>
      <c r="H23" s="11">
        <f t="shared" si="1"/>
        <v>582.5661725</v>
      </c>
    </row>
    <row r="24" spans="1:8" ht="12.75">
      <c r="A24" s="7">
        <f>Worksheet!A23</f>
        <v>37895</v>
      </c>
      <c r="B24" s="7" t="str">
        <f>Worksheet!B23</f>
        <v>All consumption from Stats</v>
      </c>
      <c r="C24" s="8">
        <f>SUM(Worksheet!M23)</f>
        <v>4315.89</v>
      </c>
      <c r="D24" s="8">
        <f>SUM(Worksheet!N23)</f>
        <v>0</v>
      </c>
      <c r="E24" s="9">
        <f>'PILS Rates'!$B$9</f>
        <v>0.14081</v>
      </c>
      <c r="F24" s="10">
        <f>'PILS Rates'!$C$9</f>
        <v>0</v>
      </c>
      <c r="H24" s="11">
        <f t="shared" si="1"/>
        <v>607.7204709</v>
      </c>
    </row>
    <row r="25" spans="1:8" ht="12.75">
      <c r="A25" s="7">
        <f>Worksheet!A24</f>
        <v>37926</v>
      </c>
      <c r="B25" s="7" t="str">
        <f>Worksheet!B24</f>
        <v>All consumption from Stats</v>
      </c>
      <c r="C25" s="8">
        <f>SUM(Worksheet!M24)</f>
        <v>4777.4</v>
      </c>
      <c r="D25" s="8">
        <f>SUM(Worksheet!N24)</f>
        <v>0</v>
      </c>
      <c r="E25" s="9">
        <f>'PILS Rates'!$B$9</f>
        <v>0.14081</v>
      </c>
      <c r="F25" s="10">
        <f>'PILS Rates'!$C$9</f>
        <v>0</v>
      </c>
      <c r="H25" s="11">
        <f t="shared" si="1"/>
        <v>672.7056939999999</v>
      </c>
    </row>
    <row r="26" spans="1:8" ht="12.75">
      <c r="A26" s="7">
        <f>Worksheet!A25</f>
        <v>37956</v>
      </c>
      <c r="B26" s="7" t="str">
        <f>Worksheet!B25</f>
        <v>All consumption from Stats</v>
      </c>
      <c r="C26" s="8">
        <f>SUM(Worksheet!M25)</f>
        <v>8836.08</v>
      </c>
      <c r="D26" s="8">
        <f>SUM(Worksheet!N25)</f>
        <v>0</v>
      </c>
      <c r="E26" s="9">
        <f>'PILS Rates'!$B$9</f>
        <v>0.14081</v>
      </c>
      <c r="F26" s="10">
        <f>'PILS Rates'!$C$9</f>
        <v>0</v>
      </c>
      <c r="H26" s="11">
        <f t="shared" si="1"/>
        <v>1244.2084247999999</v>
      </c>
    </row>
    <row r="27" spans="1:2" ht="12.75">
      <c r="A27" s="7"/>
      <c r="B27" s="7"/>
    </row>
    <row r="28" spans="1:8" ht="12.75">
      <c r="A28" s="12" t="s">
        <v>0</v>
      </c>
      <c r="B28" s="12"/>
      <c r="C28" s="3"/>
      <c r="D28" s="3"/>
      <c r="E28" s="13"/>
      <c r="F28" s="14"/>
      <c r="G28" s="14"/>
      <c r="H28" s="6">
        <f>SUM(H15:H26)</f>
        <v>7397.7870697</v>
      </c>
    </row>
    <row r="29" spans="1:2" ht="12.75">
      <c r="A29" s="7"/>
      <c r="B29" s="7"/>
    </row>
    <row r="30" spans="1:8" ht="12.75">
      <c r="A30" s="7">
        <f>Worksheet!A26</f>
        <v>37987</v>
      </c>
      <c r="B30" s="7" t="str">
        <f>Worksheet!B26</f>
        <v>All consumption from Stats</v>
      </c>
      <c r="C30" s="8">
        <f>SUM(Worksheet!M26)</f>
        <v>0</v>
      </c>
      <c r="D30" s="8">
        <f>SUM(Worksheet!N26)</f>
        <v>0</v>
      </c>
      <c r="E30" s="9">
        <f>'PILS Rates'!$B$9</f>
        <v>0.14081</v>
      </c>
      <c r="F30" s="10">
        <f>'PILS Rates'!$C$9</f>
        <v>0</v>
      </c>
      <c r="H30" s="11">
        <f aca="true" t="shared" si="2" ref="H30:H45">(C30*E30)+(D30*F30)+(C30*G30)</f>
        <v>0</v>
      </c>
    </row>
    <row r="31" spans="1:8" ht="12.75">
      <c r="A31" s="7">
        <f>Worksheet!A27</f>
        <v>38018</v>
      </c>
      <c r="B31" s="7" t="str">
        <f>Worksheet!B27</f>
        <v>All consumption from Stats</v>
      </c>
      <c r="C31" s="8">
        <f>SUM(Worksheet!M27)</f>
        <v>4673.2</v>
      </c>
      <c r="D31" s="8">
        <f>SUM(Worksheet!N27)</f>
        <v>0</v>
      </c>
      <c r="E31" s="9">
        <f>'PILS Rates'!$B$9</f>
        <v>0.14081</v>
      </c>
      <c r="F31" s="10">
        <f>'PILS Rates'!$C$9</f>
        <v>0</v>
      </c>
      <c r="H31" s="11">
        <f t="shared" si="2"/>
        <v>658.033292</v>
      </c>
    </row>
    <row r="32" spans="1:8" ht="12.75">
      <c r="A32" s="7">
        <f>Worksheet!A28</f>
        <v>38047</v>
      </c>
      <c r="B32" s="7" t="str">
        <f>Worksheet!B28</f>
        <v>All consumption from Stats</v>
      </c>
      <c r="C32" s="8">
        <f>SUM(Worksheet!M28)</f>
        <v>4534.41</v>
      </c>
      <c r="D32" s="8">
        <f>SUM(Worksheet!N28)</f>
        <v>0</v>
      </c>
      <c r="E32" s="9">
        <f>'PILS Rates'!$B$9</f>
        <v>0.14081</v>
      </c>
      <c r="F32" s="10">
        <f>'PILS Rates'!$C$9</f>
        <v>0</v>
      </c>
      <c r="H32" s="11">
        <f t="shared" si="2"/>
        <v>638.4902721</v>
      </c>
    </row>
    <row r="33" spans="1:8" ht="12.75">
      <c r="A33" s="7">
        <f>Worksheet!A29</f>
        <v>38078</v>
      </c>
      <c r="B33" s="7" t="str">
        <f>Worksheet!B29</f>
        <v>Pre Apr 1/04 cons only @ old rate</v>
      </c>
      <c r="C33" s="8">
        <f>SUM(Worksheet!M29)</f>
        <v>4629.25</v>
      </c>
      <c r="D33" s="8">
        <f>SUM(Worksheet!N29)</f>
        <v>0</v>
      </c>
      <c r="E33" s="9">
        <f>'PILS Rates'!$B$9</f>
        <v>0.14081</v>
      </c>
      <c r="F33" s="10">
        <f>'PILS Rates'!$C$9</f>
        <v>0</v>
      </c>
      <c r="H33" s="11">
        <f t="shared" si="2"/>
        <v>651.8446925</v>
      </c>
    </row>
    <row r="34" spans="1:8" ht="12.75">
      <c r="A34" s="7">
        <f>Worksheet!A30</f>
        <v>38078</v>
      </c>
      <c r="B34" s="7" t="str">
        <f>Worksheet!B30</f>
        <v>Post Apr 1/04 cons only @ new rate</v>
      </c>
      <c r="C34" s="8">
        <f>SUM(Worksheet!M30)</f>
        <v>0</v>
      </c>
      <c r="D34" s="8">
        <f>SUM(Worksheet!N30)</f>
        <v>0</v>
      </c>
      <c r="F34" s="9"/>
      <c r="G34" s="10">
        <f>'PILS Rates'!$D$9</f>
        <v>0.0867</v>
      </c>
      <c r="H34" s="11">
        <f t="shared" si="2"/>
        <v>0</v>
      </c>
    </row>
    <row r="35" spans="1:8" ht="12.75">
      <c r="A35" s="7">
        <f>Worksheet!A31</f>
        <v>38108</v>
      </c>
      <c r="B35" s="7" t="str">
        <f>Worksheet!B31</f>
        <v>Pre Apr 1/04 cons only @ old rate</v>
      </c>
      <c r="C35" s="8">
        <f>SUM(Worksheet!M31)</f>
        <v>0</v>
      </c>
      <c r="D35" s="8">
        <f>SUM(Worksheet!N31)</f>
        <v>0</v>
      </c>
      <c r="E35" s="9">
        <f>'PILS Rates'!$B$9</f>
        <v>0.14081</v>
      </c>
      <c r="F35" s="10">
        <f>'PILS Rates'!$C$9</f>
        <v>0</v>
      </c>
      <c r="H35" s="11">
        <f t="shared" si="2"/>
        <v>0</v>
      </c>
    </row>
    <row r="36" spans="1:8" ht="12.75">
      <c r="A36" s="7">
        <f>Worksheet!A32</f>
        <v>38108</v>
      </c>
      <c r="B36" s="7" t="str">
        <f>Worksheet!B32</f>
        <v>Post Apr 1/04 cons only @ new rate</v>
      </c>
      <c r="C36" s="8">
        <f>SUM(Worksheet!M32)</f>
        <v>4543.02</v>
      </c>
      <c r="D36" s="8">
        <f>SUM(Worksheet!N32)</f>
        <v>0</v>
      </c>
      <c r="F36" s="9"/>
      <c r="G36" s="10">
        <f>'PILS Rates'!$D$9</f>
        <v>0.0867</v>
      </c>
      <c r="H36" s="11">
        <f t="shared" si="2"/>
        <v>393.879834</v>
      </c>
    </row>
    <row r="37" spans="1:8" ht="12.75">
      <c r="A37" s="7">
        <f>Worksheet!A33</f>
        <v>38139</v>
      </c>
      <c r="B37" s="7" t="str">
        <f>Worksheet!B33</f>
        <v>Pre Apr 1/04 cons only @ old rate</v>
      </c>
      <c r="C37" s="8">
        <f>SUM(Worksheet!M33)</f>
        <v>0</v>
      </c>
      <c r="D37" s="8">
        <f>SUM(Worksheet!N33)</f>
        <v>0</v>
      </c>
      <c r="E37" s="9">
        <f>'PILS Rates'!$B$9</f>
        <v>0.14081</v>
      </c>
      <c r="F37" s="10">
        <f>'PILS Rates'!$C$9</f>
        <v>0</v>
      </c>
      <c r="H37" s="11">
        <f t="shared" si="2"/>
        <v>0</v>
      </c>
    </row>
    <row r="38" spans="1:8" ht="12.75">
      <c r="A38" s="7">
        <f>Worksheet!A34</f>
        <v>38139</v>
      </c>
      <c r="B38" s="7" t="str">
        <f>Worksheet!B34</f>
        <v>Post Apr 1/04 cons only @ new rate</v>
      </c>
      <c r="C38" s="8">
        <f>SUM(Worksheet!M34)</f>
        <v>4452.19</v>
      </c>
      <c r="D38" s="8">
        <f>SUM(Worksheet!N34)</f>
        <v>0</v>
      </c>
      <c r="F38" s="9"/>
      <c r="G38" s="10">
        <f>'PILS Rates'!$D$9</f>
        <v>0.0867</v>
      </c>
      <c r="H38" s="11">
        <f t="shared" si="2"/>
        <v>386.004873</v>
      </c>
    </row>
    <row r="39" spans="1:8" ht="12.75">
      <c r="A39" s="7">
        <f>Worksheet!A35</f>
        <v>38169</v>
      </c>
      <c r="B39" s="7" t="str">
        <f>Worksheet!B35</f>
        <v>All consumption from Stats</v>
      </c>
      <c r="C39" s="8">
        <f>SUM(Worksheet!M35)</f>
        <v>4309.21</v>
      </c>
      <c r="D39" s="8">
        <f>SUM(Worksheet!N35)</f>
        <v>0</v>
      </c>
      <c r="F39" s="9"/>
      <c r="G39" s="10">
        <f>'PILS Rates'!$D$9</f>
        <v>0.0867</v>
      </c>
      <c r="H39" s="11">
        <f t="shared" si="2"/>
        <v>373.608507</v>
      </c>
    </row>
    <row r="40" spans="1:8" ht="12.75">
      <c r="A40" s="7">
        <f>Worksheet!A36</f>
        <v>38200</v>
      </c>
      <c r="B40" s="7" t="str">
        <f>Worksheet!B36</f>
        <v>Pre Apr 1/04 cons only @ old rate</v>
      </c>
      <c r="C40" s="8">
        <f>SUM(Worksheet!M36)</f>
        <v>0</v>
      </c>
      <c r="D40" s="8">
        <f>SUM(Worksheet!N36)</f>
        <v>0</v>
      </c>
      <c r="E40" s="9">
        <f>'PILS Rates'!$B$9</f>
        <v>0.14081</v>
      </c>
      <c r="F40" s="10">
        <f>'PILS Rates'!$C$9</f>
        <v>0</v>
      </c>
      <c r="H40" s="11">
        <f t="shared" si="2"/>
        <v>0</v>
      </c>
    </row>
    <row r="41" spans="1:8" ht="12.75">
      <c r="A41" s="7">
        <f>Worksheet!A37</f>
        <v>38200</v>
      </c>
      <c r="B41" s="7" t="str">
        <f>Worksheet!B37</f>
        <v>Post Apr 1/04 cons only @ new rate</v>
      </c>
      <c r="C41" s="8">
        <f>SUM(Worksheet!M37)</f>
        <v>4481.83</v>
      </c>
      <c r="D41" s="8">
        <f>SUM(Worksheet!N37)</f>
        <v>0</v>
      </c>
      <c r="F41" s="9"/>
      <c r="G41" s="10">
        <f>'PILS Rates'!$D$9</f>
        <v>0.0867</v>
      </c>
      <c r="H41" s="11">
        <f>(C41*E41)+(D41*F41)+(C41*G41)</f>
        <v>388.574661</v>
      </c>
    </row>
    <row r="42" spans="1:8" ht="12.75">
      <c r="A42" s="7">
        <f>Worksheet!A38</f>
        <v>38231</v>
      </c>
      <c r="B42" s="7" t="str">
        <f>Worksheet!B38</f>
        <v>All consumption from Stats</v>
      </c>
      <c r="C42" s="8">
        <f>SUM(Worksheet!M38)</f>
        <v>4421.16</v>
      </c>
      <c r="D42" s="8">
        <f>SUM(Worksheet!N38)</f>
        <v>0</v>
      </c>
      <c r="F42" s="9"/>
      <c r="G42" s="10">
        <f>'PILS Rates'!$D$9</f>
        <v>0.0867</v>
      </c>
      <c r="H42" s="11">
        <f t="shared" si="2"/>
        <v>383.314572</v>
      </c>
    </row>
    <row r="43" spans="1:8" ht="12.75">
      <c r="A43" s="7">
        <f>Worksheet!A39</f>
        <v>38261</v>
      </c>
      <c r="B43" s="7" t="str">
        <f>Worksheet!B39</f>
        <v>All consumption from Stats</v>
      </c>
      <c r="C43" s="8">
        <f>SUM(Worksheet!M39)</f>
        <v>4184.34</v>
      </c>
      <c r="D43" s="8">
        <f>SUM(Worksheet!N39)</f>
        <v>0</v>
      </c>
      <c r="F43" s="9"/>
      <c r="G43" s="10">
        <f>'PILS Rates'!$D$9</f>
        <v>0.0867</v>
      </c>
      <c r="H43" s="11">
        <f t="shared" si="2"/>
        <v>362.782278</v>
      </c>
    </row>
    <row r="44" spans="1:8" ht="12.75">
      <c r="A44" s="7">
        <f>Worksheet!A40</f>
        <v>38292</v>
      </c>
      <c r="B44" s="7" t="str">
        <f>Worksheet!B40</f>
        <v>All consumption from Stats</v>
      </c>
      <c r="C44" s="8">
        <f>SUM(Worksheet!M40)</f>
        <v>4351.05</v>
      </c>
      <c r="D44" s="8">
        <f>SUM(Worksheet!N40)</f>
        <v>0</v>
      </c>
      <c r="F44" s="9"/>
      <c r="G44" s="10">
        <f>'PILS Rates'!$D$9</f>
        <v>0.0867</v>
      </c>
      <c r="H44" s="11">
        <f t="shared" si="2"/>
        <v>377.236035</v>
      </c>
    </row>
    <row r="45" spans="1:8" ht="12.75">
      <c r="A45" s="7">
        <f>Worksheet!A41</f>
        <v>38322</v>
      </c>
      <c r="B45" s="7" t="str">
        <f>Worksheet!B41</f>
        <v>All consumption from Stats</v>
      </c>
      <c r="C45" s="8">
        <f>SUM(Worksheet!M41)</f>
        <v>8365.18</v>
      </c>
      <c r="D45" s="8">
        <f>SUM(Worksheet!N41)</f>
        <v>0</v>
      </c>
      <c r="F45" s="9"/>
      <c r="G45" s="10">
        <f>'PILS Rates'!$D$9</f>
        <v>0.0867</v>
      </c>
      <c r="H45" s="11">
        <f t="shared" si="2"/>
        <v>725.261106</v>
      </c>
    </row>
    <row r="46" spans="1:2" ht="12.75">
      <c r="A46" s="7"/>
      <c r="B46" s="7"/>
    </row>
    <row r="47" spans="1:8" ht="12.75">
      <c r="A47" s="12" t="s">
        <v>0</v>
      </c>
      <c r="B47" s="12"/>
      <c r="C47" s="3"/>
      <c r="D47" s="3"/>
      <c r="E47" s="13"/>
      <c r="F47" s="14"/>
      <c r="G47" s="14"/>
      <c r="H47" s="6">
        <f>SUM(H30:H45)</f>
        <v>5339.030122599999</v>
      </c>
    </row>
    <row r="48" spans="1:2" ht="12.75">
      <c r="A48" s="7"/>
      <c r="B48" s="7"/>
    </row>
    <row r="49" spans="1:8" ht="12.75">
      <c r="A49" s="7">
        <f>Worksheet!A42</f>
        <v>38353</v>
      </c>
      <c r="B49" s="7" t="str">
        <f>Worksheet!B42</f>
        <v>All consumption from Stats</v>
      </c>
      <c r="C49" s="8">
        <f>SUM(Worksheet!M42)</f>
        <v>-4.240000000000691</v>
      </c>
      <c r="D49" s="8">
        <f>SUM(Worksheet!N42)</f>
        <v>0</v>
      </c>
      <c r="G49" s="10">
        <f>'PILS Rates'!$D$9</f>
        <v>0.0867</v>
      </c>
      <c r="H49" s="11">
        <f aca="true" t="shared" si="3" ref="H49:H64">(C49*E49)+(D49*F49)+(C49*G49)</f>
        <v>-0.36760800000005994</v>
      </c>
    </row>
    <row r="50" spans="1:8" ht="12.75">
      <c r="A50" s="7">
        <f>Worksheet!A43</f>
        <v>38384</v>
      </c>
      <c r="B50" s="7" t="str">
        <f>Worksheet!B43</f>
        <v>All consumption from Stats</v>
      </c>
      <c r="C50" s="8">
        <f>SUM(Worksheet!M43)</f>
        <v>4500.43</v>
      </c>
      <c r="D50" s="8">
        <f>SUM(Worksheet!N43)</f>
        <v>0</v>
      </c>
      <c r="G50" s="10">
        <f>'PILS Rates'!$D$9</f>
        <v>0.0867</v>
      </c>
      <c r="H50" s="11">
        <f t="shared" si="3"/>
        <v>390.18728100000004</v>
      </c>
    </row>
    <row r="51" spans="1:8" ht="12.75">
      <c r="A51" s="7">
        <f>Worksheet!A44</f>
        <v>38412</v>
      </c>
      <c r="B51" s="7" t="str">
        <f>Worksheet!B44</f>
        <v>All consumption from Stats</v>
      </c>
      <c r="C51" s="8">
        <f>SUM(Worksheet!M44)</f>
        <v>4441.46</v>
      </c>
      <c r="D51" s="8">
        <f>SUM(Worksheet!N44)</f>
        <v>0</v>
      </c>
      <c r="G51" s="10">
        <f>'PILS Rates'!$D$9</f>
        <v>0.0867</v>
      </c>
      <c r="H51" s="11">
        <f t="shared" si="3"/>
        <v>385.074582</v>
      </c>
    </row>
    <row r="52" spans="1:8" ht="12.75">
      <c r="A52" s="7">
        <f>Worksheet!A45</f>
        <v>38443</v>
      </c>
      <c r="B52" s="7" t="str">
        <f>Worksheet!B45</f>
        <v>Pre Apr 1/05 cons only @ old rate</v>
      </c>
      <c r="C52" s="8">
        <f>SUM(Worksheet!M45)</f>
        <v>4285.78</v>
      </c>
      <c r="D52" s="8">
        <f>SUM(Worksheet!N45)</f>
        <v>0</v>
      </c>
      <c r="G52" s="10">
        <f>'PILS Rates'!$D$9</f>
        <v>0.0867</v>
      </c>
      <c r="H52" s="11">
        <f t="shared" si="3"/>
        <v>371.57712599999996</v>
      </c>
    </row>
    <row r="53" spans="1:8" ht="12.75">
      <c r="A53" s="7">
        <f>Worksheet!A46</f>
        <v>38443</v>
      </c>
      <c r="B53" s="7" t="str">
        <f>Worksheet!B46</f>
        <v>Post Apr 1/05 cons only @ new rate</v>
      </c>
      <c r="C53" s="8">
        <f>SUM(Worksheet!M46)</f>
        <v>0</v>
      </c>
      <c r="D53" s="8">
        <f>SUM(Worksheet!N46)</f>
        <v>0</v>
      </c>
      <c r="G53" s="10">
        <f>'PILS Rates'!$E$9</f>
        <v>0.0696</v>
      </c>
      <c r="H53" s="11">
        <f t="shared" si="3"/>
        <v>0</v>
      </c>
    </row>
    <row r="54" spans="1:8" ht="12.75">
      <c r="A54" s="7">
        <f>Worksheet!A47</f>
        <v>38473</v>
      </c>
      <c r="B54" s="7" t="str">
        <f>Worksheet!B47</f>
        <v>Pre Apr 1/05 cons only @ old rate</v>
      </c>
      <c r="C54" s="8">
        <f>SUM(Worksheet!M47)</f>
        <v>0</v>
      </c>
      <c r="D54" s="8">
        <f>SUM(Worksheet!N47)</f>
        <v>0</v>
      </c>
      <c r="G54" s="10">
        <f>'PILS Rates'!$D$9</f>
        <v>0.0867</v>
      </c>
      <c r="H54" s="11">
        <f t="shared" si="3"/>
        <v>0</v>
      </c>
    </row>
    <row r="55" spans="1:8" ht="12.75">
      <c r="A55" s="7">
        <f>Worksheet!A48</f>
        <v>38473</v>
      </c>
      <c r="B55" s="7" t="str">
        <f>Worksheet!B48</f>
        <v>Post Apr 1/05 cons only @ new rate</v>
      </c>
      <c r="C55" s="8">
        <f>SUM(Worksheet!M48)</f>
        <v>4181.58</v>
      </c>
      <c r="D55" s="8">
        <f>SUM(Worksheet!N48)</f>
        <v>0</v>
      </c>
      <c r="G55" s="10">
        <f>'PILS Rates'!$E$9</f>
        <v>0.0696</v>
      </c>
      <c r="H55" s="11">
        <f t="shared" si="3"/>
        <v>291.037968</v>
      </c>
    </row>
    <row r="56" spans="1:8" ht="12.75">
      <c r="A56" s="7">
        <f>Worksheet!A49</f>
        <v>38504</v>
      </c>
      <c r="B56" s="7" t="str">
        <f>Worksheet!B49</f>
        <v>Pre Apr 1/05 cons only @ old rate</v>
      </c>
      <c r="C56" s="8">
        <f>SUM(Worksheet!M49)</f>
        <v>0</v>
      </c>
      <c r="D56" s="8">
        <f>SUM(Worksheet!N49)</f>
        <v>0</v>
      </c>
      <c r="G56" s="10">
        <f>'PILS Rates'!$D$9</f>
        <v>0.0867</v>
      </c>
      <c r="H56" s="11">
        <f t="shared" si="3"/>
        <v>0</v>
      </c>
    </row>
    <row r="57" spans="1:8" ht="12.75">
      <c r="A57" s="7">
        <f>Worksheet!A50</f>
        <v>38504</v>
      </c>
      <c r="B57" s="7" t="str">
        <f>Worksheet!B50</f>
        <v>Post Apr 1/05 cons only @ new rate</v>
      </c>
      <c r="C57" s="8">
        <f>SUM(Worksheet!M50)</f>
        <v>4100.49</v>
      </c>
      <c r="D57" s="8">
        <f>SUM(Worksheet!N50)</f>
        <v>0</v>
      </c>
      <c r="G57" s="10">
        <f>'PILS Rates'!$E$9</f>
        <v>0.0696</v>
      </c>
      <c r="H57" s="11">
        <f t="shared" si="3"/>
        <v>285.39410399999997</v>
      </c>
    </row>
    <row r="58" spans="1:8" ht="12.75">
      <c r="A58" s="7">
        <f>Worksheet!A51</f>
        <v>38534</v>
      </c>
      <c r="B58" s="7" t="str">
        <f>Worksheet!B51</f>
        <v>All consumption from Stats</v>
      </c>
      <c r="C58" s="8">
        <f>SUM(Worksheet!M51)</f>
        <v>4093.3</v>
      </c>
      <c r="D58" s="8">
        <f>SUM(Worksheet!N51)</f>
        <v>0</v>
      </c>
      <c r="G58" s="10">
        <f>'PILS Rates'!$E$9</f>
        <v>0.0696</v>
      </c>
      <c r="H58" s="11">
        <f t="shared" si="3"/>
        <v>284.89368</v>
      </c>
    </row>
    <row r="59" spans="1:8" ht="12.75">
      <c r="A59" s="7">
        <f>Worksheet!A52</f>
        <v>38565</v>
      </c>
      <c r="B59" s="7" t="str">
        <f>Worksheet!B52</f>
        <v>Pre Apr 1/05 cons only @ old rate</v>
      </c>
      <c r="C59" s="8">
        <f>SUM(Worksheet!M52)</f>
        <v>0</v>
      </c>
      <c r="D59" s="8">
        <f>SUM(Worksheet!N52)</f>
        <v>0</v>
      </c>
      <c r="G59" s="10">
        <f>'PILS Rates'!$D$9</f>
        <v>0.0867</v>
      </c>
      <c r="H59" s="11">
        <f t="shared" si="3"/>
        <v>0</v>
      </c>
    </row>
    <row r="60" spans="1:8" ht="12.75">
      <c r="A60" s="7">
        <f>Worksheet!A53</f>
        <v>38565</v>
      </c>
      <c r="B60" s="7" t="str">
        <f>Worksheet!B53</f>
        <v>Post Apr 1/05 cons only @ new rate</v>
      </c>
      <c r="C60" s="8">
        <f>SUM(Worksheet!M53)</f>
        <v>4134.04</v>
      </c>
      <c r="D60" s="8">
        <f>SUM(Worksheet!N53)</f>
        <v>0</v>
      </c>
      <c r="G60" s="10">
        <f>'PILS Rates'!$E$9</f>
        <v>0.0696</v>
      </c>
      <c r="H60" s="11">
        <f>(C60*E60)+(D60*F60)+(C60*G60)</f>
        <v>287.729184</v>
      </c>
    </row>
    <row r="61" spans="1:8" ht="12.75">
      <c r="A61" s="7">
        <f>Worksheet!A54</f>
        <v>38596</v>
      </c>
      <c r="B61" s="7" t="str">
        <f>Worksheet!B54</f>
        <v>All consumption from Stats</v>
      </c>
      <c r="C61" s="8">
        <f>SUM(Worksheet!M54)</f>
        <v>4047.25</v>
      </c>
      <c r="D61" s="8">
        <f>SUM(Worksheet!N54)</f>
        <v>0</v>
      </c>
      <c r="G61" s="10">
        <f>'PILS Rates'!$E$9</f>
        <v>0.0696</v>
      </c>
      <c r="H61" s="11">
        <f>(C61*E61)+(D61*F61)+(C61*G61)</f>
        <v>281.6886</v>
      </c>
    </row>
    <row r="62" spans="1:8" ht="12.75">
      <c r="A62" s="7">
        <f>Worksheet!A55</f>
        <v>38626</v>
      </c>
      <c r="B62" s="7" t="str">
        <f>Worksheet!B55</f>
        <v>All consumption from Stats</v>
      </c>
      <c r="C62" s="8">
        <f>SUM(Worksheet!M55)</f>
        <v>3970.98</v>
      </c>
      <c r="D62" s="8">
        <f>SUM(Worksheet!N55)</f>
        <v>0</v>
      </c>
      <c r="G62" s="10">
        <f>'PILS Rates'!$E$9</f>
        <v>0.0696</v>
      </c>
      <c r="H62" s="11">
        <f t="shared" si="3"/>
        <v>276.380208</v>
      </c>
    </row>
    <row r="63" spans="1:8" ht="12.75">
      <c r="A63" s="7">
        <f>Worksheet!A56</f>
        <v>38657</v>
      </c>
      <c r="B63" s="7" t="str">
        <f>Worksheet!B56</f>
        <v>All consumption from Stats</v>
      </c>
      <c r="C63" s="8">
        <f>SUM(Worksheet!M56)</f>
        <v>4205.16</v>
      </c>
      <c r="D63" s="8">
        <f>SUM(Worksheet!N56)</f>
        <v>0</v>
      </c>
      <c r="G63" s="10">
        <f>'PILS Rates'!$E$9</f>
        <v>0.0696</v>
      </c>
      <c r="H63" s="11">
        <f t="shared" si="3"/>
        <v>292.67913599999997</v>
      </c>
    </row>
    <row r="64" spans="1:8" ht="12.75">
      <c r="A64" s="7">
        <f>Worksheet!A57</f>
        <v>38687</v>
      </c>
      <c r="B64" s="7" t="str">
        <f>Worksheet!B57</f>
        <v>All consumption from Stats</v>
      </c>
      <c r="C64" s="8">
        <f>SUM(Worksheet!M57)</f>
        <v>8531.43</v>
      </c>
      <c r="D64" s="8">
        <f>SUM(Worksheet!N57)</f>
        <v>0</v>
      </c>
      <c r="G64" s="10">
        <f>'PILS Rates'!$E$9</f>
        <v>0.0696</v>
      </c>
      <c r="H64" s="11">
        <f t="shared" si="3"/>
        <v>593.787528</v>
      </c>
    </row>
    <row r="65" spans="1:2" ht="12.75">
      <c r="A65" s="7"/>
      <c r="B65" s="7"/>
    </row>
    <row r="66" spans="1:8" ht="12.75">
      <c r="A66" s="12" t="s">
        <v>0</v>
      </c>
      <c r="B66" s="12"/>
      <c r="C66" s="3"/>
      <c r="D66" s="3"/>
      <c r="E66" s="13"/>
      <c r="F66" s="14"/>
      <c r="G66" s="14"/>
      <c r="H66" s="6">
        <f>SUM(H49:H64)</f>
        <v>3740.0617889999994</v>
      </c>
    </row>
    <row r="67" spans="1:2" ht="12.75">
      <c r="A67" s="7"/>
      <c r="B67" s="7"/>
    </row>
    <row r="68" spans="1:8" ht="12.75">
      <c r="A68" s="7">
        <f>Worksheet!A58</f>
        <v>38718</v>
      </c>
      <c r="B68" s="7" t="str">
        <f>Worksheet!B58</f>
        <v>All consumption from Stats</v>
      </c>
      <c r="C68" s="8">
        <f>SUM(Worksheet!M58)</f>
        <v>-0.010000000000218279</v>
      </c>
      <c r="D68" s="8">
        <f>SUM(Worksheet!N58)</f>
        <v>0</v>
      </c>
      <c r="G68" s="10">
        <f>'PILS Rates'!$E$9</f>
        <v>0.0696</v>
      </c>
      <c r="H68" s="11">
        <f aca="true" t="shared" si="4" ref="H68:H76">(C68*E68)+(D68*F68)+(C68*G68)</f>
        <v>-0.0006960000000151922</v>
      </c>
    </row>
    <row r="69" spans="1:8" ht="12.75">
      <c r="A69" s="7">
        <f>Worksheet!A59</f>
        <v>38749</v>
      </c>
      <c r="B69" s="7" t="str">
        <f>Worksheet!B59</f>
        <v>All consumption from Stats</v>
      </c>
      <c r="C69" s="8">
        <f>SUM(Worksheet!M59)</f>
        <v>3945</v>
      </c>
      <c r="D69" s="8">
        <f>SUM(Worksheet!N59)</f>
        <v>0</v>
      </c>
      <c r="G69" s="10">
        <f>'PILS Rates'!$E$9</f>
        <v>0.0696</v>
      </c>
      <c r="H69" s="11">
        <f t="shared" si="4"/>
        <v>274.572</v>
      </c>
    </row>
    <row r="70" spans="1:8" ht="12.75">
      <c r="A70" s="7">
        <f>Worksheet!A60</f>
        <v>38777</v>
      </c>
      <c r="B70" s="7" t="str">
        <f>Worksheet!B60</f>
        <v>All consumption from Stats</v>
      </c>
      <c r="C70" s="8">
        <f>SUM(Worksheet!M60)</f>
        <v>3883.4</v>
      </c>
      <c r="D70" s="8">
        <f>SUM(Worksheet!N60)</f>
        <v>0</v>
      </c>
      <c r="G70" s="10">
        <f>'PILS Rates'!$E$9</f>
        <v>0.0696</v>
      </c>
      <c r="H70" s="11">
        <f t="shared" si="4"/>
        <v>270.28463999999997</v>
      </c>
    </row>
    <row r="71" spans="1:9" ht="12.75">
      <c r="A71" s="7">
        <f>Worksheet!A61</f>
        <v>38808</v>
      </c>
      <c r="B71" s="7" t="str">
        <f>Worksheet!B61</f>
        <v>All consumption from Stats</v>
      </c>
      <c r="C71" s="8">
        <f>SUM(Worksheet!M61)</f>
        <v>3883</v>
      </c>
      <c r="D71" s="8">
        <f>SUM(Worksheet!N61)</f>
        <v>0</v>
      </c>
      <c r="G71" s="10">
        <f>'PILS Rates'!$E$9</f>
        <v>0.0696</v>
      </c>
      <c r="H71" s="11">
        <f t="shared" si="4"/>
        <v>270.2568</v>
      </c>
      <c r="I71" s="15"/>
    </row>
    <row r="72" spans="1:9" ht="12.75">
      <c r="A72" s="7">
        <f>Worksheet!A62</f>
        <v>38838</v>
      </c>
      <c r="B72" s="7" t="str">
        <f>Worksheet!B62</f>
        <v>Pre Apr 30/06 cons only @ old rate</v>
      </c>
      <c r="C72" s="8">
        <f>SUM(Worksheet!M62)</f>
        <v>3379.2</v>
      </c>
      <c r="D72" s="8">
        <f>SUM(Worksheet!N62)</f>
        <v>0</v>
      </c>
      <c r="G72" s="10">
        <f>'PILS Rates'!$E$9</f>
        <v>0.0696</v>
      </c>
      <c r="H72" s="11">
        <f t="shared" si="4"/>
        <v>235.19231999999997</v>
      </c>
      <c r="I72" s="15"/>
    </row>
    <row r="73" spans="1:9" ht="12.75">
      <c r="A73" s="7">
        <f>Worksheet!A63</f>
        <v>38869</v>
      </c>
      <c r="B73" s="7" t="str">
        <f>Worksheet!B63</f>
        <v>Pre Apr 30/06 cons only @ old rate</v>
      </c>
      <c r="C73" s="8">
        <f>SUM(Worksheet!M63)</f>
        <v>0</v>
      </c>
      <c r="D73" s="8">
        <f>SUM(Worksheet!N63)</f>
        <v>0</v>
      </c>
      <c r="G73" s="10">
        <f>'PILS Rates'!$E$9</f>
        <v>0.0696</v>
      </c>
      <c r="H73" s="11">
        <f t="shared" si="4"/>
        <v>0</v>
      </c>
      <c r="I73" s="15"/>
    </row>
    <row r="74" spans="1:9" ht="12.75">
      <c r="A74" s="7">
        <f>Worksheet!A64</f>
        <v>38899</v>
      </c>
      <c r="B74" s="7" t="str">
        <f>Worksheet!B64</f>
        <v>Pre Apr 30/06 cons only @ old rate</v>
      </c>
      <c r="C74" s="8">
        <f>SUM(Worksheet!M64)</f>
        <v>0</v>
      </c>
      <c r="D74" s="8">
        <f>SUM(Worksheet!N64)</f>
        <v>0</v>
      </c>
      <c r="G74" s="10">
        <f>'PILS Rates'!$E$9</f>
        <v>0.0696</v>
      </c>
      <c r="H74" s="11">
        <f t="shared" si="4"/>
        <v>0</v>
      </c>
      <c r="I74" s="15"/>
    </row>
    <row r="75" spans="1:9" ht="12.75">
      <c r="A75" s="7">
        <f>Worksheet!A65</f>
        <v>38930</v>
      </c>
      <c r="B75" s="7" t="str">
        <f>Worksheet!B65</f>
        <v>Pre Apr 30/06 cons only @ old rate</v>
      </c>
      <c r="C75" s="8">
        <f>SUM(Worksheet!M65)</f>
        <v>0</v>
      </c>
      <c r="D75" s="8">
        <f>SUM(Worksheet!N65)</f>
        <v>0</v>
      </c>
      <c r="G75" s="10">
        <f>'PILS Rates'!$E$9</f>
        <v>0.0696</v>
      </c>
      <c r="H75" s="11">
        <f t="shared" si="4"/>
        <v>0</v>
      </c>
      <c r="I75" s="15"/>
    </row>
    <row r="76" spans="1:9" ht="12.75">
      <c r="A76" s="7">
        <f>Worksheet!A66</f>
        <v>38961</v>
      </c>
      <c r="B76" s="7" t="str">
        <f>Worksheet!B66</f>
        <v>Pre Apr 30/06 cons only @ old rate</v>
      </c>
      <c r="C76" s="8">
        <f>SUM(Worksheet!M66)</f>
        <v>0</v>
      </c>
      <c r="D76" s="8">
        <f>SUM(Worksheet!N66)</f>
        <v>0</v>
      </c>
      <c r="G76" s="10">
        <f>'PILS Rates'!$E$9</f>
        <v>0.0696</v>
      </c>
      <c r="H76" s="11">
        <f t="shared" si="4"/>
        <v>0</v>
      </c>
      <c r="I76" s="15"/>
    </row>
    <row r="77" spans="1:2" ht="12.75">
      <c r="A77" s="7"/>
      <c r="B77" s="7"/>
    </row>
    <row r="78" spans="1:8" ht="12.75">
      <c r="A78" s="12" t="s">
        <v>0</v>
      </c>
      <c r="B78" s="12"/>
      <c r="C78" s="3"/>
      <c r="D78" s="3"/>
      <c r="E78" s="13"/>
      <c r="F78" s="14"/>
      <c r="G78" s="14"/>
      <c r="H78" s="6">
        <f>SUM(H68:H76)</f>
        <v>1050.305064</v>
      </c>
    </row>
    <row r="79" spans="1:2" ht="12.75">
      <c r="A79" s="7"/>
      <c r="B79" s="7"/>
    </row>
    <row r="80" spans="1:8" ht="12.75">
      <c r="A80" s="12" t="s">
        <v>12</v>
      </c>
      <c r="B80" s="12"/>
      <c r="H80" s="6">
        <f>SUM(H78,H66,H47,H28,H13)</f>
        <v>27916.604885899997</v>
      </c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38">
      <selection activeCell="C68" sqref="C68"/>
    </sheetView>
  </sheetViews>
  <sheetFormatPr defaultColWidth="9.140625" defaultRowHeight="15"/>
  <cols>
    <col min="1" max="1" width="11.7109375" style="2" customWidth="1"/>
    <col min="2" max="2" width="29.8515625" style="2" bestFit="1" customWidth="1"/>
    <col min="3" max="3" width="15.421875" style="8" bestFit="1" customWidth="1"/>
    <col min="4" max="4" width="15.57421875" style="8" bestFit="1" customWidth="1"/>
    <col min="5" max="5" width="15.7109375" style="9" customWidth="1"/>
    <col min="6" max="7" width="11.28125" style="10" customWidth="1"/>
    <col min="8" max="8" width="9.28125" style="11" bestFit="1" customWidth="1"/>
    <col min="9" max="16384" width="9.140625" style="2" customWidth="1"/>
  </cols>
  <sheetData>
    <row r="1" spans="2:8" ht="36" customHeight="1">
      <c r="B1" s="2" t="str">
        <f>Worksheet!B3</f>
        <v>Description</v>
      </c>
      <c r="C1" s="3" t="s">
        <v>1</v>
      </c>
      <c r="D1" s="3" t="s">
        <v>4</v>
      </c>
      <c r="E1" s="4" t="s">
        <v>3</v>
      </c>
      <c r="F1" s="5" t="s">
        <v>5</v>
      </c>
      <c r="G1" s="4" t="s">
        <v>3</v>
      </c>
      <c r="H1" s="6" t="s">
        <v>0</v>
      </c>
    </row>
    <row r="2" spans="1:8" ht="12.75">
      <c r="A2" s="7">
        <f>Worksheet!A4</f>
        <v>37316</v>
      </c>
      <c r="B2" s="2" t="str">
        <f>Worksheet!B4</f>
        <v>Post Mar1/02 cons only @ new rate</v>
      </c>
      <c r="C2" s="8">
        <f>SUM(Worksheet!O4)</f>
        <v>3751</v>
      </c>
      <c r="D2" s="8">
        <f>SUM(Worksheet!P4)</f>
        <v>0</v>
      </c>
      <c r="E2" s="9">
        <f>'PILS Rates'!$B$10</f>
        <v>0</v>
      </c>
      <c r="F2" s="10">
        <f>'PILS Rates'!$C$10</f>
        <v>0</v>
      </c>
      <c r="H2" s="11">
        <f>(C2*E2)+(D2*F2)+(C2*G2)</f>
        <v>0</v>
      </c>
    </row>
    <row r="3" spans="1:8" ht="12.75">
      <c r="A3" s="7">
        <f>Worksheet!A5</f>
        <v>37347</v>
      </c>
      <c r="B3" s="2" t="str">
        <f>Worksheet!B5</f>
        <v>Post Mar1/02 cons only @ new rate</v>
      </c>
      <c r="C3" s="8">
        <f>SUM(Worksheet!O5)</f>
        <v>3913</v>
      </c>
      <c r="D3" s="8">
        <f>SUM(Worksheet!P5)</f>
        <v>0</v>
      </c>
      <c r="E3" s="9">
        <f>'PILS Rates'!$B$10</f>
        <v>0</v>
      </c>
      <c r="F3" s="10">
        <f>'PILS Rates'!$C$10</f>
        <v>0</v>
      </c>
      <c r="H3" s="11">
        <f aca="true" t="shared" si="0" ref="H3:H11">(C3*E3)+(D3*F3)+(C3*G3)</f>
        <v>0</v>
      </c>
    </row>
    <row r="4" spans="1:8" ht="12.75">
      <c r="A4" s="7">
        <f>Worksheet!A6</f>
        <v>37377</v>
      </c>
      <c r="B4" s="2" t="str">
        <f>Worksheet!B6</f>
        <v>Post Mar1/02 cons only @ new rate</v>
      </c>
      <c r="C4" s="8">
        <f>SUM(Worksheet!O6)</f>
        <v>2870</v>
      </c>
      <c r="D4" s="8">
        <f>SUM(Worksheet!P6)</f>
        <v>0</v>
      </c>
      <c r="E4" s="9">
        <f>'PILS Rates'!$B$10</f>
        <v>0</v>
      </c>
      <c r="F4" s="10">
        <f>'PILS Rates'!$C$10</f>
        <v>0</v>
      </c>
      <c r="H4" s="11">
        <f t="shared" si="0"/>
        <v>0</v>
      </c>
    </row>
    <row r="5" spans="1:8" ht="12.75">
      <c r="A5" s="7">
        <f>Worksheet!A7</f>
        <v>37408</v>
      </c>
      <c r="B5" s="2" t="str">
        <f>Worksheet!B7</f>
        <v>Post Mar1/02 cons only @ new rate</v>
      </c>
      <c r="C5" s="8">
        <f>SUM(Worksheet!O7)</f>
        <v>3888</v>
      </c>
      <c r="D5" s="8">
        <f>SUM(Worksheet!P7)</f>
        <v>0</v>
      </c>
      <c r="E5" s="9">
        <f>'PILS Rates'!$B$10</f>
        <v>0</v>
      </c>
      <c r="F5" s="10">
        <f>'PILS Rates'!$C$10</f>
        <v>0</v>
      </c>
      <c r="H5" s="11">
        <f t="shared" si="0"/>
        <v>0</v>
      </c>
    </row>
    <row r="6" spans="1:8" ht="12.75">
      <c r="A6" s="7">
        <f>Worksheet!A8</f>
        <v>37438</v>
      </c>
      <c r="B6" s="2" t="str">
        <f>Worksheet!B8</f>
        <v>Post Mar1/02 cons only @ new rate</v>
      </c>
      <c r="C6" s="8">
        <f>SUM(Worksheet!O8)</f>
        <v>3913</v>
      </c>
      <c r="D6" s="8">
        <f>SUM(Worksheet!P8)</f>
        <v>0</v>
      </c>
      <c r="E6" s="9">
        <f>'PILS Rates'!$B$10</f>
        <v>0</v>
      </c>
      <c r="F6" s="10">
        <f>'PILS Rates'!$C$10</f>
        <v>0</v>
      </c>
      <c r="H6" s="11">
        <f t="shared" si="0"/>
        <v>0</v>
      </c>
    </row>
    <row r="7" spans="1:8" ht="12.75">
      <c r="A7" s="7">
        <f>Worksheet!A9</f>
        <v>37469</v>
      </c>
      <c r="B7" s="2" t="str">
        <f>Worksheet!B9</f>
        <v>All consumption from Stats</v>
      </c>
      <c r="C7" s="8">
        <f>SUM(Worksheet!O9)</f>
        <v>3913</v>
      </c>
      <c r="D7" s="8">
        <f>SUM(Worksheet!P9)</f>
        <v>0</v>
      </c>
      <c r="E7" s="9">
        <f>'PILS Rates'!$B$10</f>
        <v>0</v>
      </c>
      <c r="F7" s="10">
        <f>'PILS Rates'!$C$10</f>
        <v>0</v>
      </c>
      <c r="H7" s="11">
        <f t="shared" si="0"/>
        <v>0</v>
      </c>
    </row>
    <row r="8" spans="1:8" ht="12.75">
      <c r="A8" s="7">
        <f>Worksheet!A10</f>
        <v>37500</v>
      </c>
      <c r="B8" s="2" t="str">
        <f>Worksheet!B10</f>
        <v>Post Mar1/02 cons only @ new rate</v>
      </c>
      <c r="C8" s="8">
        <f>SUM(Worksheet!O10)</f>
        <v>3913</v>
      </c>
      <c r="D8" s="8">
        <f>SUM(Worksheet!P10)</f>
        <v>0</v>
      </c>
      <c r="E8" s="9">
        <f>'PILS Rates'!$B$10</f>
        <v>0</v>
      </c>
      <c r="F8" s="10">
        <f>'PILS Rates'!$C$10</f>
        <v>0</v>
      </c>
      <c r="H8" s="11">
        <f t="shared" si="0"/>
        <v>0</v>
      </c>
    </row>
    <row r="9" spans="1:8" ht="12.75">
      <c r="A9" s="7">
        <f>Worksheet!A11</f>
        <v>37530</v>
      </c>
      <c r="B9" s="2" t="str">
        <f>Worksheet!B11</f>
        <v>Post Mar1/02 cons only @ new rate</v>
      </c>
      <c r="C9" s="8">
        <f>SUM(Worksheet!O11)</f>
        <v>3914</v>
      </c>
      <c r="D9" s="8">
        <f>SUM(Worksheet!P11)</f>
        <v>0</v>
      </c>
      <c r="E9" s="9">
        <f>'PILS Rates'!$B$10</f>
        <v>0</v>
      </c>
      <c r="F9" s="10">
        <f>'PILS Rates'!$C$10</f>
        <v>0</v>
      </c>
      <c r="H9" s="11">
        <f t="shared" si="0"/>
        <v>0</v>
      </c>
    </row>
    <row r="10" spans="1:8" ht="12.75">
      <c r="A10" s="7">
        <f>Worksheet!A12</f>
        <v>37561</v>
      </c>
      <c r="B10" s="2" t="str">
        <f>Worksheet!B12</f>
        <v>All consumption from Stats</v>
      </c>
      <c r="C10" s="8">
        <f>SUM(Worksheet!O12)</f>
        <v>3920</v>
      </c>
      <c r="D10" s="8">
        <f>SUM(Worksheet!P12)</f>
        <v>0</v>
      </c>
      <c r="E10" s="9">
        <f>'PILS Rates'!$B$10</f>
        <v>0</v>
      </c>
      <c r="F10" s="10">
        <f>'PILS Rates'!$C$10</f>
        <v>0</v>
      </c>
      <c r="H10" s="11">
        <f t="shared" si="0"/>
        <v>0</v>
      </c>
    </row>
    <row r="11" spans="1:8" ht="12.75">
      <c r="A11" s="7">
        <f>Worksheet!A13</f>
        <v>37591</v>
      </c>
      <c r="B11" s="2" t="str">
        <f>Worksheet!B13</f>
        <v>All consumption from Stats</v>
      </c>
      <c r="C11" s="8">
        <f>SUM(Worksheet!O13)</f>
        <v>8578</v>
      </c>
      <c r="D11" s="8">
        <f>SUM(Worksheet!P13)</f>
        <v>0</v>
      </c>
      <c r="E11" s="9">
        <f>'PILS Rates'!$B$10</f>
        <v>0</v>
      </c>
      <c r="F11" s="10">
        <f>'PILS Rates'!$C$10</f>
        <v>0</v>
      </c>
      <c r="H11" s="11">
        <f t="shared" si="0"/>
        <v>0</v>
      </c>
    </row>
    <row r="12" spans="1:2" ht="12.75">
      <c r="A12" s="7"/>
      <c r="B12" s="7"/>
    </row>
    <row r="13" spans="1:8" ht="12.75">
      <c r="A13" s="12" t="s">
        <v>0</v>
      </c>
      <c r="B13" s="12"/>
      <c r="C13" s="3"/>
      <c r="D13" s="3"/>
      <c r="E13" s="13"/>
      <c r="F13" s="14"/>
      <c r="G13" s="14"/>
      <c r="H13" s="6">
        <f>SUM(H2:H11)</f>
        <v>0</v>
      </c>
    </row>
    <row r="14" spans="1:2" ht="12.75">
      <c r="A14" s="7"/>
      <c r="B14" s="7"/>
    </row>
    <row r="15" spans="1:8" ht="12.75">
      <c r="A15" s="7">
        <f>Worksheet!A14</f>
        <v>37622</v>
      </c>
      <c r="B15" s="7" t="str">
        <f>Worksheet!B14</f>
        <v>All consumption from Stats</v>
      </c>
      <c r="C15" s="8">
        <f>SUM(Worksheet!O14)</f>
        <v>213</v>
      </c>
      <c r="D15" s="8">
        <f>SUM(Worksheet!P14)</f>
        <v>0</v>
      </c>
      <c r="E15" s="9">
        <f>'PILS Rates'!$B$10</f>
        <v>0</v>
      </c>
      <c r="F15" s="10">
        <f>'PILS Rates'!$C$10</f>
        <v>0</v>
      </c>
      <c r="H15" s="11">
        <f aca="true" t="shared" si="1" ref="H15:H26">(C15*E15)+(D15*F15)+(C15*G15)</f>
        <v>0</v>
      </c>
    </row>
    <row r="16" spans="1:8" ht="12.75">
      <c r="A16" s="7">
        <f>Worksheet!A15</f>
        <v>37653</v>
      </c>
      <c r="B16" s="7" t="str">
        <f>Worksheet!B15</f>
        <v>All consumption from Stats</v>
      </c>
      <c r="C16" s="8">
        <f>SUM(Worksheet!O15)</f>
        <v>3721</v>
      </c>
      <c r="D16" s="8">
        <f>SUM(Worksheet!P15)</f>
        <v>0</v>
      </c>
      <c r="E16" s="9">
        <f>'PILS Rates'!$B$10</f>
        <v>0</v>
      </c>
      <c r="F16" s="10">
        <f>'PILS Rates'!$C$10</f>
        <v>0</v>
      </c>
      <c r="H16" s="11">
        <f t="shared" si="1"/>
        <v>0</v>
      </c>
    </row>
    <row r="17" spans="1:8" ht="12.75">
      <c r="A17" s="7">
        <f>Worksheet!A16</f>
        <v>37681</v>
      </c>
      <c r="B17" s="7" t="str">
        <f>Worksheet!B16</f>
        <v>All consumption from Stats</v>
      </c>
      <c r="C17" s="8">
        <f>SUM(Worksheet!O16)</f>
        <v>4064</v>
      </c>
      <c r="D17" s="8">
        <f>SUM(Worksheet!P16)</f>
        <v>0</v>
      </c>
      <c r="E17" s="9">
        <f>'PILS Rates'!$B$10</f>
        <v>0</v>
      </c>
      <c r="F17" s="10">
        <f>'PILS Rates'!$C$10</f>
        <v>0</v>
      </c>
      <c r="H17" s="11">
        <f t="shared" si="1"/>
        <v>0</v>
      </c>
    </row>
    <row r="18" spans="1:8" ht="12.75">
      <c r="A18" s="7">
        <f>Worksheet!A17</f>
        <v>37712</v>
      </c>
      <c r="B18" s="7" t="str">
        <f>Worksheet!B17</f>
        <v>All consumption from Stats</v>
      </c>
      <c r="C18" s="8">
        <f>SUM(Worksheet!O17)</f>
        <v>3920</v>
      </c>
      <c r="D18" s="8">
        <f>SUM(Worksheet!P17)</f>
        <v>0</v>
      </c>
      <c r="E18" s="9">
        <f>'PILS Rates'!$B$10</f>
        <v>0</v>
      </c>
      <c r="F18" s="10">
        <f>'PILS Rates'!$C$10</f>
        <v>0</v>
      </c>
      <c r="H18" s="11">
        <f t="shared" si="1"/>
        <v>0</v>
      </c>
    </row>
    <row r="19" spans="1:8" ht="12.75">
      <c r="A19" s="7">
        <f>Worksheet!A18</f>
        <v>37742</v>
      </c>
      <c r="B19" s="7" t="str">
        <f>Worksheet!B18</f>
        <v>All consumption from Stats</v>
      </c>
      <c r="C19" s="8">
        <f>SUM(Worksheet!O18)</f>
        <v>3920</v>
      </c>
      <c r="D19" s="8">
        <f>SUM(Worksheet!P18)</f>
        <v>0</v>
      </c>
      <c r="E19" s="9">
        <f>'PILS Rates'!$B$10</f>
        <v>0</v>
      </c>
      <c r="F19" s="10">
        <f>'PILS Rates'!$C$10</f>
        <v>0</v>
      </c>
      <c r="H19" s="11">
        <f t="shared" si="1"/>
        <v>0</v>
      </c>
    </row>
    <row r="20" spans="1:8" ht="12.75">
      <c r="A20" s="7">
        <f>Worksheet!A19</f>
        <v>37773</v>
      </c>
      <c r="B20" s="7" t="str">
        <f>Worksheet!B19</f>
        <v>All consumption from Stats</v>
      </c>
      <c r="C20" s="8">
        <f>SUM(Worksheet!O19)</f>
        <v>3996</v>
      </c>
      <c r="D20" s="8">
        <f>SUM(Worksheet!P19)</f>
        <v>0</v>
      </c>
      <c r="E20" s="9">
        <f>'PILS Rates'!$B$10</f>
        <v>0</v>
      </c>
      <c r="F20" s="10">
        <f>'PILS Rates'!$C$10</f>
        <v>0</v>
      </c>
      <c r="H20" s="11">
        <f t="shared" si="1"/>
        <v>0</v>
      </c>
    </row>
    <row r="21" spans="1:8" ht="12.75">
      <c r="A21" s="7">
        <f>Worksheet!A20</f>
        <v>37803</v>
      </c>
      <c r="B21" s="7" t="str">
        <f>Worksheet!B20</f>
        <v>All consumption from Stats</v>
      </c>
      <c r="C21" s="8">
        <f>SUM(Worksheet!O20)</f>
        <v>3996</v>
      </c>
      <c r="D21" s="8">
        <f>SUM(Worksheet!P20)</f>
        <v>0</v>
      </c>
      <c r="E21" s="9">
        <f>'PILS Rates'!$B$10</f>
        <v>0</v>
      </c>
      <c r="F21" s="10">
        <f>'PILS Rates'!$C$10</f>
        <v>0</v>
      </c>
      <c r="H21" s="11">
        <f t="shared" si="1"/>
        <v>0</v>
      </c>
    </row>
    <row r="22" spans="1:8" ht="12.75">
      <c r="A22" s="7">
        <f>Worksheet!A21</f>
        <v>37834</v>
      </c>
      <c r="B22" s="7" t="str">
        <f>Worksheet!B21</f>
        <v>All consumption from Stats</v>
      </c>
      <c r="C22" s="8">
        <f>SUM(Worksheet!O21)</f>
        <v>3996</v>
      </c>
      <c r="D22" s="8">
        <f>SUM(Worksheet!P21)</f>
        <v>0</v>
      </c>
      <c r="E22" s="9">
        <f>'PILS Rates'!$B$10</f>
        <v>0</v>
      </c>
      <c r="F22" s="10">
        <f>'PILS Rates'!$C$10</f>
        <v>0</v>
      </c>
      <c r="H22" s="11">
        <f t="shared" si="1"/>
        <v>0</v>
      </c>
    </row>
    <row r="23" spans="1:8" ht="12.75">
      <c r="A23" s="7">
        <f>Worksheet!A22</f>
        <v>37865</v>
      </c>
      <c r="B23" s="7" t="str">
        <f>Worksheet!B22</f>
        <v>All consumption from Stats</v>
      </c>
      <c r="C23" s="8">
        <f>SUM(Worksheet!O22)</f>
        <v>4806</v>
      </c>
      <c r="D23" s="8">
        <f>SUM(Worksheet!P22)</f>
        <v>0</v>
      </c>
      <c r="E23" s="9">
        <f>'PILS Rates'!$B$10</f>
        <v>0</v>
      </c>
      <c r="F23" s="10">
        <f>'PILS Rates'!$C$10</f>
        <v>0</v>
      </c>
      <c r="H23" s="11">
        <f t="shared" si="1"/>
        <v>0</v>
      </c>
    </row>
    <row r="24" spans="1:8" ht="12.75">
      <c r="A24" s="7">
        <f>Worksheet!A23</f>
        <v>37895</v>
      </c>
      <c r="B24" s="7" t="str">
        <f>Worksheet!B23</f>
        <v>All consumption from Stats</v>
      </c>
      <c r="C24" s="8">
        <f>SUM(Worksheet!O23)</f>
        <v>3186</v>
      </c>
      <c r="D24" s="8">
        <f>SUM(Worksheet!P23)</f>
        <v>0</v>
      </c>
      <c r="E24" s="9">
        <f>'PILS Rates'!$B$10</f>
        <v>0</v>
      </c>
      <c r="F24" s="10">
        <f>'PILS Rates'!$C$10</f>
        <v>0</v>
      </c>
      <c r="H24" s="11">
        <f t="shared" si="1"/>
        <v>0</v>
      </c>
    </row>
    <row r="25" spans="1:8" ht="12.75">
      <c r="A25" s="7">
        <f>Worksheet!A24</f>
        <v>37926</v>
      </c>
      <c r="B25" s="7" t="str">
        <f>Worksheet!B24</f>
        <v>All consumption from Stats</v>
      </c>
      <c r="C25" s="8">
        <f>SUM(Worksheet!O24)</f>
        <v>3996</v>
      </c>
      <c r="D25" s="8">
        <f>SUM(Worksheet!P24)</f>
        <v>0</v>
      </c>
      <c r="E25" s="9">
        <f>'PILS Rates'!$B$10</f>
        <v>0</v>
      </c>
      <c r="F25" s="10">
        <f>'PILS Rates'!$C$10</f>
        <v>0</v>
      </c>
      <c r="H25" s="11">
        <f t="shared" si="1"/>
        <v>0</v>
      </c>
    </row>
    <row r="26" spans="1:8" ht="12.75">
      <c r="A26" s="7">
        <f>Worksheet!A25</f>
        <v>37956</v>
      </c>
      <c r="B26" s="7" t="str">
        <f>Worksheet!B25</f>
        <v>All consumption from Stats</v>
      </c>
      <c r="C26" s="8">
        <f>SUM(Worksheet!O25)</f>
        <v>11515</v>
      </c>
      <c r="D26" s="8">
        <f>SUM(Worksheet!P25)</f>
        <v>0</v>
      </c>
      <c r="E26" s="9">
        <f>'PILS Rates'!$B$10</f>
        <v>0</v>
      </c>
      <c r="F26" s="10">
        <f>'PILS Rates'!$C$10</f>
        <v>0</v>
      </c>
      <c r="H26" s="11">
        <f t="shared" si="1"/>
        <v>0</v>
      </c>
    </row>
    <row r="27" spans="1:2" ht="12.75">
      <c r="A27" s="7"/>
      <c r="B27" s="7"/>
    </row>
    <row r="28" spans="1:8" ht="12.75">
      <c r="A28" s="12" t="s">
        <v>0</v>
      </c>
      <c r="B28" s="12"/>
      <c r="C28" s="3"/>
      <c r="D28" s="3"/>
      <c r="E28" s="13"/>
      <c r="F28" s="14"/>
      <c r="G28" s="14"/>
      <c r="H28" s="6">
        <f>SUM(H15:H26)</f>
        <v>0</v>
      </c>
    </row>
    <row r="29" spans="1:2" ht="12.75">
      <c r="A29" s="7"/>
      <c r="B29" s="7"/>
    </row>
    <row r="30" spans="1:8" ht="12.75">
      <c r="A30" s="7">
        <f>Worksheet!A26</f>
        <v>37987</v>
      </c>
      <c r="B30" s="7" t="str">
        <f>Worksheet!B26</f>
        <v>All consumption from Stats</v>
      </c>
      <c r="C30" s="8">
        <f>SUM(Worksheet!O26)</f>
        <v>-3518</v>
      </c>
      <c r="D30" s="8">
        <f>SUM(Worksheet!P26)</f>
        <v>0</v>
      </c>
      <c r="E30" s="9">
        <f>'PILS Rates'!$B$10</f>
        <v>0</v>
      </c>
      <c r="F30" s="10">
        <f>'PILS Rates'!$C$10</f>
        <v>0</v>
      </c>
      <c r="H30" s="11">
        <f aca="true" t="shared" si="2" ref="H30:H40">(C30*E30)+(D30*F30)+(C30*G30)</f>
        <v>0</v>
      </c>
    </row>
    <row r="31" spans="1:8" ht="12.75">
      <c r="A31" s="7">
        <f>Worksheet!A27</f>
        <v>38018</v>
      </c>
      <c r="B31" s="7" t="str">
        <f>Worksheet!B27</f>
        <v>All consumption from Stats</v>
      </c>
      <c r="C31" s="8">
        <f>SUM(Worksheet!O27)</f>
        <v>4009</v>
      </c>
      <c r="D31" s="8">
        <f>SUM(Worksheet!P27)</f>
        <v>0</v>
      </c>
      <c r="E31" s="9">
        <f>'PILS Rates'!$B$10</f>
        <v>0</v>
      </c>
      <c r="F31" s="10">
        <f>'PILS Rates'!$C$10</f>
        <v>0</v>
      </c>
      <c r="H31" s="11">
        <f t="shared" si="2"/>
        <v>0</v>
      </c>
    </row>
    <row r="32" spans="1:8" ht="12.75">
      <c r="A32" s="7">
        <f>Worksheet!A28</f>
        <v>38047</v>
      </c>
      <c r="B32" s="7" t="str">
        <f>Worksheet!B28</f>
        <v>All consumption from Stats</v>
      </c>
      <c r="C32" s="8">
        <f>SUM(Worksheet!O28)</f>
        <v>3996</v>
      </c>
      <c r="D32" s="8">
        <f>SUM(Worksheet!P28)</f>
        <v>0</v>
      </c>
      <c r="E32" s="9">
        <f>'PILS Rates'!$B$10</f>
        <v>0</v>
      </c>
      <c r="F32" s="10">
        <f>'PILS Rates'!$C$10</f>
        <v>0</v>
      </c>
      <c r="H32" s="11">
        <f t="shared" si="2"/>
        <v>0</v>
      </c>
    </row>
    <row r="33" spans="1:8" ht="12.75">
      <c r="A33" s="7">
        <f>Worksheet!A29</f>
        <v>38078</v>
      </c>
      <c r="B33" s="7" t="str">
        <f>Worksheet!B29</f>
        <v>Pre Apr 1/04 cons only @ old rate</v>
      </c>
      <c r="C33" s="8">
        <f>SUM(Worksheet!O29)</f>
        <v>3885</v>
      </c>
      <c r="D33" s="8">
        <f>SUM(Worksheet!P29)</f>
        <v>0</v>
      </c>
      <c r="E33" s="9">
        <f>'PILS Rates'!$B$10</f>
        <v>0</v>
      </c>
      <c r="F33" s="10">
        <f>'PILS Rates'!$C$10</f>
        <v>0</v>
      </c>
      <c r="H33" s="11">
        <f t="shared" si="2"/>
        <v>0</v>
      </c>
    </row>
    <row r="34" spans="1:8" ht="12.75">
      <c r="A34" s="7">
        <f>Worksheet!A30</f>
        <v>38078</v>
      </c>
      <c r="B34" s="7" t="str">
        <f>Worksheet!B30</f>
        <v>Post Apr 1/04 cons only @ new rate</v>
      </c>
      <c r="C34" s="8">
        <f>SUM(Worksheet!O30)</f>
        <v>638</v>
      </c>
      <c r="D34" s="8">
        <f>SUM(Worksheet!P30)</f>
        <v>0</v>
      </c>
      <c r="F34" s="9"/>
      <c r="G34" s="10">
        <f>'PILS Rates'!$D$10</f>
        <v>0.000761</v>
      </c>
      <c r="H34" s="11">
        <f t="shared" si="2"/>
        <v>0.48551799999999995</v>
      </c>
    </row>
    <row r="35" spans="1:8" ht="12.75">
      <c r="A35" s="7">
        <f>Worksheet!A31</f>
        <v>38108</v>
      </c>
      <c r="B35" s="7" t="str">
        <f>Worksheet!B31</f>
        <v>Pre Apr 1/04 cons only @ old rate</v>
      </c>
      <c r="C35" s="8">
        <f>SUM(Worksheet!O31)</f>
        <v>243</v>
      </c>
      <c r="D35" s="8">
        <f>SUM(Worksheet!P31)</f>
        <v>0</v>
      </c>
      <c r="E35" s="9">
        <f>'PILS Rates'!$B$10</f>
        <v>0</v>
      </c>
      <c r="F35" s="10">
        <f>'PILS Rates'!$C$10</f>
        <v>0</v>
      </c>
      <c r="H35" s="11">
        <f t="shared" si="2"/>
        <v>0</v>
      </c>
    </row>
    <row r="36" spans="1:8" ht="12.75">
      <c r="A36" s="7">
        <f>Worksheet!A32</f>
        <v>38108</v>
      </c>
      <c r="B36" s="7" t="str">
        <f>Worksheet!B32</f>
        <v>Post Apr 1/04 cons only @ new rate</v>
      </c>
      <c r="C36" s="8">
        <f>SUM(Worksheet!O32)</f>
        <v>3592</v>
      </c>
      <c r="D36" s="8">
        <f>SUM(Worksheet!P32)</f>
        <v>0</v>
      </c>
      <c r="F36" s="9"/>
      <c r="G36" s="10">
        <f>'PILS Rates'!$D$10</f>
        <v>0.000761</v>
      </c>
      <c r="H36" s="11">
        <f t="shared" si="2"/>
        <v>2.7335119999999997</v>
      </c>
    </row>
    <row r="37" spans="1:8" ht="12.75">
      <c r="A37" s="7">
        <f>Worksheet!A33</f>
        <v>38139</v>
      </c>
      <c r="B37" s="7" t="str">
        <f>Worksheet!B33</f>
        <v>Pre Apr 1/04 cons only @ old rate</v>
      </c>
      <c r="C37" s="8">
        <f>SUM(Worksheet!O33)</f>
        <v>0</v>
      </c>
      <c r="D37" s="8">
        <f>SUM(Worksheet!P33)</f>
        <v>0</v>
      </c>
      <c r="E37" s="9">
        <f>'PILS Rates'!$B$10</f>
        <v>0</v>
      </c>
      <c r="F37" s="10">
        <f>'PILS Rates'!$C$10</f>
        <v>0</v>
      </c>
      <c r="H37" s="11">
        <f t="shared" si="2"/>
        <v>0</v>
      </c>
    </row>
    <row r="38" spans="1:8" ht="12.75">
      <c r="A38" s="7">
        <f>Worksheet!A34</f>
        <v>38139</v>
      </c>
      <c r="B38" s="7" t="str">
        <f>Worksheet!B34</f>
        <v>Post Apr 1/04 cons only @ new rate</v>
      </c>
      <c r="C38" s="8">
        <f>SUM(Worksheet!O34)</f>
        <v>3770</v>
      </c>
      <c r="D38" s="8">
        <f>SUM(Worksheet!P34)</f>
        <v>0</v>
      </c>
      <c r="F38" s="9"/>
      <c r="G38" s="10">
        <f>'PILS Rates'!$D$10</f>
        <v>0.000761</v>
      </c>
      <c r="H38" s="11">
        <f t="shared" si="2"/>
        <v>2.86897</v>
      </c>
    </row>
    <row r="39" spans="1:8" ht="12.75">
      <c r="A39" s="7">
        <f>Worksheet!A35</f>
        <v>38169</v>
      </c>
      <c r="B39" s="7" t="str">
        <f>Worksheet!B35</f>
        <v>All consumption from Stats</v>
      </c>
      <c r="C39" s="8">
        <f>SUM(Worksheet!O35)</f>
        <v>4133</v>
      </c>
      <c r="D39" s="8">
        <f>SUM(Worksheet!P35)</f>
        <v>0</v>
      </c>
      <c r="F39" s="9"/>
      <c r="G39" s="10">
        <f>'PILS Rates'!$D$10</f>
        <v>0.000761</v>
      </c>
      <c r="H39" s="11">
        <f t="shared" si="2"/>
        <v>3.145213</v>
      </c>
    </row>
    <row r="40" spans="1:8" ht="12.75">
      <c r="A40" s="7">
        <f>Worksheet!A36</f>
        <v>38200</v>
      </c>
      <c r="B40" s="7" t="str">
        <f>Worksheet!B36</f>
        <v>Pre Apr 1/04 cons only @ old rate</v>
      </c>
      <c r="C40" s="8">
        <f>SUM(Worksheet!O36)</f>
        <v>0</v>
      </c>
      <c r="D40" s="8">
        <f>SUM(Worksheet!P36)</f>
        <v>0</v>
      </c>
      <c r="E40" s="9">
        <f>'PILS Rates'!$B$10</f>
        <v>0</v>
      </c>
      <c r="F40" s="10">
        <f>'PILS Rates'!$C$10</f>
        <v>0</v>
      </c>
      <c r="H40" s="11">
        <f t="shared" si="2"/>
        <v>0</v>
      </c>
    </row>
    <row r="41" spans="1:8" ht="12.75">
      <c r="A41" s="7">
        <f>Worksheet!A37</f>
        <v>38200</v>
      </c>
      <c r="B41" s="7" t="str">
        <f>Worksheet!B37</f>
        <v>Post Apr 1/04 cons only @ new rate</v>
      </c>
      <c r="C41" s="8">
        <f>SUM(Worksheet!O37)</f>
        <v>4162</v>
      </c>
      <c r="D41" s="8">
        <f>SUM(Worksheet!P37)</f>
        <v>0</v>
      </c>
      <c r="F41" s="9"/>
      <c r="G41" s="10">
        <f>'PILS Rates'!$D$10</f>
        <v>0.000761</v>
      </c>
      <c r="H41" s="11">
        <f>(C41*E41)+(D41*F41)+(C41*G41)</f>
        <v>3.1672819999999997</v>
      </c>
    </row>
    <row r="42" spans="1:8" ht="12.75">
      <c r="A42" s="7">
        <f>Worksheet!A38</f>
        <v>38231</v>
      </c>
      <c r="B42" s="7" t="str">
        <f>Worksheet!B38</f>
        <v>All consumption from Stats</v>
      </c>
      <c r="C42" s="8">
        <f>SUM(Worksheet!O38)</f>
        <v>3592</v>
      </c>
      <c r="D42" s="8">
        <f>SUM(Worksheet!P38)</f>
        <v>0</v>
      </c>
      <c r="F42" s="9"/>
      <c r="G42" s="10">
        <f>'PILS Rates'!$D$10</f>
        <v>0.000761</v>
      </c>
      <c r="H42" s="11">
        <f>(C42*E42)+(D42*F42)+(C42*G42)</f>
        <v>2.7335119999999997</v>
      </c>
    </row>
    <row r="43" spans="1:8" ht="12.75">
      <c r="A43" s="7">
        <f>Worksheet!A39</f>
        <v>38261</v>
      </c>
      <c r="B43" s="7" t="str">
        <f>Worksheet!B39</f>
        <v>All consumption from Stats</v>
      </c>
      <c r="C43" s="8">
        <f>SUM(Worksheet!O39)</f>
        <v>4272</v>
      </c>
      <c r="D43" s="8">
        <f>SUM(Worksheet!P39)</f>
        <v>0</v>
      </c>
      <c r="F43" s="9"/>
      <c r="G43" s="10">
        <f>'PILS Rates'!$D$10</f>
        <v>0.000761</v>
      </c>
      <c r="H43" s="11">
        <f>(C43*E43)+(D43*F43)+(C43*G43)</f>
        <v>3.2509919999999997</v>
      </c>
    </row>
    <row r="44" spans="1:8" ht="12.75">
      <c r="A44" s="7">
        <f>Worksheet!A40</f>
        <v>38292</v>
      </c>
      <c r="B44" s="7" t="str">
        <f>Worksheet!B40</f>
        <v>All consumption from Stats</v>
      </c>
      <c r="C44" s="8">
        <f>SUM(Worksheet!O40)</f>
        <v>4028</v>
      </c>
      <c r="D44" s="8">
        <f>SUM(Worksheet!P40)</f>
        <v>0</v>
      </c>
      <c r="F44" s="9"/>
      <c r="G44" s="10">
        <f>'PILS Rates'!$D$10</f>
        <v>0.000761</v>
      </c>
      <c r="H44" s="11">
        <f>(C44*E44)+(D44*F44)+(C44*G44)</f>
        <v>3.065308</v>
      </c>
    </row>
    <row r="45" spans="1:8" ht="12.75">
      <c r="A45" s="7">
        <f>Worksheet!A41</f>
        <v>38322</v>
      </c>
      <c r="B45" s="7" t="str">
        <f>Worksheet!B41</f>
        <v>All consumption from Stats</v>
      </c>
      <c r="C45" s="8">
        <f>SUM(Worksheet!O41)</f>
        <v>7790</v>
      </c>
      <c r="D45" s="8">
        <f>SUM(Worksheet!P41)</f>
        <v>0</v>
      </c>
      <c r="F45" s="9"/>
      <c r="G45" s="10">
        <f>'PILS Rates'!$D$10</f>
        <v>0.000761</v>
      </c>
      <c r="H45" s="11">
        <f>(C45*E45)+(D45*F45)+(C45*G45)</f>
        <v>5.92819</v>
      </c>
    </row>
    <row r="46" spans="1:2" ht="12.75">
      <c r="A46" s="7"/>
      <c r="B46" s="7"/>
    </row>
    <row r="47" spans="1:8" ht="12.75">
      <c r="A47" s="12" t="s">
        <v>0</v>
      </c>
      <c r="B47" s="12"/>
      <c r="C47" s="3"/>
      <c r="D47" s="3"/>
      <c r="E47" s="13"/>
      <c r="F47" s="14"/>
      <c r="G47" s="14"/>
      <c r="H47" s="6">
        <f>SUM(H30:H45)</f>
        <v>27.378496999999996</v>
      </c>
    </row>
    <row r="48" spans="1:2" ht="12.75">
      <c r="A48" s="7"/>
      <c r="B48" s="7"/>
    </row>
    <row r="49" spans="1:8" ht="12.75">
      <c r="A49" s="7">
        <f>Worksheet!A42</f>
        <v>38353</v>
      </c>
      <c r="B49" s="7" t="str">
        <f>Worksheet!B42</f>
        <v>All consumption from Stats</v>
      </c>
      <c r="C49" s="8">
        <f>SUM(Worksheet!O42)</f>
        <v>185</v>
      </c>
      <c r="D49" s="8">
        <f>SUM(Worksheet!P42)</f>
        <v>0</v>
      </c>
      <c r="G49" s="10">
        <f>'PILS Rates'!$D$10</f>
        <v>0.000761</v>
      </c>
      <c r="H49" s="11">
        <f aca="true" t="shared" si="3" ref="H49:H64">(C49*E49)+(D49*F49)+(C49*G49)</f>
        <v>0.140785</v>
      </c>
    </row>
    <row r="50" spans="1:8" ht="12.75">
      <c r="A50" s="7">
        <f>Worksheet!A43</f>
        <v>38384</v>
      </c>
      <c r="B50" s="7" t="str">
        <f>Worksheet!B43</f>
        <v>All consumption from Stats</v>
      </c>
      <c r="C50" s="8">
        <f>SUM(Worksheet!O43)</f>
        <v>3806</v>
      </c>
      <c r="D50" s="8">
        <f>SUM(Worksheet!P43)</f>
        <v>0</v>
      </c>
      <c r="G50" s="10">
        <f>'PILS Rates'!$D$10</f>
        <v>0.000761</v>
      </c>
      <c r="H50" s="11">
        <f t="shared" si="3"/>
        <v>2.896366</v>
      </c>
    </row>
    <row r="51" spans="1:8" ht="12.75">
      <c r="A51" s="7">
        <f>Worksheet!A44</f>
        <v>38412</v>
      </c>
      <c r="B51" s="7" t="str">
        <f>Worksheet!B44</f>
        <v>All consumption from Stats</v>
      </c>
      <c r="C51" s="8">
        <f>SUM(Worksheet!O44)</f>
        <v>3553</v>
      </c>
      <c r="D51" s="8">
        <f>SUM(Worksheet!P44)</f>
        <v>0</v>
      </c>
      <c r="G51" s="10">
        <f>'PILS Rates'!$D$10</f>
        <v>0.000761</v>
      </c>
      <c r="H51" s="11">
        <f t="shared" si="3"/>
        <v>2.703833</v>
      </c>
    </row>
    <row r="52" spans="1:8" ht="12.75">
      <c r="A52" s="7">
        <f>Worksheet!A45</f>
        <v>38443</v>
      </c>
      <c r="B52" s="7" t="str">
        <f>Worksheet!B45</f>
        <v>Pre Apr 1/05 cons only @ old rate</v>
      </c>
      <c r="C52" s="8">
        <f>SUM(Worksheet!O45)</f>
        <v>3972</v>
      </c>
      <c r="D52" s="8">
        <f>SUM(Worksheet!P45)</f>
        <v>0</v>
      </c>
      <c r="G52" s="10">
        <f>'PILS Rates'!$D$10</f>
        <v>0.000761</v>
      </c>
      <c r="H52" s="11">
        <f t="shared" si="3"/>
        <v>3.0226919999999997</v>
      </c>
    </row>
    <row r="53" spans="1:8" ht="12.75">
      <c r="A53" s="7">
        <f>Worksheet!A46</f>
        <v>38443</v>
      </c>
      <c r="B53" s="7" t="str">
        <f>Worksheet!B46</f>
        <v>Post Apr 1/05 cons only @ new rate</v>
      </c>
      <c r="C53" s="8">
        <f>SUM(Worksheet!O46)</f>
        <v>561</v>
      </c>
      <c r="D53" s="8">
        <f>SUM(Worksheet!P46)</f>
        <v>0</v>
      </c>
      <c r="G53" s="10">
        <f>'PILS Rates'!$E$10</f>
        <v>0.000537</v>
      </c>
      <c r="H53" s="11">
        <f t="shared" si="3"/>
        <v>0.301257</v>
      </c>
    </row>
    <row r="54" spans="1:8" ht="12.75">
      <c r="A54" s="7">
        <f>Worksheet!A47</f>
        <v>38473</v>
      </c>
      <c r="B54" s="7" t="str">
        <f>Worksheet!B47</f>
        <v>Pre Apr 1/05 cons only @ old rate</v>
      </c>
      <c r="C54" s="8">
        <f>SUM(Worksheet!O47)</f>
        <v>243</v>
      </c>
      <c r="D54" s="8">
        <f>SUM(Worksheet!P47)</f>
        <v>0</v>
      </c>
      <c r="G54" s="10">
        <f>'PILS Rates'!$D$10</f>
        <v>0.000761</v>
      </c>
      <c r="H54" s="11">
        <f t="shared" si="3"/>
        <v>0.18492299999999998</v>
      </c>
    </row>
    <row r="55" spans="1:8" ht="12.75">
      <c r="A55" s="7">
        <f>Worksheet!A48</f>
        <v>38473</v>
      </c>
      <c r="B55" s="7" t="str">
        <f>Worksheet!B48</f>
        <v>Post Apr 1/05 cons only @ new rate</v>
      </c>
      <c r="C55" s="8">
        <f>SUM(Worksheet!O48)</f>
        <v>3501</v>
      </c>
      <c r="D55" s="8">
        <f>SUM(Worksheet!P48)</f>
        <v>0</v>
      </c>
      <c r="G55" s="10">
        <f>'PILS Rates'!$E$10</f>
        <v>0.000537</v>
      </c>
      <c r="H55" s="11">
        <f t="shared" si="3"/>
        <v>1.8800370000000002</v>
      </c>
    </row>
    <row r="56" spans="1:8" ht="12.75">
      <c r="A56" s="7">
        <f>Worksheet!A49</f>
        <v>38504</v>
      </c>
      <c r="B56" s="7" t="str">
        <f>Worksheet!B49</f>
        <v>Pre Apr 1/05 cons only @ old rate</v>
      </c>
      <c r="C56" s="8">
        <f>SUM(Worksheet!O49)</f>
        <v>0</v>
      </c>
      <c r="D56" s="8">
        <f>SUM(Worksheet!P49)</f>
        <v>0</v>
      </c>
      <c r="G56" s="10">
        <f>'PILS Rates'!$D$10</f>
        <v>0.000761</v>
      </c>
      <c r="H56" s="11">
        <f t="shared" si="3"/>
        <v>0</v>
      </c>
    </row>
    <row r="57" spans="1:8" ht="12.75">
      <c r="A57" s="7">
        <f>Worksheet!A50</f>
        <v>38504</v>
      </c>
      <c r="B57" s="7" t="str">
        <f>Worksheet!B50</f>
        <v>Post Apr 1/05 cons only @ new rate</v>
      </c>
      <c r="C57" s="8">
        <f>SUM(Worksheet!O50)</f>
        <v>3583</v>
      </c>
      <c r="D57" s="8">
        <f>SUM(Worksheet!P50)</f>
        <v>0</v>
      </c>
      <c r="G57" s="10">
        <f>'PILS Rates'!$E$10</f>
        <v>0.000537</v>
      </c>
      <c r="H57" s="11">
        <f t="shared" si="3"/>
        <v>1.924071</v>
      </c>
    </row>
    <row r="58" spans="1:8" ht="12.75">
      <c r="A58" s="7">
        <f>Worksheet!A51</f>
        <v>38534</v>
      </c>
      <c r="B58" s="7" t="str">
        <f>Worksheet!B51</f>
        <v>All consumption from Stats</v>
      </c>
      <c r="C58" s="8">
        <f>SUM(Worksheet!O51)</f>
        <v>4390</v>
      </c>
      <c r="D58" s="8">
        <f>SUM(Worksheet!P51)</f>
        <v>0</v>
      </c>
      <c r="G58" s="10">
        <f>'PILS Rates'!$E$10</f>
        <v>0.000537</v>
      </c>
      <c r="H58" s="11">
        <f t="shared" si="3"/>
        <v>2.3574300000000004</v>
      </c>
    </row>
    <row r="59" spans="1:8" ht="12.75">
      <c r="A59" s="7">
        <f>Worksheet!A52</f>
        <v>38565</v>
      </c>
      <c r="B59" s="7" t="str">
        <f>Worksheet!B52</f>
        <v>Pre Apr 1/05 cons only @ old rate</v>
      </c>
      <c r="C59" s="8">
        <f>SUM(Worksheet!O52)</f>
        <v>0</v>
      </c>
      <c r="D59" s="8">
        <f>SUM(Worksheet!P52)</f>
        <v>0</v>
      </c>
      <c r="G59" s="10">
        <f>'PILS Rates'!$D$10</f>
        <v>0.000761</v>
      </c>
      <c r="H59" s="11">
        <f t="shared" si="3"/>
        <v>0</v>
      </c>
    </row>
    <row r="60" spans="1:8" ht="12.75">
      <c r="A60" s="7">
        <f>Worksheet!A53</f>
        <v>38565</v>
      </c>
      <c r="B60" s="7" t="str">
        <f>Worksheet!B53</f>
        <v>Post Apr 1/05 cons only @ new rate</v>
      </c>
      <c r="C60" s="8">
        <f>SUM(Worksheet!O53)</f>
        <v>3884</v>
      </c>
      <c r="D60" s="8">
        <f>SUM(Worksheet!P53)</f>
        <v>0</v>
      </c>
      <c r="G60" s="10">
        <f>'PILS Rates'!$E$10</f>
        <v>0.000537</v>
      </c>
      <c r="H60" s="11">
        <f>(C60*E60)+(D60*F60)+(C60*G60)</f>
        <v>2.0857080000000003</v>
      </c>
    </row>
    <row r="61" spans="1:8" ht="12.75">
      <c r="A61" s="7">
        <f>Worksheet!A54</f>
        <v>38596</v>
      </c>
      <c r="B61" s="7" t="str">
        <f>Worksheet!B54</f>
        <v>All consumption from Stats</v>
      </c>
      <c r="C61" s="8">
        <f>SUM(Worksheet!O54)</f>
        <v>3715</v>
      </c>
      <c r="D61" s="8">
        <f>SUM(Worksheet!P54)</f>
        <v>0</v>
      </c>
      <c r="G61" s="10">
        <f>'PILS Rates'!$E$10</f>
        <v>0.000537</v>
      </c>
      <c r="H61" s="11">
        <f>(C61*E61)+(D61*F61)+(C61*G61)</f>
        <v>1.9949550000000003</v>
      </c>
    </row>
    <row r="62" spans="1:8" ht="12.75">
      <c r="A62" s="7">
        <f>Worksheet!A55</f>
        <v>38626</v>
      </c>
      <c r="B62" s="7" t="str">
        <f>Worksheet!B55</f>
        <v>All consumption from Stats</v>
      </c>
      <c r="C62" s="8">
        <f>SUM(Worksheet!O55)</f>
        <v>4352</v>
      </c>
      <c r="D62" s="8">
        <f>SUM(Worksheet!P55)</f>
        <v>0</v>
      </c>
      <c r="G62" s="10">
        <f>'PILS Rates'!$E$10</f>
        <v>0.000537</v>
      </c>
      <c r="H62" s="11">
        <f t="shared" si="3"/>
        <v>2.337024</v>
      </c>
    </row>
    <row r="63" spans="1:8" ht="12.75">
      <c r="A63" s="7">
        <f>Worksheet!A56</f>
        <v>38657</v>
      </c>
      <c r="B63" s="7" t="str">
        <f>Worksheet!B56</f>
        <v>All consumption from Stats</v>
      </c>
      <c r="C63" s="8">
        <f>SUM(Worksheet!O56)</f>
        <v>3739</v>
      </c>
      <c r="D63" s="8">
        <f>SUM(Worksheet!P56)</f>
        <v>0</v>
      </c>
      <c r="G63" s="10">
        <f>'PILS Rates'!$E$10</f>
        <v>0.000537</v>
      </c>
      <c r="H63" s="11">
        <f t="shared" si="3"/>
        <v>2.0078430000000003</v>
      </c>
    </row>
    <row r="64" spans="1:8" ht="12.75">
      <c r="A64" s="7">
        <f>Worksheet!A57</f>
        <v>38687</v>
      </c>
      <c r="B64" s="7" t="str">
        <f>Worksheet!B57</f>
        <v>All consumption from Stats</v>
      </c>
      <c r="C64" s="8">
        <f>SUM(Worksheet!O57)</f>
        <v>7986</v>
      </c>
      <c r="D64" s="8">
        <f>SUM(Worksheet!P57)</f>
        <v>0</v>
      </c>
      <c r="G64" s="10">
        <f>'PILS Rates'!$E$10</f>
        <v>0.000537</v>
      </c>
      <c r="H64" s="11">
        <f t="shared" si="3"/>
        <v>4.288482</v>
      </c>
    </row>
    <row r="65" spans="1:2" ht="12.75">
      <c r="A65" s="7"/>
      <c r="B65" s="7"/>
    </row>
    <row r="66" spans="1:8" ht="12.75">
      <c r="A66" s="12" t="s">
        <v>0</v>
      </c>
      <c r="B66" s="12"/>
      <c r="C66" s="3"/>
      <c r="D66" s="3"/>
      <c r="E66" s="13"/>
      <c r="F66" s="14"/>
      <c r="G66" s="14"/>
      <c r="H66" s="6">
        <f>SUM(H49:H64)</f>
        <v>28.125405999999998</v>
      </c>
    </row>
    <row r="67" spans="1:2" ht="12.75">
      <c r="A67" s="7"/>
      <c r="B67" s="7"/>
    </row>
    <row r="68" spans="1:8" ht="12.75">
      <c r="A68" s="7">
        <f>Worksheet!A58</f>
        <v>38718</v>
      </c>
      <c r="B68" s="7" t="str">
        <f>Worksheet!B58</f>
        <v>All consumption from Stats</v>
      </c>
      <c r="C68" s="8">
        <f>SUM(Worksheet!O58)</f>
        <v>136</v>
      </c>
      <c r="D68" s="8">
        <f>SUM(Worksheet!P58)</f>
        <v>0</v>
      </c>
      <c r="G68" s="10">
        <f>'PILS Rates'!$E$10</f>
        <v>0.000537</v>
      </c>
      <c r="H68" s="11">
        <f aca="true" t="shared" si="4" ref="H68:H76">(C68*E68)+(D68*F68)+(C68*G68)</f>
        <v>0.073032</v>
      </c>
    </row>
    <row r="69" spans="1:8" ht="12.75">
      <c r="A69" s="7">
        <f>Worksheet!A59</f>
        <v>38749</v>
      </c>
      <c r="B69" s="7" t="str">
        <f>Worksheet!B59</f>
        <v>All consumption from Stats</v>
      </c>
      <c r="C69" s="8">
        <f>SUM(Worksheet!O59)</f>
        <v>3376</v>
      </c>
      <c r="D69" s="8">
        <f>SUM(Worksheet!P59)</f>
        <v>0</v>
      </c>
      <c r="G69" s="10">
        <f>'PILS Rates'!$E$10</f>
        <v>0.000537</v>
      </c>
      <c r="H69" s="11">
        <f t="shared" si="4"/>
        <v>1.812912</v>
      </c>
    </row>
    <row r="70" spans="1:8" ht="12.75">
      <c r="A70" s="7">
        <f>Worksheet!A60</f>
        <v>38777</v>
      </c>
      <c r="B70" s="7" t="str">
        <f>Worksheet!B60</f>
        <v>All consumption from Stats</v>
      </c>
      <c r="C70" s="8">
        <f>SUM(Worksheet!O60)</f>
        <v>4050</v>
      </c>
      <c r="D70" s="8">
        <f>SUM(Worksheet!P60)</f>
        <v>0</v>
      </c>
      <c r="G70" s="10">
        <f>'PILS Rates'!$E$10</f>
        <v>0.000537</v>
      </c>
      <c r="H70" s="11">
        <f t="shared" si="4"/>
        <v>2.17485</v>
      </c>
    </row>
    <row r="71" spans="1:9" ht="12.75">
      <c r="A71" s="7">
        <f>Worksheet!A61</f>
        <v>38808</v>
      </c>
      <c r="B71" s="7" t="str">
        <f>Worksheet!B61</f>
        <v>All consumption from Stats</v>
      </c>
      <c r="C71" s="8">
        <f>SUM(Worksheet!O61)</f>
        <v>4389</v>
      </c>
      <c r="D71" s="8">
        <f>SUM(Worksheet!P61)</f>
        <v>0</v>
      </c>
      <c r="G71" s="10">
        <f>'PILS Rates'!$E$10</f>
        <v>0.000537</v>
      </c>
      <c r="H71" s="11">
        <f t="shared" si="4"/>
        <v>2.3568930000000003</v>
      </c>
      <c r="I71" s="15"/>
    </row>
    <row r="72" spans="1:9" ht="12.75">
      <c r="A72" s="7">
        <f>Worksheet!A62</f>
        <v>38838</v>
      </c>
      <c r="B72" s="7" t="str">
        <f>Worksheet!B62</f>
        <v>Pre Apr 30/06 cons only @ old rate</v>
      </c>
      <c r="C72" s="8">
        <f>SUM(Worksheet!O62)</f>
        <v>3549</v>
      </c>
      <c r="D72" s="8">
        <f>SUM(Worksheet!P62)</f>
        <v>0</v>
      </c>
      <c r="G72" s="10">
        <f>'PILS Rates'!$E$10</f>
        <v>0.000537</v>
      </c>
      <c r="H72" s="11">
        <f t="shared" si="4"/>
        <v>1.9058130000000002</v>
      </c>
      <c r="I72" s="15"/>
    </row>
    <row r="73" spans="1:9" ht="12.75">
      <c r="A73" s="7">
        <f>Worksheet!A63</f>
        <v>38869</v>
      </c>
      <c r="B73" s="7" t="str">
        <f>Worksheet!B63</f>
        <v>Pre Apr 30/06 cons only @ old rate</v>
      </c>
      <c r="C73" s="8">
        <f>SUM(Worksheet!O63)</f>
        <v>162</v>
      </c>
      <c r="D73" s="8">
        <f>SUM(Worksheet!P63)</f>
        <v>0</v>
      </c>
      <c r="G73" s="10">
        <f>'PILS Rates'!$E$10</f>
        <v>0.000537</v>
      </c>
      <c r="H73" s="11">
        <f t="shared" si="4"/>
        <v>0.086994</v>
      </c>
      <c r="I73" s="15"/>
    </row>
    <row r="74" spans="1:9" ht="12.75">
      <c r="A74" s="7">
        <f>Worksheet!A64</f>
        <v>38899</v>
      </c>
      <c r="B74" s="7" t="str">
        <f>Worksheet!B64</f>
        <v>Pre Apr 30/06 cons only @ old rate</v>
      </c>
      <c r="C74" s="8">
        <f>SUM(Worksheet!O64)</f>
        <v>0</v>
      </c>
      <c r="D74" s="8">
        <f>SUM(Worksheet!P64)</f>
        <v>0</v>
      </c>
      <c r="G74" s="10">
        <f>'PILS Rates'!$E$10</f>
        <v>0.000537</v>
      </c>
      <c r="H74" s="11">
        <f t="shared" si="4"/>
        <v>0</v>
      </c>
      <c r="I74" s="15"/>
    </row>
    <row r="75" spans="1:9" ht="12.75">
      <c r="A75" s="7">
        <f>Worksheet!A65</f>
        <v>38930</v>
      </c>
      <c r="B75" s="7" t="str">
        <f>Worksheet!B65</f>
        <v>Pre Apr 30/06 cons only @ old rate</v>
      </c>
      <c r="C75" s="8">
        <f>SUM(Worksheet!O65)</f>
        <v>0</v>
      </c>
      <c r="D75" s="8">
        <f>SUM(Worksheet!P65)</f>
        <v>0</v>
      </c>
      <c r="G75" s="10">
        <f>'PILS Rates'!$E$10</f>
        <v>0.000537</v>
      </c>
      <c r="H75" s="11">
        <f t="shared" si="4"/>
        <v>0</v>
      </c>
      <c r="I75" s="15"/>
    </row>
    <row r="76" spans="1:9" ht="12.75">
      <c r="A76" s="7">
        <f>Worksheet!A66</f>
        <v>38961</v>
      </c>
      <c r="B76" s="7" t="str">
        <f>Worksheet!B66</f>
        <v>Pre Apr 30/06 cons only @ old rate</v>
      </c>
      <c r="C76" s="8">
        <f>SUM(Worksheet!O66)</f>
        <v>0</v>
      </c>
      <c r="D76" s="8">
        <f>SUM(Worksheet!P66)</f>
        <v>0</v>
      </c>
      <c r="G76" s="10">
        <f>'PILS Rates'!$E$10</f>
        <v>0.000537</v>
      </c>
      <c r="H76" s="11">
        <f t="shared" si="4"/>
        <v>0</v>
      </c>
      <c r="I76" s="15"/>
    </row>
    <row r="77" spans="1:2" ht="12.75">
      <c r="A77" s="7"/>
      <c r="B77" s="7"/>
    </row>
    <row r="78" spans="1:8" ht="12.75">
      <c r="A78" s="12" t="s">
        <v>0</v>
      </c>
      <c r="B78" s="12"/>
      <c r="C78" s="3"/>
      <c r="D78" s="3"/>
      <c r="E78" s="13"/>
      <c r="F78" s="14"/>
      <c r="G78" s="14"/>
      <c r="H78" s="6">
        <f>SUM(H68:H76)</f>
        <v>8.410494000000002</v>
      </c>
    </row>
    <row r="79" spans="1:2" ht="12.75">
      <c r="A79" s="7"/>
      <c r="B79" s="7"/>
    </row>
    <row r="80" spans="1:8" ht="12.75">
      <c r="A80" s="12" t="s">
        <v>12</v>
      </c>
      <c r="B80" s="12"/>
      <c r="H80" s="6">
        <f>SUM(H78,H66,H47,H28,H13)</f>
        <v>63.914396999999994</v>
      </c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7109375" style="2" customWidth="1"/>
    <col min="2" max="2" width="29.8515625" style="2" bestFit="1" customWidth="1"/>
    <col min="3" max="3" width="15.421875" style="8" bestFit="1" customWidth="1"/>
    <col min="4" max="4" width="15.57421875" style="8" bestFit="1" customWidth="1"/>
    <col min="5" max="5" width="15.7109375" style="9" customWidth="1"/>
    <col min="6" max="7" width="11.28125" style="10" customWidth="1"/>
    <col min="8" max="8" width="11.421875" style="11" customWidth="1"/>
    <col min="9" max="16384" width="9.140625" style="2" customWidth="1"/>
  </cols>
  <sheetData>
    <row r="1" spans="2:8" ht="36" customHeight="1">
      <c r="B1" s="2" t="str">
        <f>Worksheet!B3</f>
        <v>Description</v>
      </c>
      <c r="C1" s="3" t="s">
        <v>1</v>
      </c>
      <c r="D1" s="3" t="s">
        <v>4</v>
      </c>
      <c r="E1" s="4" t="s">
        <v>3</v>
      </c>
      <c r="F1" s="5" t="s">
        <v>5</v>
      </c>
      <c r="G1" s="4" t="s">
        <v>3</v>
      </c>
      <c r="H1" s="6" t="s">
        <v>0</v>
      </c>
    </row>
    <row r="2" spans="1:8" ht="12.75">
      <c r="A2" s="7">
        <f>Worksheet!A4</f>
        <v>37316</v>
      </c>
      <c r="B2" s="2" t="str">
        <f>Worksheet!B4</f>
        <v>Post Mar1/02 cons only @ new rate</v>
      </c>
      <c r="C2" s="8">
        <f>SUM(Worksheet!Q4)</f>
        <v>622.14</v>
      </c>
      <c r="D2" s="8">
        <f>SUM(Worksheet!R4)</f>
        <v>0</v>
      </c>
      <c r="E2" s="9">
        <f>'PILS Rates'!$B$11</f>
        <v>0.2649</v>
      </c>
      <c r="F2" s="10">
        <f>'PILS Rates'!$C$11</f>
        <v>0</v>
      </c>
      <c r="H2" s="11">
        <f>(C2*E2)+(D2*F2)+(C2*G2)</f>
        <v>164.804886</v>
      </c>
    </row>
    <row r="3" spans="1:8" ht="12.75">
      <c r="A3" s="7">
        <f>Worksheet!A5</f>
        <v>37347</v>
      </c>
      <c r="B3" s="2" t="str">
        <f>Worksheet!B5</f>
        <v>Post Mar1/02 cons only @ new rate</v>
      </c>
      <c r="C3" s="8">
        <f>SUM(Worksheet!Q5)</f>
        <v>249.2</v>
      </c>
      <c r="D3" s="8">
        <f>SUM(Worksheet!R5)</f>
        <v>0</v>
      </c>
      <c r="E3" s="9">
        <f>'PILS Rates'!$B$11</f>
        <v>0.2649</v>
      </c>
      <c r="F3" s="10">
        <f>'PILS Rates'!$C$11</f>
        <v>0</v>
      </c>
      <c r="H3" s="11">
        <f aca="true" t="shared" si="0" ref="H3:H11">(C3*E3)+(D3*F3)+(C3*G3)</f>
        <v>66.01308</v>
      </c>
    </row>
    <row r="4" spans="1:8" ht="12.75">
      <c r="A4" s="7">
        <f>Worksheet!A6</f>
        <v>37377</v>
      </c>
      <c r="B4" s="2" t="str">
        <f>Worksheet!B6</f>
        <v>Post Mar1/02 cons only @ new rate</v>
      </c>
      <c r="C4" s="8">
        <f>SUM(Worksheet!Q6)</f>
        <v>76.36</v>
      </c>
      <c r="D4" s="8">
        <f>SUM(Worksheet!R6)</f>
        <v>0</v>
      </c>
      <c r="E4" s="9">
        <f>'PILS Rates'!$B$11</f>
        <v>0.2649</v>
      </c>
      <c r="F4" s="10">
        <f>'PILS Rates'!$C$11</f>
        <v>0</v>
      </c>
      <c r="H4" s="11">
        <f t="shared" si="0"/>
        <v>20.227764</v>
      </c>
    </row>
    <row r="5" spans="1:8" ht="12.75">
      <c r="A5" s="7">
        <f>Worksheet!A7</f>
        <v>37408</v>
      </c>
      <c r="B5" s="2" t="str">
        <f>Worksheet!B7</f>
        <v>Post Mar1/02 cons only @ new rate</v>
      </c>
      <c r="C5" s="8">
        <f>SUM(Worksheet!Q7)</f>
        <v>448</v>
      </c>
      <c r="D5" s="8">
        <f>SUM(Worksheet!R7)</f>
        <v>0</v>
      </c>
      <c r="E5" s="9">
        <f>'PILS Rates'!$B$11</f>
        <v>0.2649</v>
      </c>
      <c r="F5" s="10">
        <f>'PILS Rates'!$C$11</f>
        <v>0</v>
      </c>
      <c r="H5" s="11">
        <f t="shared" si="0"/>
        <v>118.67520000000002</v>
      </c>
    </row>
    <row r="6" spans="1:8" ht="12.75">
      <c r="A6" s="7">
        <f>Worksheet!A8</f>
        <v>37438</v>
      </c>
      <c r="B6" s="2" t="str">
        <f>Worksheet!B8</f>
        <v>Post Mar1/02 cons only @ new rate</v>
      </c>
      <c r="C6" s="8">
        <f>SUM(Worksheet!Q8)</f>
        <v>244.3</v>
      </c>
      <c r="D6" s="8">
        <f>SUM(Worksheet!R8)</f>
        <v>0</v>
      </c>
      <c r="E6" s="9">
        <f>'PILS Rates'!$B$11</f>
        <v>0.2649</v>
      </c>
      <c r="F6" s="10">
        <f>'PILS Rates'!$C$11</f>
        <v>0</v>
      </c>
      <c r="H6" s="11">
        <f t="shared" si="0"/>
        <v>64.71507000000001</v>
      </c>
    </row>
    <row r="7" spans="1:8" ht="12.75">
      <c r="A7" s="7">
        <f>Worksheet!A9</f>
        <v>37469</v>
      </c>
      <c r="B7" s="2" t="str">
        <f>Worksheet!B9</f>
        <v>All consumption from Stats</v>
      </c>
      <c r="C7" s="8">
        <f>SUM(Worksheet!Q9)</f>
        <v>244.3</v>
      </c>
      <c r="D7" s="8">
        <f>SUM(Worksheet!R9)</f>
        <v>0</v>
      </c>
      <c r="E7" s="9">
        <f>'PILS Rates'!$B$11</f>
        <v>0.2649</v>
      </c>
      <c r="F7" s="10">
        <f>'PILS Rates'!$C$11</f>
        <v>0</v>
      </c>
      <c r="H7" s="11">
        <f t="shared" si="0"/>
        <v>64.71507000000001</v>
      </c>
    </row>
    <row r="8" spans="1:8" ht="12.75">
      <c r="A8" s="7">
        <f>Worksheet!A10</f>
        <v>37500</v>
      </c>
      <c r="B8" s="2" t="str">
        <f>Worksheet!B10</f>
        <v>Post Mar1/02 cons only @ new rate</v>
      </c>
      <c r="C8" s="8">
        <f>SUM(Worksheet!Q10)</f>
        <v>244.2</v>
      </c>
      <c r="D8" s="8">
        <f>SUM(Worksheet!R10)</f>
        <v>0</v>
      </c>
      <c r="E8" s="9">
        <f>'PILS Rates'!$B$11</f>
        <v>0.2649</v>
      </c>
      <c r="F8" s="10">
        <f>'PILS Rates'!$C$11</f>
        <v>0</v>
      </c>
      <c r="H8" s="11">
        <f t="shared" si="0"/>
        <v>64.68858</v>
      </c>
    </row>
    <row r="9" spans="1:8" ht="12.75">
      <c r="A9" s="7">
        <f>Worksheet!A11</f>
        <v>37530</v>
      </c>
      <c r="B9" s="2" t="str">
        <f>Worksheet!B11</f>
        <v>Post Mar1/02 cons only @ new rate</v>
      </c>
      <c r="C9" s="8">
        <f>SUM(Worksheet!Q11)</f>
        <v>244.3</v>
      </c>
      <c r="D9" s="8">
        <f>SUM(Worksheet!R11)</f>
        <v>0</v>
      </c>
      <c r="E9" s="9">
        <f>'PILS Rates'!$B$11</f>
        <v>0.2649</v>
      </c>
      <c r="F9" s="10">
        <f>'PILS Rates'!$C$11</f>
        <v>0</v>
      </c>
      <c r="H9" s="11">
        <f t="shared" si="0"/>
        <v>64.71507000000001</v>
      </c>
    </row>
    <row r="10" spans="1:8" ht="12.75">
      <c r="A10" s="7">
        <f>Worksheet!A12</f>
        <v>37561</v>
      </c>
      <c r="B10" s="2" t="str">
        <f>Worksheet!B12</f>
        <v>All consumption from Stats</v>
      </c>
      <c r="C10" s="8">
        <f>SUM(Worksheet!Q12)</f>
        <v>244.3</v>
      </c>
      <c r="D10" s="8">
        <f>SUM(Worksheet!R12)</f>
        <v>0</v>
      </c>
      <c r="E10" s="9">
        <f>'PILS Rates'!$B$11</f>
        <v>0.2649</v>
      </c>
      <c r="F10" s="10">
        <f>'PILS Rates'!$C$11</f>
        <v>0</v>
      </c>
      <c r="H10" s="11">
        <f t="shared" si="0"/>
        <v>64.71507000000001</v>
      </c>
    </row>
    <row r="11" spans="1:8" ht="12.75">
      <c r="A11" s="7">
        <f>Worksheet!A13</f>
        <v>37591</v>
      </c>
      <c r="B11" s="2" t="str">
        <f>Worksheet!B13</f>
        <v>All consumption from Stats</v>
      </c>
      <c r="C11" s="8">
        <f>SUM(Worksheet!Q13)</f>
        <v>493.9</v>
      </c>
      <c r="D11" s="8">
        <f>SUM(Worksheet!R13)</f>
        <v>0</v>
      </c>
      <c r="E11" s="9">
        <f>'PILS Rates'!$B$11</f>
        <v>0.2649</v>
      </c>
      <c r="F11" s="10">
        <f>'PILS Rates'!$C$11</f>
        <v>0</v>
      </c>
      <c r="H11" s="11">
        <f t="shared" si="0"/>
        <v>130.83411</v>
      </c>
    </row>
    <row r="12" spans="1:2" ht="12.75">
      <c r="A12" s="7"/>
      <c r="B12" s="7"/>
    </row>
    <row r="13" spans="1:8" ht="12.75">
      <c r="A13" s="12" t="s">
        <v>0</v>
      </c>
      <c r="B13" s="12"/>
      <c r="C13" s="3"/>
      <c r="D13" s="3"/>
      <c r="E13" s="13"/>
      <c r="F13" s="14"/>
      <c r="G13" s="14"/>
      <c r="H13" s="6">
        <f>SUM(H2:H11)</f>
        <v>824.1039000000001</v>
      </c>
    </row>
    <row r="14" spans="1:2" ht="12.75">
      <c r="A14" s="7"/>
      <c r="B14" s="7"/>
    </row>
    <row r="15" spans="1:8" ht="12.75">
      <c r="A15" s="7">
        <f>Worksheet!A14</f>
        <v>37622</v>
      </c>
      <c r="B15" s="7" t="str">
        <f>Worksheet!B14</f>
        <v>All consumption from Stats</v>
      </c>
      <c r="C15" s="8">
        <f>SUM(Worksheet!Q14)</f>
        <v>0</v>
      </c>
      <c r="D15" s="8">
        <f>SUM(Worksheet!R14)</f>
        <v>0</v>
      </c>
      <c r="E15" s="9">
        <f>'PILS Rates'!$B$11</f>
        <v>0.2649</v>
      </c>
      <c r="F15" s="10">
        <f>'PILS Rates'!$C$11</f>
        <v>0</v>
      </c>
      <c r="H15" s="11">
        <f aca="true" t="shared" si="1" ref="H15:H26">(C15*E15)+(D15*F15)+(C15*G15)</f>
        <v>0</v>
      </c>
    </row>
    <row r="16" spans="1:8" ht="12.75">
      <c r="A16" s="7">
        <f>Worksheet!A15</f>
        <v>37653</v>
      </c>
      <c r="B16" s="7" t="str">
        <f>Worksheet!B15</f>
        <v>All consumption from Stats</v>
      </c>
      <c r="C16" s="8">
        <f>SUM(Worksheet!Q15)</f>
        <v>249.7</v>
      </c>
      <c r="D16" s="8">
        <f>SUM(Worksheet!R15)</f>
        <v>0</v>
      </c>
      <c r="E16" s="9">
        <f>'PILS Rates'!$B$11</f>
        <v>0.2649</v>
      </c>
      <c r="F16" s="10">
        <f>'PILS Rates'!$C$11</f>
        <v>0</v>
      </c>
      <c r="H16" s="11">
        <f t="shared" si="1"/>
        <v>66.14553000000001</v>
      </c>
    </row>
    <row r="17" spans="1:8" ht="12.75">
      <c r="A17" s="7">
        <f>Worksheet!A16</f>
        <v>37681</v>
      </c>
      <c r="B17" s="7" t="str">
        <f>Worksheet!B16</f>
        <v>All consumption from Stats</v>
      </c>
      <c r="C17" s="8">
        <f>SUM(Worksheet!Q16)</f>
        <v>249.7</v>
      </c>
      <c r="D17" s="8">
        <f>SUM(Worksheet!R16)</f>
        <v>0</v>
      </c>
      <c r="E17" s="9">
        <f>'PILS Rates'!$B$11</f>
        <v>0.2649</v>
      </c>
      <c r="F17" s="10">
        <f>'PILS Rates'!$C$11</f>
        <v>0</v>
      </c>
      <c r="H17" s="11">
        <f t="shared" si="1"/>
        <v>66.14553000000001</v>
      </c>
    </row>
    <row r="18" spans="1:8" ht="12.75">
      <c r="A18" s="7">
        <f>Worksheet!A17</f>
        <v>37712</v>
      </c>
      <c r="B18" s="7" t="str">
        <f>Worksheet!B17</f>
        <v>All consumption from Stats</v>
      </c>
      <c r="C18" s="8">
        <f>SUM(Worksheet!Q17)</f>
        <v>250.9</v>
      </c>
      <c r="D18" s="8">
        <f>SUM(Worksheet!R17)</f>
        <v>0</v>
      </c>
      <c r="E18" s="9">
        <f>'PILS Rates'!$B$11</f>
        <v>0.2649</v>
      </c>
      <c r="F18" s="10">
        <f>'PILS Rates'!$C$11</f>
        <v>0</v>
      </c>
      <c r="H18" s="11">
        <f t="shared" si="1"/>
        <v>66.46341000000001</v>
      </c>
    </row>
    <row r="19" spans="1:8" ht="12.75">
      <c r="A19" s="7">
        <f>Worksheet!A18</f>
        <v>37742</v>
      </c>
      <c r="B19" s="7" t="str">
        <f>Worksheet!B18</f>
        <v>All consumption from Stats</v>
      </c>
      <c r="C19" s="8">
        <f>SUM(Worksheet!Q18)</f>
        <v>250.9</v>
      </c>
      <c r="D19" s="8">
        <f>SUM(Worksheet!R18)</f>
        <v>0</v>
      </c>
      <c r="E19" s="9">
        <f>'PILS Rates'!$B$11</f>
        <v>0.2649</v>
      </c>
      <c r="F19" s="10">
        <f>'PILS Rates'!$C$11</f>
        <v>0</v>
      </c>
      <c r="H19" s="11">
        <f t="shared" si="1"/>
        <v>66.46341000000001</v>
      </c>
    </row>
    <row r="20" spans="1:8" ht="12.75">
      <c r="A20" s="7">
        <f>Worksheet!A19</f>
        <v>37773</v>
      </c>
      <c r="B20" s="7" t="str">
        <f>Worksheet!B19</f>
        <v>All consumption from Stats</v>
      </c>
      <c r="C20" s="8">
        <f>SUM(Worksheet!Q19)</f>
        <v>250.9</v>
      </c>
      <c r="D20" s="8">
        <f>SUM(Worksheet!R19)</f>
        <v>0</v>
      </c>
      <c r="E20" s="9">
        <f>'PILS Rates'!$B$11</f>
        <v>0.2649</v>
      </c>
      <c r="F20" s="10">
        <f>'PILS Rates'!$C$11</f>
        <v>0</v>
      </c>
      <c r="H20" s="11">
        <f t="shared" si="1"/>
        <v>66.46341000000001</v>
      </c>
    </row>
    <row r="21" spans="1:8" ht="12.75">
      <c r="A21" s="7">
        <f>Worksheet!A20</f>
        <v>37803</v>
      </c>
      <c r="B21" s="7" t="str">
        <f>Worksheet!B20</f>
        <v>All consumption from Stats</v>
      </c>
      <c r="C21" s="8">
        <f>SUM(Worksheet!Q20)</f>
        <v>250.9</v>
      </c>
      <c r="D21" s="8">
        <f>SUM(Worksheet!R20)</f>
        <v>0</v>
      </c>
      <c r="E21" s="9">
        <f>'PILS Rates'!$B$11</f>
        <v>0.2649</v>
      </c>
      <c r="F21" s="10">
        <f>'PILS Rates'!$C$11</f>
        <v>0</v>
      </c>
      <c r="H21" s="11">
        <f t="shared" si="1"/>
        <v>66.46341000000001</v>
      </c>
    </row>
    <row r="22" spans="1:8" ht="12.75">
      <c r="A22" s="7">
        <f>Worksheet!A21</f>
        <v>37834</v>
      </c>
      <c r="B22" s="7" t="str">
        <f>Worksheet!B21</f>
        <v>All consumption from Stats</v>
      </c>
      <c r="C22" s="8">
        <f>SUM(Worksheet!Q21)</f>
        <v>251.1</v>
      </c>
      <c r="D22" s="8">
        <f>SUM(Worksheet!R21)</f>
        <v>0</v>
      </c>
      <c r="E22" s="9">
        <f>'PILS Rates'!$B$11</f>
        <v>0.2649</v>
      </c>
      <c r="F22" s="10">
        <f>'PILS Rates'!$C$11</f>
        <v>0</v>
      </c>
      <c r="H22" s="11">
        <f t="shared" si="1"/>
        <v>66.51639</v>
      </c>
    </row>
    <row r="23" spans="1:8" ht="12.75">
      <c r="A23" s="7">
        <f>Worksheet!A22</f>
        <v>37865</v>
      </c>
      <c r="B23" s="7" t="str">
        <f>Worksheet!B22</f>
        <v>All consumption from Stats</v>
      </c>
      <c r="C23" s="8">
        <f>SUM(Worksheet!Q22)</f>
        <v>251.1</v>
      </c>
      <c r="D23" s="8">
        <f>SUM(Worksheet!R22)</f>
        <v>0</v>
      </c>
      <c r="E23" s="9">
        <f>'PILS Rates'!$B$11</f>
        <v>0.2649</v>
      </c>
      <c r="F23" s="10">
        <f>'PILS Rates'!$C$11</f>
        <v>0</v>
      </c>
      <c r="H23" s="11">
        <f t="shared" si="1"/>
        <v>66.51639</v>
      </c>
    </row>
    <row r="24" spans="1:8" ht="12.75">
      <c r="A24" s="7">
        <f>Worksheet!A23</f>
        <v>37895</v>
      </c>
      <c r="B24" s="7" t="str">
        <f>Worksheet!B23</f>
        <v>All consumption from Stats</v>
      </c>
      <c r="C24" s="8">
        <f>SUM(Worksheet!Q23)</f>
        <v>251.1</v>
      </c>
      <c r="D24" s="8">
        <f>SUM(Worksheet!R23)</f>
        <v>0</v>
      </c>
      <c r="E24" s="9">
        <f>'PILS Rates'!$B$11</f>
        <v>0.2649</v>
      </c>
      <c r="F24" s="10">
        <f>'PILS Rates'!$C$11</f>
        <v>0</v>
      </c>
      <c r="H24" s="11">
        <f t="shared" si="1"/>
        <v>66.51639</v>
      </c>
    </row>
    <row r="25" spans="1:8" ht="12.75">
      <c r="A25" s="7">
        <f>Worksheet!A24</f>
        <v>37926</v>
      </c>
      <c r="B25" s="7" t="str">
        <f>Worksheet!B24</f>
        <v>All consumption from Stats</v>
      </c>
      <c r="C25" s="8">
        <f>SUM(Worksheet!Q24)</f>
        <v>251.1</v>
      </c>
      <c r="D25" s="8">
        <f>SUM(Worksheet!R24)</f>
        <v>0</v>
      </c>
      <c r="E25" s="9">
        <f>'PILS Rates'!$B$11</f>
        <v>0.2649</v>
      </c>
      <c r="F25" s="10">
        <f>'PILS Rates'!$C$11</f>
        <v>0</v>
      </c>
      <c r="H25" s="11">
        <f t="shared" si="1"/>
        <v>66.51639</v>
      </c>
    </row>
    <row r="26" spans="1:8" ht="12.75">
      <c r="A26" s="7">
        <f>Worksheet!A25</f>
        <v>37956</v>
      </c>
      <c r="B26" s="7" t="str">
        <f>Worksheet!B25</f>
        <v>All consumption from Stats</v>
      </c>
      <c r="C26" s="8">
        <f>SUM(Worksheet!Q25)</f>
        <v>502.2</v>
      </c>
      <c r="D26" s="8">
        <f>SUM(Worksheet!R25)</f>
        <v>0</v>
      </c>
      <c r="E26" s="9">
        <f>'PILS Rates'!$B$11</f>
        <v>0.2649</v>
      </c>
      <c r="F26" s="10">
        <f>'PILS Rates'!$C$11</f>
        <v>0</v>
      </c>
      <c r="H26" s="11">
        <f t="shared" si="1"/>
        <v>133.03278</v>
      </c>
    </row>
    <row r="27" spans="1:2" ht="12.75">
      <c r="A27" s="7"/>
      <c r="B27" s="7"/>
    </row>
    <row r="28" spans="1:8" ht="12.75">
      <c r="A28" s="12" t="s">
        <v>0</v>
      </c>
      <c r="B28" s="12"/>
      <c r="C28" s="3"/>
      <c r="D28" s="3"/>
      <c r="E28" s="13"/>
      <c r="F28" s="14"/>
      <c r="G28" s="14"/>
      <c r="H28" s="6">
        <f>SUM(H15:H26)</f>
        <v>797.2430400000001</v>
      </c>
    </row>
    <row r="29" spans="1:2" ht="12.75">
      <c r="A29" s="7"/>
      <c r="B29" s="7"/>
    </row>
    <row r="30" spans="1:8" ht="12.75">
      <c r="A30" s="7">
        <f>Worksheet!A26</f>
        <v>37987</v>
      </c>
      <c r="B30" s="7" t="str">
        <f>Worksheet!B26</f>
        <v>All consumption from Stats</v>
      </c>
      <c r="C30" s="8">
        <f>SUM(Worksheet!Q26)</f>
        <v>0</v>
      </c>
      <c r="D30" s="8">
        <f>SUM(Worksheet!R26)</f>
        <v>0</v>
      </c>
      <c r="E30" s="9">
        <f>'PILS Rates'!$B$11</f>
        <v>0.2649</v>
      </c>
      <c r="F30" s="10">
        <f>'PILS Rates'!$C$11</f>
        <v>0</v>
      </c>
      <c r="H30" s="11">
        <f aca="true" t="shared" si="2" ref="H30:H45">(C30*E30)+(D30*F30)+(C30*G30)</f>
        <v>0</v>
      </c>
    </row>
    <row r="31" spans="1:8" ht="12.75">
      <c r="A31" s="7">
        <f>Worksheet!A27</f>
        <v>38018</v>
      </c>
      <c r="B31" s="7" t="str">
        <f>Worksheet!B27</f>
        <v>All consumption from Stats</v>
      </c>
      <c r="C31" s="8">
        <f>SUM(Worksheet!Q27)</f>
        <v>251.1</v>
      </c>
      <c r="D31" s="8">
        <f>SUM(Worksheet!R27)</f>
        <v>0</v>
      </c>
      <c r="E31" s="9">
        <f>'PILS Rates'!$B$11</f>
        <v>0.2649</v>
      </c>
      <c r="F31" s="10">
        <f>'PILS Rates'!$C$11</f>
        <v>0</v>
      </c>
      <c r="H31" s="11">
        <f t="shared" si="2"/>
        <v>66.51639</v>
      </c>
    </row>
    <row r="32" spans="1:8" ht="12.75">
      <c r="A32" s="7">
        <f>Worksheet!A28</f>
        <v>38047</v>
      </c>
      <c r="B32" s="7" t="str">
        <f>Worksheet!B28</f>
        <v>All consumption from Stats</v>
      </c>
      <c r="C32" s="8">
        <f>SUM(Worksheet!Q28)</f>
        <v>251.1</v>
      </c>
      <c r="D32" s="8">
        <f>SUM(Worksheet!R28)</f>
        <v>0</v>
      </c>
      <c r="E32" s="9">
        <f>'PILS Rates'!$B$11</f>
        <v>0.2649</v>
      </c>
      <c r="F32" s="10">
        <f>'PILS Rates'!$C$11</f>
        <v>0</v>
      </c>
      <c r="H32" s="11">
        <f t="shared" si="2"/>
        <v>66.51639</v>
      </c>
    </row>
    <row r="33" spans="1:8" ht="12.75">
      <c r="A33" s="7">
        <f>Worksheet!A29</f>
        <v>38078</v>
      </c>
      <c r="B33" s="7" t="str">
        <f>Worksheet!B29</f>
        <v>Pre Apr 1/04 cons only @ old rate</v>
      </c>
      <c r="C33" s="8">
        <f>SUM(Worksheet!Q29)</f>
        <v>253.8</v>
      </c>
      <c r="D33" s="8">
        <f>SUM(Worksheet!R29)</f>
        <v>0</v>
      </c>
      <c r="E33" s="9">
        <f>'PILS Rates'!$B$11</f>
        <v>0.2649</v>
      </c>
      <c r="F33" s="10">
        <f>'PILS Rates'!$C$11</f>
        <v>0</v>
      </c>
      <c r="H33" s="11">
        <f t="shared" si="2"/>
        <v>67.23162</v>
      </c>
    </row>
    <row r="34" spans="1:8" ht="12.75">
      <c r="A34" s="7">
        <f>Worksheet!A30</f>
        <v>38078</v>
      </c>
      <c r="B34" s="7" t="str">
        <f>Worksheet!B30</f>
        <v>Post Apr 1/04 cons only @ new rate</v>
      </c>
      <c r="C34" s="8">
        <f>SUM(Worksheet!Q30)</f>
        <v>0</v>
      </c>
      <c r="D34" s="8">
        <f>SUM(Worksheet!R30)</f>
        <v>0</v>
      </c>
      <c r="F34" s="9"/>
      <c r="G34" s="10">
        <f>'PILS Rates'!$D$11</f>
        <v>0.2034</v>
      </c>
      <c r="H34" s="11">
        <f t="shared" si="2"/>
        <v>0</v>
      </c>
    </row>
    <row r="35" spans="1:8" ht="12.75">
      <c r="A35" s="7">
        <f>Worksheet!A31</f>
        <v>38108</v>
      </c>
      <c r="B35" s="7" t="str">
        <f>Worksheet!B31</f>
        <v>Pre Apr 1/04 cons only @ old rate</v>
      </c>
      <c r="C35" s="8">
        <f>SUM(Worksheet!Q31)</f>
        <v>0</v>
      </c>
      <c r="D35" s="8">
        <f>SUM(Worksheet!R31)</f>
        <v>0</v>
      </c>
      <c r="E35" s="9">
        <f>'PILS Rates'!$B$11</f>
        <v>0.2649</v>
      </c>
      <c r="F35" s="10">
        <f>'PILS Rates'!$C$11</f>
        <v>0</v>
      </c>
      <c r="H35" s="11">
        <f t="shared" si="2"/>
        <v>0</v>
      </c>
    </row>
    <row r="36" spans="1:8" ht="12.75">
      <c r="A36" s="7">
        <f>Worksheet!A32</f>
        <v>38108</v>
      </c>
      <c r="B36" s="7" t="str">
        <f>Worksheet!B32</f>
        <v>Post Apr 1/04 cons only @ new rate</v>
      </c>
      <c r="C36" s="8">
        <f>SUM(Worksheet!Q32)</f>
        <v>257.5</v>
      </c>
      <c r="D36" s="8">
        <f>SUM(Worksheet!R32)</f>
        <v>0</v>
      </c>
      <c r="F36" s="9"/>
      <c r="G36" s="10">
        <f>'PILS Rates'!$D$11</f>
        <v>0.2034</v>
      </c>
      <c r="H36" s="11">
        <f t="shared" si="2"/>
        <v>52.3755</v>
      </c>
    </row>
    <row r="37" spans="1:8" ht="12.75">
      <c r="A37" s="7">
        <f>Worksheet!A33</f>
        <v>38139</v>
      </c>
      <c r="B37" s="7" t="str">
        <f>Worksheet!B33</f>
        <v>Pre Apr 1/04 cons only @ old rate</v>
      </c>
      <c r="C37" s="8">
        <f>SUM(Worksheet!Q33)</f>
        <v>0</v>
      </c>
      <c r="D37" s="8">
        <f>SUM(Worksheet!R33)</f>
        <v>0</v>
      </c>
      <c r="E37" s="9">
        <f>'PILS Rates'!$B$11</f>
        <v>0.2649</v>
      </c>
      <c r="F37" s="10">
        <f>'PILS Rates'!$C$11</f>
        <v>0</v>
      </c>
      <c r="H37" s="11">
        <f t="shared" si="2"/>
        <v>0</v>
      </c>
    </row>
    <row r="38" spans="1:8" ht="12.75">
      <c r="A38" s="7">
        <f>Worksheet!A34</f>
        <v>38139</v>
      </c>
      <c r="B38" s="7" t="str">
        <f>Worksheet!B34</f>
        <v>Post Apr 1/04 cons only @ new rate</v>
      </c>
      <c r="C38" s="8">
        <f>SUM(Worksheet!Q34)</f>
        <v>257.5</v>
      </c>
      <c r="D38" s="8">
        <f>SUM(Worksheet!R34)</f>
        <v>0</v>
      </c>
      <c r="F38" s="9"/>
      <c r="G38" s="10">
        <f>'PILS Rates'!$D$11</f>
        <v>0.2034</v>
      </c>
      <c r="H38" s="11">
        <f t="shared" si="2"/>
        <v>52.3755</v>
      </c>
    </row>
    <row r="39" spans="1:8" ht="12.75">
      <c r="A39" s="7">
        <f>Worksheet!A35</f>
        <v>38169</v>
      </c>
      <c r="B39" s="7" t="str">
        <f>Worksheet!B35</f>
        <v>All consumption from Stats</v>
      </c>
      <c r="C39" s="8">
        <f>SUM(Worksheet!Q35)</f>
        <v>257.5</v>
      </c>
      <c r="D39" s="8">
        <f>SUM(Worksheet!R35)</f>
        <v>0</v>
      </c>
      <c r="F39" s="9"/>
      <c r="G39" s="10">
        <f>'PILS Rates'!$D$11</f>
        <v>0.2034</v>
      </c>
      <c r="H39" s="11">
        <f t="shared" si="2"/>
        <v>52.3755</v>
      </c>
    </row>
    <row r="40" spans="1:8" ht="12.75">
      <c r="A40" s="7">
        <f>Worksheet!A36</f>
        <v>38200</v>
      </c>
      <c r="B40" s="7" t="str">
        <f>Worksheet!B36</f>
        <v>Pre Apr 1/04 cons only @ old rate</v>
      </c>
      <c r="C40" s="8">
        <f>SUM(Worksheet!Q36)</f>
        <v>0</v>
      </c>
      <c r="D40" s="8">
        <f>SUM(Worksheet!R36)</f>
        <v>0</v>
      </c>
      <c r="E40" s="9">
        <f>'PILS Rates'!$B$11</f>
        <v>0.2649</v>
      </c>
      <c r="F40" s="10">
        <f>'PILS Rates'!$C$11</f>
        <v>0</v>
      </c>
      <c r="H40" s="11">
        <f t="shared" si="2"/>
        <v>0</v>
      </c>
    </row>
    <row r="41" spans="1:8" ht="12.75">
      <c r="A41" s="7">
        <f>Worksheet!A37</f>
        <v>38200</v>
      </c>
      <c r="B41" s="7" t="str">
        <f>Worksheet!B37</f>
        <v>Post Apr 1/04 cons only @ new rate</v>
      </c>
      <c r="C41" s="8">
        <f>SUM(Worksheet!Q37)</f>
        <v>257.5</v>
      </c>
      <c r="D41" s="8">
        <f>SUM(Worksheet!R37)</f>
        <v>0</v>
      </c>
      <c r="F41" s="9"/>
      <c r="G41" s="10">
        <f>'PILS Rates'!$D$11</f>
        <v>0.2034</v>
      </c>
      <c r="H41" s="11">
        <f>(C41*E41)+(D41*F41)+(C41*G41)</f>
        <v>52.3755</v>
      </c>
    </row>
    <row r="42" spans="1:8" ht="12.75">
      <c r="A42" s="7">
        <f>Worksheet!A38</f>
        <v>38231</v>
      </c>
      <c r="B42" s="7" t="str">
        <f>Worksheet!B38</f>
        <v>All consumption from Stats</v>
      </c>
      <c r="C42" s="8">
        <f>SUM(Worksheet!Q38)</f>
        <v>259</v>
      </c>
      <c r="D42" s="8">
        <f>SUM(Worksheet!R38)</f>
        <v>0</v>
      </c>
      <c r="F42" s="9"/>
      <c r="G42" s="10">
        <f>'PILS Rates'!$D$11</f>
        <v>0.2034</v>
      </c>
      <c r="H42" s="11">
        <f>(C42*E42)+(D42*F42)+(C42*G42)</f>
        <v>52.6806</v>
      </c>
    </row>
    <row r="43" spans="1:8" ht="12.75">
      <c r="A43" s="7">
        <f>Worksheet!A39</f>
        <v>38261</v>
      </c>
      <c r="B43" s="7" t="str">
        <f>Worksheet!B39</f>
        <v>All consumption from Stats</v>
      </c>
      <c r="C43" s="8">
        <f>SUM(Worksheet!Q39)</f>
        <v>259</v>
      </c>
      <c r="D43" s="8">
        <f>SUM(Worksheet!R39)</f>
        <v>0</v>
      </c>
      <c r="F43" s="9"/>
      <c r="G43" s="10">
        <f>'PILS Rates'!$D$11</f>
        <v>0.2034</v>
      </c>
      <c r="H43" s="11">
        <f>(C43*E43)+(D43*F43)+(C43*G43)</f>
        <v>52.6806</v>
      </c>
    </row>
    <row r="44" spans="1:8" ht="12.75">
      <c r="A44" s="7">
        <f>Worksheet!A40</f>
        <v>38292</v>
      </c>
      <c r="B44" s="7" t="str">
        <f>Worksheet!B40</f>
        <v>All consumption from Stats</v>
      </c>
      <c r="C44" s="8">
        <f>SUM(Worksheet!Q40)</f>
        <v>259</v>
      </c>
      <c r="D44" s="8">
        <f>SUM(Worksheet!R40)</f>
        <v>0</v>
      </c>
      <c r="F44" s="9"/>
      <c r="G44" s="10">
        <f>'PILS Rates'!$D$11</f>
        <v>0.2034</v>
      </c>
      <c r="H44" s="11">
        <f t="shared" si="2"/>
        <v>52.6806</v>
      </c>
    </row>
    <row r="45" spans="1:8" ht="12.75">
      <c r="A45" s="7">
        <f>Worksheet!A41</f>
        <v>38322</v>
      </c>
      <c r="B45" s="7" t="str">
        <f>Worksheet!B41</f>
        <v>All consumption from Stats</v>
      </c>
      <c r="C45" s="8">
        <f>SUM(Worksheet!Q41)</f>
        <v>519</v>
      </c>
      <c r="D45" s="8">
        <f>SUM(Worksheet!R41)</f>
        <v>0</v>
      </c>
      <c r="F45" s="9"/>
      <c r="G45" s="10">
        <f>'PILS Rates'!$D$11</f>
        <v>0.2034</v>
      </c>
      <c r="H45" s="11">
        <f t="shared" si="2"/>
        <v>105.5646</v>
      </c>
    </row>
    <row r="46" spans="1:2" ht="12.75">
      <c r="A46" s="7"/>
      <c r="B46" s="7"/>
    </row>
    <row r="47" spans="1:8" ht="12.75">
      <c r="A47" s="12" t="s">
        <v>0</v>
      </c>
      <c r="B47" s="12"/>
      <c r="C47" s="3"/>
      <c r="D47" s="3"/>
      <c r="E47" s="13"/>
      <c r="F47" s="14"/>
      <c r="G47" s="14"/>
      <c r="H47" s="6">
        <f>SUM(H30:H45)</f>
        <v>673.3728000000001</v>
      </c>
    </row>
    <row r="48" spans="1:2" ht="12.75">
      <c r="A48" s="7"/>
      <c r="B48" s="7"/>
    </row>
    <row r="49" spans="1:8" ht="12.75">
      <c r="A49" s="7">
        <f>Worksheet!A42</f>
        <v>38353</v>
      </c>
      <c r="B49" s="7" t="str">
        <f>Worksheet!B42</f>
        <v>All consumption from Stats</v>
      </c>
      <c r="C49" s="8">
        <f>SUM(Worksheet!Q42)</f>
        <v>0</v>
      </c>
      <c r="D49" s="8">
        <f>SUM(Worksheet!R42)</f>
        <v>0</v>
      </c>
      <c r="G49" s="10">
        <f>'PILS Rates'!$D$11</f>
        <v>0.2034</v>
      </c>
      <c r="H49" s="11">
        <f aca="true" t="shared" si="3" ref="H49:H64">(C49*E49)+(D49*F49)+(C49*G49)</f>
        <v>0</v>
      </c>
    </row>
    <row r="50" spans="1:8" ht="12.75">
      <c r="A50" s="7">
        <f>Worksheet!A43</f>
        <v>38384</v>
      </c>
      <c r="B50" s="7" t="str">
        <f>Worksheet!B43</f>
        <v>All consumption from Stats</v>
      </c>
      <c r="C50" s="8">
        <f>SUM(Worksheet!Q43)</f>
        <v>260.7</v>
      </c>
      <c r="D50" s="8">
        <f>SUM(Worksheet!R43)</f>
        <v>0</v>
      </c>
      <c r="G50" s="10">
        <f>'PILS Rates'!$D$11</f>
        <v>0.2034</v>
      </c>
      <c r="H50" s="11">
        <f t="shared" si="3"/>
        <v>53.026379999999996</v>
      </c>
    </row>
    <row r="51" spans="1:8" ht="12.75">
      <c r="A51" s="7">
        <f>Worksheet!A44</f>
        <v>38412</v>
      </c>
      <c r="B51" s="7" t="str">
        <f>Worksheet!B44</f>
        <v>All consumption from Stats</v>
      </c>
      <c r="C51" s="8">
        <f>SUM(Worksheet!Q44)</f>
        <v>260.7</v>
      </c>
      <c r="D51" s="8">
        <f>SUM(Worksheet!R44)</f>
        <v>0</v>
      </c>
      <c r="G51" s="10">
        <f>'PILS Rates'!$D$11</f>
        <v>0.2034</v>
      </c>
      <c r="H51" s="11">
        <f t="shared" si="3"/>
        <v>53.026379999999996</v>
      </c>
    </row>
    <row r="52" spans="1:8" ht="12.75">
      <c r="A52" s="7">
        <f>Worksheet!A45</f>
        <v>38443</v>
      </c>
      <c r="B52" s="7" t="str">
        <f>Worksheet!B45</f>
        <v>Pre Apr 1/05 cons only @ old rate</v>
      </c>
      <c r="C52" s="8">
        <f>SUM(Worksheet!Q45)</f>
        <v>260.7</v>
      </c>
      <c r="D52" s="8">
        <f>SUM(Worksheet!R45)</f>
        <v>0</v>
      </c>
      <c r="G52" s="10">
        <f>'PILS Rates'!$D$11</f>
        <v>0.2034</v>
      </c>
      <c r="H52" s="11">
        <f t="shared" si="3"/>
        <v>53.026379999999996</v>
      </c>
    </row>
    <row r="53" spans="1:8" ht="12.75">
      <c r="A53" s="7">
        <f>Worksheet!A46</f>
        <v>38443</v>
      </c>
      <c r="B53" s="7" t="str">
        <f>Worksheet!B46</f>
        <v>Post Apr 1/05 cons only @ new rate</v>
      </c>
      <c r="C53" s="8">
        <f>SUM(Worksheet!Q46)</f>
        <v>0</v>
      </c>
      <c r="D53" s="8">
        <f>SUM(Worksheet!R46)</f>
        <v>0</v>
      </c>
      <c r="G53" s="10">
        <f>'PILS Rates'!$E$11</f>
        <v>0.1529</v>
      </c>
      <c r="H53" s="11">
        <f t="shared" si="3"/>
        <v>0</v>
      </c>
    </row>
    <row r="54" spans="1:8" ht="12.75">
      <c r="A54" s="7">
        <f>Worksheet!A47</f>
        <v>38473</v>
      </c>
      <c r="B54" s="7" t="str">
        <f>Worksheet!B47</f>
        <v>Pre Apr 1/05 cons only @ old rate</v>
      </c>
      <c r="C54" s="8">
        <f>SUM(Worksheet!Q47)</f>
        <v>0</v>
      </c>
      <c r="D54" s="8">
        <f>SUM(Worksheet!R47)</f>
        <v>0</v>
      </c>
      <c r="G54" s="10">
        <f>'PILS Rates'!$D$11</f>
        <v>0.2034</v>
      </c>
      <c r="H54" s="11">
        <f t="shared" si="3"/>
        <v>0</v>
      </c>
    </row>
    <row r="55" spans="1:8" ht="12.75">
      <c r="A55" s="7">
        <f>Worksheet!A48</f>
        <v>38473</v>
      </c>
      <c r="B55" s="7" t="str">
        <f>Worksheet!B48</f>
        <v>Post Apr 1/05 cons only @ new rate</v>
      </c>
      <c r="C55" s="8">
        <f>SUM(Worksheet!Q48)</f>
        <v>260.7</v>
      </c>
      <c r="D55" s="8">
        <f>SUM(Worksheet!R48)</f>
        <v>0</v>
      </c>
      <c r="G55" s="10">
        <f>'PILS Rates'!$E$11</f>
        <v>0.1529</v>
      </c>
      <c r="H55" s="11">
        <f t="shared" si="3"/>
        <v>39.86103</v>
      </c>
    </row>
    <row r="56" spans="1:8" ht="12.75">
      <c r="A56" s="7">
        <f>Worksheet!A49</f>
        <v>38504</v>
      </c>
      <c r="B56" s="7" t="str">
        <f>Worksheet!B49</f>
        <v>Pre Apr 1/05 cons only @ old rate</v>
      </c>
      <c r="C56" s="8">
        <f>SUM(Worksheet!Q49)</f>
        <v>0</v>
      </c>
      <c r="D56" s="8">
        <f>SUM(Worksheet!R49)</f>
        <v>0</v>
      </c>
      <c r="G56" s="10">
        <f>'PILS Rates'!$D$11</f>
        <v>0.2034</v>
      </c>
      <c r="H56" s="11">
        <f t="shared" si="3"/>
        <v>0</v>
      </c>
    </row>
    <row r="57" spans="1:8" ht="12.75">
      <c r="A57" s="7">
        <f>Worksheet!A50</f>
        <v>38504</v>
      </c>
      <c r="B57" s="7" t="str">
        <f>Worksheet!B50</f>
        <v>Post Apr 1/05 cons only @ new rate</v>
      </c>
      <c r="C57" s="8">
        <f>SUM(Worksheet!Q50)</f>
        <v>260.7</v>
      </c>
      <c r="D57" s="8">
        <f>SUM(Worksheet!R50)</f>
        <v>0</v>
      </c>
      <c r="G57" s="10">
        <f>'PILS Rates'!$E$11</f>
        <v>0.1529</v>
      </c>
      <c r="H57" s="11">
        <f t="shared" si="3"/>
        <v>39.86103</v>
      </c>
    </row>
    <row r="58" spans="1:8" ht="12.75">
      <c r="A58" s="7">
        <f>Worksheet!A51</f>
        <v>38534</v>
      </c>
      <c r="B58" s="7" t="str">
        <f>Worksheet!B51</f>
        <v>All consumption from Stats</v>
      </c>
      <c r="C58" s="8">
        <f>SUM(Worksheet!Q51)</f>
        <v>260.7</v>
      </c>
      <c r="D58" s="8">
        <f>SUM(Worksheet!R51)</f>
        <v>0</v>
      </c>
      <c r="G58" s="10">
        <f>'PILS Rates'!$E$11</f>
        <v>0.1529</v>
      </c>
      <c r="H58" s="11">
        <f t="shared" si="3"/>
        <v>39.86103</v>
      </c>
    </row>
    <row r="59" spans="1:8" ht="12.75">
      <c r="A59" s="7">
        <f>Worksheet!A52</f>
        <v>38565</v>
      </c>
      <c r="B59" s="7" t="str">
        <f>Worksheet!B52</f>
        <v>Pre Apr 1/05 cons only @ old rate</v>
      </c>
      <c r="C59" s="8">
        <f>SUM(Worksheet!Q52)</f>
        <v>0</v>
      </c>
      <c r="D59" s="8">
        <f>SUM(Worksheet!R52)</f>
        <v>0</v>
      </c>
      <c r="G59" s="10">
        <f>'PILS Rates'!$D$11</f>
        <v>0.2034</v>
      </c>
      <c r="H59" s="11">
        <f t="shared" si="3"/>
        <v>0</v>
      </c>
    </row>
    <row r="60" spans="1:8" ht="12.75">
      <c r="A60" s="7">
        <f>Worksheet!A53</f>
        <v>38565</v>
      </c>
      <c r="B60" s="7" t="str">
        <f>Worksheet!B53</f>
        <v>Post Apr 1/05 cons only @ new rate</v>
      </c>
      <c r="C60" s="8">
        <f>SUM(Worksheet!Q53)</f>
        <v>260.7</v>
      </c>
      <c r="D60" s="8">
        <f>SUM(Worksheet!R53)</f>
        <v>0</v>
      </c>
      <c r="G60" s="10">
        <f>'PILS Rates'!$E$11</f>
        <v>0.1529</v>
      </c>
      <c r="H60" s="11">
        <f>(C60*E60)+(D60*F60)+(C60*G60)</f>
        <v>39.86103</v>
      </c>
    </row>
    <row r="61" spans="1:8" ht="12.75">
      <c r="A61" s="7">
        <f>Worksheet!A54</f>
        <v>38596</v>
      </c>
      <c r="B61" s="7" t="str">
        <f>Worksheet!B54</f>
        <v>All consumption from Stats</v>
      </c>
      <c r="C61" s="8">
        <f>SUM(Worksheet!Q54)</f>
        <v>260.7</v>
      </c>
      <c r="D61" s="8">
        <f>SUM(Worksheet!R54)</f>
        <v>0</v>
      </c>
      <c r="G61" s="10">
        <f>'PILS Rates'!$E$11</f>
        <v>0.1529</v>
      </c>
      <c r="H61" s="11">
        <f>(C61*E61)+(D61*F61)+(C61*G61)</f>
        <v>39.86103</v>
      </c>
    </row>
    <row r="62" spans="1:8" ht="12.75">
      <c r="A62" s="7">
        <f>Worksheet!A55</f>
        <v>38626</v>
      </c>
      <c r="B62" s="7" t="str">
        <f>Worksheet!B55</f>
        <v>All consumption from Stats</v>
      </c>
      <c r="C62" s="8">
        <f>SUM(Worksheet!Q55)</f>
        <v>260.7</v>
      </c>
      <c r="D62" s="8">
        <f>SUM(Worksheet!R55)</f>
        <v>0</v>
      </c>
      <c r="G62" s="10">
        <f>'PILS Rates'!$E$11</f>
        <v>0.1529</v>
      </c>
      <c r="H62" s="11">
        <f t="shared" si="3"/>
        <v>39.86103</v>
      </c>
    </row>
    <row r="63" spans="1:8" ht="12.75">
      <c r="A63" s="7">
        <f>Worksheet!A56</f>
        <v>38657</v>
      </c>
      <c r="B63" s="7" t="str">
        <f>Worksheet!B56</f>
        <v>All consumption from Stats</v>
      </c>
      <c r="C63" s="8">
        <f>SUM(Worksheet!Q56)</f>
        <v>260.7</v>
      </c>
      <c r="D63" s="8">
        <f>SUM(Worksheet!R56)</f>
        <v>0</v>
      </c>
      <c r="G63" s="10">
        <f>'PILS Rates'!$E$11</f>
        <v>0.1529</v>
      </c>
      <c r="H63" s="11">
        <f t="shared" si="3"/>
        <v>39.86103</v>
      </c>
    </row>
    <row r="64" spans="1:8" ht="12.75">
      <c r="A64" s="7">
        <f>Worksheet!A57</f>
        <v>38687</v>
      </c>
      <c r="B64" s="7" t="str">
        <f>Worksheet!B57</f>
        <v>All consumption from Stats</v>
      </c>
      <c r="C64" s="8">
        <f>SUM(Worksheet!Q57)</f>
        <v>521.4</v>
      </c>
      <c r="D64" s="8">
        <f>SUM(Worksheet!R57)</f>
        <v>0</v>
      </c>
      <c r="G64" s="10">
        <f>'PILS Rates'!$E$11</f>
        <v>0.1529</v>
      </c>
      <c r="H64" s="11">
        <f t="shared" si="3"/>
        <v>79.72206</v>
      </c>
    </row>
    <row r="65" spans="1:2" ht="12.75">
      <c r="A65" s="7"/>
      <c r="B65" s="7"/>
    </row>
    <row r="66" spans="1:8" ht="12.75">
      <c r="A66" s="12" t="s">
        <v>0</v>
      </c>
      <c r="B66" s="12"/>
      <c r="C66" s="3"/>
      <c r="D66" s="3"/>
      <c r="E66" s="13"/>
      <c r="F66" s="14"/>
      <c r="G66" s="14"/>
      <c r="H66" s="6">
        <f>SUM(H49:H64)</f>
        <v>517.8284100000001</v>
      </c>
    </row>
    <row r="67" spans="1:2" ht="12.75">
      <c r="A67" s="7"/>
      <c r="B67" s="7"/>
    </row>
    <row r="68" spans="1:8" ht="12.75">
      <c r="A68" s="7">
        <f>Worksheet!A58</f>
        <v>38718</v>
      </c>
      <c r="B68" s="7" t="str">
        <f>Worksheet!B58</f>
        <v>All consumption from Stats</v>
      </c>
      <c r="C68" s="8">
        <f>SUM(Worksheet!Q58)</f>
        <v>0</v>
      </c>
      <c r="D68" s="8">
        <f>SUM(Worksheet!R58)</f>
        <v>0</v>
      </c>
      <c r="G68" s="10">
        <f>'PILS Rates'!$E$11</f>
        <v>0.1529</v>
      </c>
      <c r="H68" s="11">
        <f aca="true" t="shared" si="4" ref="H68:H76">(C68*E68)+(D68*F68)+(C68*G68)</f>
        <v>0</v>
      </c>
    </row>
    <row r="69" spans="1:8" ht="12.75">
      <c r="A69" s="7">
        <f>Worksheet!A59</f>
        <v>38749</v>
      </c>
      <c r="B69" s="7" t="str">
        <f>Worksheet!B59</f>
        <v>All consumption from Stats</v>
      </c>
      <c r="C69" s="8">
        <f>SUM(Worksheet!Q59)</f>
        <v>260.6</v>
      </c>
      <c r="D69" s="8">
        <f>SUM(Worksheet!R59)</f>
        <v>0</v>
      </c>
      <c r="G69" s="10">
        <f>'PILS Rates'!$E$11</f>
        <v>0.1529</v>
      </c>
      <c r="H69" s="11">
        <f t="shared" si="4"/>
        <v>39.845740000000006</v>
      </c>
    </row>
    <row r="70" spans="1:8" ht="12.75">
      <c r="A70" s="7">
        <f>Worksheet!A60</f>
        <v>38777</v>
      </c>
      <c r="B70" s="7" t="str">
        <f>Worksheet!B60</f>
        <v>All consumption from Stats</v>
      </c>
      <c r="C70" s="8">
        <f>SUM(Worksheet!Q60)</f>
        <v>260.4</v>
      </c>
      <c r="D70" s="8">
        <f>SUM(Worksheet!R60)</f>
        <v>0</v>
      </c>
      <c r="G70" s="10">
        <f>'PILS Rates'!$E$11</f>
        <v>0.1529</v>
      </c>
      <c r="H70" s="11">
        <f t="shared" si="4"/>
        <v>39.81516</v>
      </c>
    </row>
    <row r="71" spans="1:9" ht="12.75">
      <c r="A71" s="7">
        <f>Worksheet!A61</f>
        <v>38808</v>
      </c>
      <c r="B71" s="7" t="str">
        <f>Worksheet!B61</f>
        <v>All consumption from Stats</v>
      </c>
      <c r="C71" s="8">
        <f>SUM(Worksheet!Q61)</f>
        <v>260.4</v>
      </c>
      <c r="D71" s="8">
        <f>SUM(Worksheet!R61)</f>
        <v>0</v>
      </c>
      <c r="G71" s="10">
        <f>'PILS Rates'!$E$11</f>
        <v>0.1529</v>
      </c>
      <c r="H71" s="11">
        <f t="shared" si="4"/>
        <v>39.81516</v>
      </c>
      <c r="I71" s="15"/>
    </row>
    <row r="72" spans="1:9" ht="12.75">
      <c r="A72" s="7">
        <f>Worksheet!A62</f>
        <v>38838</v>
      </c>
      <c r="B72" s="7" t="str">
        <f>Worksheet!B62</f>
        <v>Pre Apr 30/06 cons only @ old rate</v>
      </c>
      <c r="C72" s="8">
        <f>SUM(Worksheet!Q62)</f>
        <v>260.4</v>
      </c>
      <c r="D72" s="8">
        <f>SUM(Worksheet!R62)</f>
        <v>0</v>
      </c>
      <c r="G72" s="10">
        <f>'PILS Rates'!$E$11</f>
        <v>0.1529</v>
      </c>
      <c r="H72" s="11">
        <f t="shared" si="4"/>
        <v>39.81516</v>
      </c>
      <c r="I72" s="15"/>
    </row>
    <row r="73" spans="1:9" ht="12.75">
      <c r="A73" s="7">
        <f>Worksheet!A63</f>
        <v>38869</v>
      </c>
      <c r="B73" s="7" t="str">
        <f>Worksheet!B63</f>
        <v>Pre Apr 30/06 cons only @ old rate</v>
      </c>
      <c r="C73" s="8">
        <f>SUM(Worksheet!Q63)</f>
        <v>0</v>
      </c>
      <c r="D73" s="8">
        <f>SUM(Worksheet!R63)</f>
        <v>0</v>
      </c>
      <c r="G73" s="10">
        <f>'PILS Rates'!$E$11</f>
        <v>0.1529</v>
      </c>
      <c r="H73" s="11">
        <f t="shared" si="4"/>
        <v>0</v>
      </c>
      <c r="I73" s="15"/>
    </row>
    <row r="74" spans="1:9" ht="12.75">
      <c r="A74" s="7">
        <f>Worksheet!A64</f>
        <v>38899</v>
      </c>
      <c r="B74" s="7" t="str">
        <f>Worksheet!B64</f>
        <v>Pre Apr 30/06 cons only @ old rate</v>
      </c>
      <c r="C74" s="8">
        <f>SUM(Worksheet!Q64)</f>
        <v>0</v>
      </c>
      <c r="D74" s="8">
        <f>SUM(Worksheet!R64)</f>
        <v>0</v>
      </c>
      <c r="G74" s="10">
        <f>'PILS Rates'!$E$11</f>
        <v>0.1529</v>
      </c>
      <c r="H74" s="11">
        <f t="shared" si="4"/>
        <v>0</v>
      </c>
      <c r="I74" s="15"/>
    </row>
    <row r="75" spans="1:9" ht="12.75">
      <c r="A75" s="7">
        <f>Worksheet!A65</f>
        <v>38930</v>
      </c>
      <c r="B75" s="7" t="str">
        <f>Worksheet!B65</f>
        <v>Pre Apr 30/06 cons only @ old rate</v>
      </c>
      <c r="C75" s="8">
        <f>SUM(Worksheet!Q65)</f>
        <v>0</v>
      </c>
      <c r="D75" s="8">
        <f>SUM(Worksheet!R65)</f>
        <v>0</v>
      </c>
      <c r="G75" s="10">
        <f>'PILS Rates'!$E$11</f>
        <v>0.1529</v>
      </c>
      <c r="H75" s="11">
        <f t="shared" si="4"/>
        <v>0</v>
      </c>
      <c r="I75" s="15"/>
    </row>
    <row r="76" spans="1:9" ht="12.75">
      <c r="A76" s="7">
        <f>Worksheet!A66</f>
        <v>38961</v>
      </c>
      <c r="B76" s="7" t="str">
        <f>Worksheet!B66</f>
        <v>Pre Apr 30/06 cons only @ old rate</v>
      </c>
      <c r="C76" s="8">
        <f>SUM(Worksheet!Q66)</f>
        <v>0</v>
      </c>
      <c r="D76" s="8">
        <f>SUM(Worksheet!R66)</f>
        <v>0</v>
      </c>
      <c r="G76" s="10">
        <f>'PILS Rates'!$E$11</f>
        <v>0.1529</v>
      </c>
      <c r="H76" s="11">
        <f t="shared" si="4"/>
        <v>0</v>
      </c>
      <c r="I76" s="15"/>
    </row>
    <row r="77" spans="1:2" ht="12.75">
      <c r="A77" s="7"/>
      <c r="B77" s="7"/>
    </row>
    <row r="78" spans="1:8" ht="12.75">
      <c r="A78" s="12" t="s">
        <v>0</v>
      </c>
      <c r="B78" s="12"/>
      <c r="C78" s="3"/>
      <c r="D78" s="3"/>
      <c r="E78" s="13"/>
      <c r="F78" s="14"/>
      <c r="G78" s="14"/>
      <c r="H78" s="6">
        <f>SUM(H68:H76)</f>
        <v>159.29121999999998</v>
      </c>
    </row>
    <row r="79" spans="1:2" ht="12.75">
      <c r="A79" s="7"/>
      <c r="B79" s="7"/>
    </row>
    <row r="80" spans="1:8" ht="12.75">
      <c r="A80" s="12" t="s">
        <v>12</v>
      </c>
      <c r="B80" s="12"/>
      <c r="H80" s="6">
        <f>SUM(H78,H66,H47,H28,H13)</f>
        <v>2971.8393700000006</v>
      </c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dsullivan</dc:creator>
  <cp:keywords/>
  <dc:description/>
  <cp:lastModifiedBy>Lenovo User</cp:lastModifiedBy>
  <cp:lastPrinted>2011-09-11T18:19:14Z</cp:lastPrinted>
  <dcterms:created xsi:type="dcterms:W3CDTF">2010-08-26T19:05:51Z</dcterms:created>
  <dcterms:modified xsi:type="dcterms:W3CDTF">2011-09-27T14:56:34Z</dcterms:modified>
  <cp:category/>
  <cp:version/>
  <cp:contentType/>
  <cp:contentStatus/>
</cp:coreProperties>
</file>