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810" windowWidth="14400" windowHeight="6855"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<sst xmlns="http://schemas.openxmlformats.org/spreadsheetml/2006/main" count="4870" uniqueCount="358">
  <si>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</si>
  <si>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</si>
  <si>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</si>
  <si>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</si>
  <si>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</si>
  <si>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</si>
  <si>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</si>
  <si>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</si>
  <si>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</si>
  <si>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</si>
  <si>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</si>
  <si>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</si>
  <si>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</si>
  <si>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</si>
  <si>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</si>
  <si>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</si>
  <si>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</si>
  <si>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</si>
  <si>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</si>
  <si>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</si>
  <si>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</si>
  <si>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</si>
  <si>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</si>
  <si>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</si>
  <si>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</si>
  <si>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</si>
  <si>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</si>
  <si>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</si>
  <si>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</si>
  <si>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</si>
  <si>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</si>
  <si>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</si>
  <si>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</si>
  <si>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</si>
  <si>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</si>
  <si>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</si>
  <si>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</si>
  <si>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</si>
  <si>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</si>
  <si>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</si>
  <si>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</si>
  <si>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</si>
  <si>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</si>
  <si>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</si>
  <si>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</si>
  <si>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</si>
  <si>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</si>
  <si>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</si>
  <si>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</si>
  <si>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</si>
  <si>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</si>
  <si>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</si>
  <si>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</si>
  <si>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</si>
  <si>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</si>
  <si>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</si>
  <si>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</si>
  <si>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</si>
  <si>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</si>
  <si>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</si>
  <si>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</si>
  <si>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</si>
  <si>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</si>
  <si>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</si>
  <si>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</si>
  <si>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</si>
  <si>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</si>
  <si>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</si>
  <si>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</si>
  <si>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</si>
  <si>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</si>
  <si>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</si>
  <si>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</si>
  <si>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</si>
  <si>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</si>
  <si>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</si>
  <si>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</si>
  <si>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</si>
  <si>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</si>
  <si>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</si>
  <si>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</si>
  <si>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</si>
  <si>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</si>
  <si>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</si>
  <si>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</si>
  <si>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</si>
  <si>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</si>
  <si>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</si>
  <si>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</si>
  <si>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</si>
  <si>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</si>
  <si>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</si>
  <si>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</si>
  <si>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</si>
  <si>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</si>
  <si>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</si>
  <si>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</si>
  <si>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</si>
  <si>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</si>
  <si>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</si>
  <si>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</si>
  <si>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</si>
  <si>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</si>
  <si>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</si>
  <si>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</si>
  <si>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</si>
  <si>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</si>
  <si>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</si>
  <si>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</si>
  <si>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</si>
  <si>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</si>
  <si>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</si>
  <si>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</si>
  <si>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</si>
  <si>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</si>
  <si>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</si>
  <si>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</si>
  <si>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</si>
  <si>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</si>
  <si>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</si>
  <si>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</si>
  <si>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</si>
  <si>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</si>
  <si>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</si>
  <si>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</si>
  <si>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</si>
  <si>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</si>
  <si>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</si>
  <si>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</si>
  <si>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</si>
  <si>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</si>
  <si>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</si>
  <si>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</si>
  <si>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</si>
  <si>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</si>
  <si>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</si>
  <si>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</si>
  <si>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</si>
  <si>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</si>
  <si>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</si>
  <si>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</si>
  <si>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</si>
  <si>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</si>
  <si>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</si>
  <si>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</si>
  <si>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</si>
  <si>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</si>
  <si>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</si>
  <si>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</si>
  <si>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</si>
  <si>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</si>
  <si>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</si>
  <si>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</si>
  <si>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</si>
  <si>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</si>
  <si>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</si>
  <si>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</si>
  <si>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</si>
  <si>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</si>
  <si>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</si>
  <si>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</si>
  <si>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</si>
  <si>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</si>
  <si>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</si>
  <si>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</si>
  <si>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</si>
  <si>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</si>
  <si>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</si>
  <si>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</si>
  <si>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</si>
  <si>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</si>
  <si>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</si>
  <si>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</si>
  <si>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</si>
  <si>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</si>
  <si>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</si>
  <si>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</si>
  <si>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</si>
  <si>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</si>
  <si>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</si>
  <si>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</si>
  <si>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</si>
  <si>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</si>
  <si>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</si>
  <si>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</si>
  <si>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</si>
  <si>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</si>
  <si>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</si>
  <si>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</si>
  <si>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</si>
  <si>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</si>
  <si>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</si>
  <si>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</si>
  <si>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</si>
  <si>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</si>
  <si>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</si>
  <si>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</si>
  <si>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</si>
  <si>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</si>
  <si>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</si>
  <si>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</si>
  <si>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</si>
  <si>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</si>
  <si>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</si>
  <si>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</si>
  <si>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</si>
  <si>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</si>
  <si>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</si>
  <si>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</si>
  <si>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</si>
  <si>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</si>
  <si>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</si>
  <si>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</si>
  <si>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</si>
  <si>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</si>
  <si>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</si>
  <si>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</si>
  <si>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</si>
  <si>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</si>
  <si>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</si>
  <si>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</si>
  <si>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</si>
  <si>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</si>
  <si>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</si>
  <si>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</si>
  <si>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</si>
  <si>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</si>
  <si>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</si>
  <si>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</si>
  <si>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</si>
  <si>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</si>
  <si>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</si>
  <si>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</si>
  <si>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</si>
  <si>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</si>
  <si>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</si>
  <si>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</si>
  <si>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</si>
  <si>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</si>
  <si>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</si>
  <si>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</si>
  <si>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</si>
  <si>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</si>
  <si>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</si>
  <si>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</si>
  <si>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</si>
  <si>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</si>
  <si>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</si>
  <si>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</si>
  <si>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</si>
  <si>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</si>
  <si>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</si>
  <si>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</si>
  <si>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</si>
  <si>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</si>
  <si>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</si>
  <si>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</si>
  <si>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</si>
  <si>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</si>
  <si>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</si>
  <si>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</si>
  <si>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</si>
  <si>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</si>
  <si>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</si>
  <si>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</si>
  <si>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</si>
  <si>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</si>
  <si>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</si>
  <si>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</si>
  <si>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</si>
  <si>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</si>
  <si>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</si>
  <si>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</si>
  <si>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</si>
  <si>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</si>
  <si>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</si>
  <si>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</si>
  <si>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</si>
  <si>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</si>
  <si>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</si>
  <si>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</si>
  <si>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</si>
  <si>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</si>
  <si>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</si>
  <si>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</si>
  <si>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</si>
  <si>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</si>
  <si>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</si>
  <si>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</si>
  <si>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</si>
  <si>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</si>
  <si>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</si>
  <si>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</si>
  <si>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</si>
  <si>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</si>
  <si>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</si>
  <si>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</si>
  <si>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</si>
  <si>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</si>
  <si>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</si>
  <si>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</si>
  <si>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</si>
  <si>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</si>
  <si>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</si>
  <si>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</si>
  <si>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</si>
  <si>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</si>
  <si>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</si>
  <si>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</si>
  <si>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</si>
  <si>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</si>
  <si>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</si>
  <si>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</si>
  <si>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</si>
  <si>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</si>
  <si>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</si>
  <si>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</si>
  <si>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</si>
  <si>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</si>
  <si>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</si>
  <si>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</si>
  <si>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</si>
  <si>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</si>
  <si>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</si>
  <si>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</si>
  <si>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</si>
  <si>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</si>
  <si>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</si>
  <si>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</si>
  <si>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</si>
  <si>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</si>
  <si>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</si>
  <si>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</si>
  <si>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</si>
  <si>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</si>
  <si>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</si>
  <si>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</si>
  <si>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</si>
  <si>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</si>
  <si>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</si>
  <si>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</si>
  <si>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</si>
  <si>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Centre Wellington Hydro Ltd.</t>
  </si>
  <si>
    <t>Florence Thiessen</t>
  </si>
  <si>
    <t>519-843-2900</t>
  </si>
  <si>
    <t>thiessen@cwhydro.ca</t>
  </si>
  <si>
    <t>1.0</t>
  </si>
  <si>
    <t>ED-1999-0269</t>
  </si>
  <si>
    <t>Dispute Involvement Charge</t>
  </si>
  <si>
    <t>Transformer Ownership Creidt -per kW of billing</t>
  </si>
  <si>
    <t>demand for transformation that meets utility</t>
  </si>
  <si>
    <t>transformer loss specificiations</t>
  </si>
  <si>
    <t>Primary Metering Adjustment</t>
  </si>
  <si>
    <t>1% of kW and kWh billed</t>
  </si>
  <si>
    <t>$0.60 per kW</t>
  </si>
  <si>
    <t xml:space="preserve">         </t>
  </si>
  <si>
    <t>&lt;--per LDC</t>
  </si>
  <si>
    <t>&lt;-per Board Staff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</si>
</sst>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mm/dd/yy"/>
  </numFmts>
  <fonts count="52">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8">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0" fontId="0" fillId="33" borderId="0" xfId="0" applyFill="1" applyAlignment="1" quotePrefix="1">
      <alignment/>
    </xf>
    <xf numFmtId="43" fontId="0" fillId="0" borderId="0" xfId="42" applyFont="1" applyAlignment="1">
      <alignment/>
    </xf>
    <xf numFmtId="187" fontId="0" fillId="0" borderId="0" xfId="42" applyNumberFormat="1" applyFont="1" applyAlignment="1">
      <alignment/>
    </xf>
    <xf numFmtId="0" fontId="17" fillId="0" borderId="0" xfId="0" applyFont="1" applyAlignment="1">
      <alignment/>
    </xf>
    <xf numFmtId="10" fontId="0" fillId="0" borderId="0" xfId="44" applyNumberFormat="1" applyFont="1" applyFill="1" applyAlignment="1">
      <alignment/>
    </xf>
    <xf numFmtId="0" fontId="0" fillId="0" borderId="0" xfId="0" applyFill="1" applyAlignment="1">
      <alignment/>
    </xf>
    <xf numFmtId="15" fontId="0" fillId="33" borderId="0" xfId="0" applyNumberFormat="1" applyFont="1" applyFill="1" applyAlignment="1">
      <alignment/>
    </xf>
    <xf numFmtId="174" fontId="0" fillId="36" borderId="0" xfId="0" applyNumberFormat="1" applyFill="1" applyAlignment="1">
      <alignment horizontal="center"/>
    </xf>
    <xf numFmtId="44" fontId="0" fillId="37" borderId="0" xfId="44" applyFill="1" applyAlignment="1">
      <alignment/>
    </xf>
    <xf numFmtId="0" fontId="0" fillId="37" borderId="0" xfId="0" applyFill="1" applyAlignment="1" quotePrefix="1">
      <alignment/>
    </xf>
    <xf numFmtId="44" fontId="0" fillId="38" borderId="0" xfId="44" applyFill="1" applyAlignment="1">
      <alignment/>
    </xf>
    <xf numFmtId="0" fontId="0" fillId="38" borderId="0" xfId="0" applyFill="1" applyAlignment="1" quotePrefix="1">
      <alignment/>
    </xf>
    <xf numFmtId="0" fontId="0" fillId="38"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iessen@cwhydro.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3"/>
  <sheetViews>
    <sheetView zoomScale="75" zoomScaleNormal="75" zoomScalePageLayoutView="0" workbookViewId="0" topLeftCell="A1">
      <selection activeCell="B9" sqref="B9"/>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3" t="s">
        <v>341</v>
      </c>
    </row>
    <row r="3" spans="1:6" ht="18">
      <c r="A3" s="139" t="s">
        <v>0</v>
      </c>
      <c r="B3" s="140" t="s">
        <v>342</v>
      </c>
      <c r="C3" s="134"/>
      <c r="E3" s="139" t="s">
        <v>1</v>
      </c>
      <c r="F3" s="135" t="s">
        <v>347</v>
      </c>
    </row>
    <row r="4" spans="1:6" ht="18">
      <c r="A4" s="139" t="s">
        <v>3</v>
      </c>
      <c r="B4" s="133" t="s">
        <v>343</v>
      </c>
      <c r="C4" s="17"/>
      <c r="E4" s="139" t="s">
        <v>4</v>
      </c>
      <c r="F4" s="133" t="s">
        <v>344</v>
      </c>
    </row>
    <row r="5" spans="1:3" ht="18">
      <c r="A5" s="30" t="s">
        <v>51</v>
      </c>
      <c r="B5" s="214" t="s">
        <v>345</v>
      </c>
      <c r="C5" s="17"/>
    </row>
    <row r="6" spans="1:3" ht="18">
      <c r="A6" s="139" t="s">
        <v>2</v>
      </c>
      <c r="B6" s="215" t="s">
        <v>346</v>
      </c>
      <c r="C6" s="17"/>
    </row>
    <row r="7" spans="1:2" ht="15.75">
      <c r="A7" s="30" t="s">
        <v>52</v>
      </c>
      <c r="B7" s="136">
        <v>37276</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0.0111</v>
      </c>
      <c r="C16" s="16"/>
      <c r="D16" s="19"/>
      <c r="E16" s="16"/>
      <c r="F16" s="16"/>
      <c r="G16" s="16"/>
    </row>
    <row r="17" spans="2:7" ht="12.75">
      <c r="B17" s="16"/>
      <c r="C17" s="16"/>
      <c r="D17" s="19"/>
      <c r="E17" s="16"/>
      <c r="F17" s="16"/>
      <c r="G17" s="16"/>
    </row>
    <row r="18" spans="1:7" ht="12.75">
      <c r="A18" t="s">
        <v>134</v>
      </c>
      <c r="B18" s="25">
        <v>12.61</v>
      </c>
      <c r="C18" s="16"/>
      <c r="D18" s="19"/>
      <c r="E18" s="16"/>
      <c r="F18" s="16"/>
      <c r="G18" s="16"/>
    </row>
    <row r="19" spans="2:7" ht="12.75">
      <c r="B19" s="16"/>
      <c r="C19" s="16"/>
      <c r="D19" s="19"/>
      <c r="E19" s="16"/>
      <c r="F19" s="16"/>
      <c r="G19" s="16"/>
    </row>
    <row r="20" spans="1:7" ht="12.75">
      <c r="A20" t="s">
        <v>9</v>
      </c>
      <c r="B20" s="24">
        <f>0.0662+0.0074</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f>B16</f>
        <v>0.0111</v>
      </c>
      <c r="C26" s="16"/>
      <c r="D26" s="16"/>
      <c r="E26" s="16"/>
      <c r="F26" s="16"/>
      <c r="G26" s="16"/>
    </row>
    <row r="27" spans="2:7" ht="12.75">
      <c r="B27" s="16"/>
      <c r="C27" s="16"/>
      <c r="D27" s="16"/>
      <c r="E27" s="16"/>
      <c r="F27" s="16"/>
      <c r="G27" s="16"/>
    </row>
    <row r="28" spans="1:7" ht="12.75">
      <c r="A28" t="s">
        <v>134</v>
      </c>
      <c r="B28" s="25">
        <f>B18</f>
        <v>12.61</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0.0146</v>
      </c>
      <c r="C39" s="16"/>
      <c r="D39" s="19"/>
      <c r="E39" s="16"/>
      <c r="F39" s="16"/>
      <c r="G39" s="16"/>
    </row>
    <row r="40" spans="2:7" ht="12.75">
      <c r="B40" s="16"/>
      <c r="C40" s="16"/>
      <c r="D40" s="19"/>
      <c r="E40" s="16"/>
      <c r="F40" s="16"/>
      <c r="G40" s="16"/>
    </row>
    <row r="41" spans="1:7" ht="12.75">
      <c r="A41" t="s">
        <v>134</v>
      </c>
      <c r="B41" s="25">
        <v>12.71</v>
      </c>
      <c r="C41" s="16"/>
      <c r="D41" s="19"/>
      <c r="E41" s="16"/>
      <c r="F41" s="16"/>
      <c r="G41" s="16"/>
    </row>
    <row r="42" spans="2:7" ht="12.75">
      <c r="B42" s="16"/>
      <c r="C42" s="16"/>
      <c r="D42" s="19"/>
      <c r="E42" s="16"/>
      <c r="F42" s="16"/>
      <c r="G42" s="16"/>
    </row>
    <row r="43" spans="1:7" ht="12.75">
      <c r="A43" t="s">
        <v>9</v>
      </c>
      <c r="B43" s="24">
        <f>0.0651+0.0074</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f>B39</f>
        <v>0.0146</v>
      </c>
      <c r="C49" s="16"/>
      <c r="D49" s="19"/>
      <c r="E49" s="16"/>
      <c r="F49" s="16"/>
      <c r="G49" s="16"/>
    </row>
    <row r="50" spans="2:7" ht="12.75">
      <c r="B50" s="16"/>
      <c r="C50" s="16"/>
      <c r="D50" s="19"/>
      <c r="E50" s="16"/>
      <c r="F50" s="16"/>
      <c r="G50" s="16"/>
    </row>
    <row r="51" spans="1:7" ht="12.75">
      <c r="A51" t="s">
        <v>133</v>
      </c>
      <c r="B51" s="25">
        <f>B41</f>
        <v>12.71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2.3519</v>
      </c>
      <c r="C62" s="16"/>
      <c r="D62" s="19"/>
      <c r="E62" s="16"/>
      <c r="F62" s="16"/>
      <c r="G62" s="16"/>
    </row>
    <row r="63" spans="2:7" ht="12.75">
      <c r="B63" s="16"/>
      <c r="C63" s="16"/>
      <c r="D63" s="19"/>
      <c r="E63" s="16"/>
      <c r="F63" s="16"/>
      <c r="G63" s="16"/>
    </row>
    <row r="64" spans="1:7" ht="12.75">
      <c r="A64" t="s">
        <v>133</v>
      </c>
      <c r="B64" s="25">
        <v>30.49</v>
      </c>
      <c r="C64" s="16"/>
      <c r="D64" s="19"/>
      <c r="E64" s="16"/>
      <c r="F64" s="16"/>
      <c r="G64" s="16"/>
    </row>
    <row r="65" spans="2:7" ht="12.75">
      <c r="B65" s="16"/>
      <c r="C65" s="16"/>
      <c r="D65" s="19"/>
      <c r="E65" s="16"/>
      <c r="F65" s="16"/>
      <c r="G65" s="16"/>
    </row>
    <row r="66" spans="1:7" ht="12.75">
      <c r="A66" t="s">
        <v>23</v>
      </c>
      <c r="B66" s="24">
        <v>8.3174</v>
      </c>
      <c r="C66" s="16"/>
      <c r="D66" s="19"/>
      <c r="E66" s="16"/>
      <c r="F66" s="16"/>
      <c r="G66" s="16"/>
    </row>
    <row r="67" spans="2:7" ht="12.75">
      <c r="B67" s="16"/>
      <c r="C67" s="16"/>
      <c r="D67" s="19"/>
      <c r="E67" s="16"/>
      <c r="F67" s="16"/>
      <c r="G67" s="16"/>
    </row>
    <row r="68" spans="1:7" ht="12.75">
      <c r="A68" t="s">
        <v>9</v>
      </c>
      <c r="B68" s="24">
        <f>0.0447+0.0074</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1.0878</v>
      </c>
      <c r="C87" s="16"/>
      <c r="D87" s="19"/>
      <c r="E87" s="16"/>
      <c r="F87" s="16"/>
      <c r="G87" s="16"/>
    </row>
    <row r="88" spans="2:7" ht="12.75">
      <c r="B88" s="16"/>
      <c r="C88" s="16"/>
      <c r="D88" s="19"/>
      <c r="E88" s="16"/>
      <c r="F88" s="16"/>
      <c r="G88" s="16"/>
    </row>
    <row r="89" spans="1:7" ht="12.75">
      <c r="A89" t="s">
        <v>135</v>
      </c>
      <c r="B89" s="25">
        <v>310.68</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7">
        <v>8.0133</v>
      </c>
      <c r="C94" s="127">
        <v>6.2869</v>
      </c>
      <c r="D94" s="127">
        <f>0.0636+0.0074</f>
        <v>0.07100000000000001</v>
      </c>
      <c r="E94" s="127">
        <f>0.035+0.0074</f>
        <v>0.04240000000000001</v>
      </c>
      <c r="F94" s="127">
        <f>0.0525+0.0074</f>
        <v>0.059899999999999995</v>
      </c>
      <c r="G94" s="127">
        <f>0.024+0.0074</f>
        <v>0.0314</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1.237</v>
      </c>
      <c r="C113" s="16"/>
      <c r="D113" s="19"/>
      <c r="E113" s="16"/>
      <c r="F113" s="16"/>
      <c r="G113" s="16"/>
    </row>
    <row r="114" spans="2:7" ht="12.75">
      <c r="B114" s="16"/>
      <c r="C114" s="16"/>
      <c r="D114" s="19"/>
      <c r="E114" s="16"/>
      <c r="F114" s="16"/>
      <c r="G114" s="16"/>
    </row>
    <row r="115" spans="1:7" ht="12.75">
      <c r="A115" t="s">
        <v>136</v>
      </c>
      <c r="B115" s="25">
        <v>0.46</v>
      </c>
      <c r="C115" s="16"/>
      <c r="D115" s="19"/>
      <c r="E115" s="16"/>
      <c r="F115" s="16"/>
      <c r="G115" s="16"/>
    </row>
    <row r="116" spans="2:7" ht="12.75">
      <c r="B116" s="16"/>
      <c r="C116" s="16"/>
      <c r="D116" s="19"/>
      <c r="E116" s="16"/>
      <c r="F116" s="16"/>
      <c r="G116" s="16"/>
    </row>
    <row r="117" spans="1:7" ht="12.75">
      <c r="A117" t="s">
        <v>23</v>
      </c>
      <c r="B117" s="24">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0</v>
      </c>
      <c r="C135" s="16"/>
      <c r="D135" s="19"/>
      <c r="E135" s="16"/>
      <c r="F135" s="16"/>
      <c r="G135" s="16"/>
    </row>
    <row r="136" spans="2:7" ht="12.75">
      <c r="B136" s="16"/>
      <c r="C136" s="16"/>
      <c r="D136" s="19"/>
      <c r="E136" s="16"/>
      <c r="F136" s="16"/>
      <c r="G136" s="16"/>
    </row>
    <row r="137" spans="1:7" ht="12.75">
      <c r="A137" t="s">
        <v>136</v>
      </c>
      <c r="B137" s="25">
        <v>0</v>
      </c>
      <c r="C137" s="16"/>
      <c r="D137" s="19"/>
      <c r="E137" s="16"/>
      <c r="F137" s="16"/>
      <c r="G137" s="16"/>
    </row>
    <row r="138" spans="2:7" ht="12.75">
      <c r="B138" s="16"/>
      <c r="C138" s="16"/>
      <c r="D138" s="19"/>
      <c r="E138" s="16"/>
      <c r="F138" s="16"/>
      <c r="G138" s="16"/>
    </row>
    <row r="139" spans="1:7" ht="12.75">
      <c r="A139" t="s">
        <v>23</v>
      </c>
      <c r="B139" s="24">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0.5922</v>
      </c>
      <c r="C145" s="16"/>
      <c r="D145" s="19"/>
      <c r="E145" s="16"/>
      <c r="F145" s="16"/>
      <c r="G145" s="16"/>
    </row>
    <row r="146" spans="2:7" ht="12.75">
      <c r="B146" s="16"/>
      <c r="C146" s="16"/>
      <c r="D146" s="19"/>
      <c r="E146" s="16"/>
      <c r="F146" s="16"/>
      <c r="G146" s="16"/>
    </row>
    <row r="147" spans="1:7" ht="12.75">
      <c r="A147" t="s">
        <v>136</v>
      </c>
      <c r="B147" s="25">
        <v>0.16</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32.0654</v>
      </c>
      <c r="C151" s="127">
        <v>12.7337</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53</v>
      </c>
    </row>
    <row r="158" ht="14.25">
      <c r="A158" s="166" t="s">
        <v>54</v>
      </c>
    </row>
    <row r="159" ht="14.25">
      <c r="A159" s="166" t="s">
        <v>100</v>
      </c>
    </row>
    <row r="162" spans="1:3" ht="12.75">
      <c r="A162" t="s">
        <v>33</v>
      </c>
      <c r="B162" s="6"/>
      <c r="C162" s="11">
        <v>0</v>
      </c>
    </row>
    <row r="163" spans="1:3" ht="12.75">
      <c r="A163" t="s">
        <v>34</v>
      </c>
      <c r="B163" s="6"/>
      <c r="C163" s="11">
        <v>10</v>
      </c>
    </row>
    <row r="164" spans="1:3" ht="12.75">
      <c r="A164" t="s">
        <v>35</v>
      </c>
      <c r="B164" s="6"/>
      <c r="C164" s="11"/>
    </row>
    <row r="165" spans="1:6" ht="12.75">
      <c r="A165" t="s">
        <v>36</v>
      </c>
      <c r="B165" s="6"/>
      <c r="C165" s="11">
        <v>0</v>
      </c>
      <c r="E165" s="218"/>
      <c r="F165" s="218"/>
    </row>
    <row r="166" spans="1:6" ht="12.75">
      <c r="A166" t="s">
        <v>37</v>
      </c>
      <c r="B166" s="6"/>
      <c r="C166" s="11">
        <v>0</v>
      </c>
      <c r="E166" s="218"/>
      <c r="F166" s="218"/>
    </row>
    <row r="167" spans="1:3" ht="12.75">
      <c r="A167" t="s">
        <v>38</v>
      </c>
      <c r="B167" s="6"/>
      <c r="C167" s="11">
        <v>0</v>
      </c>
    </row>
    <row r="168" spans="2:3" ht="12.75">
      <c r="B168" s="6"/>
      <c r="C168" s="11"/>
    </row>
    <row r="169" spans="1:3" ht="12.75">
      <c r="A169" t="s">
        <v>39</v>
      </c>
      <c r="B169" s="6"/>
      <c r="C169" s="11">
        <v>15</v>
      </c>
    </row>
    <row r="170" spans="1:3" ht="12.75">
      <c r="A170" t="s">
        <v>40</v>
      </c>
      <c r="B170" s="20"/>
      <c r="C170" s="74">
        <v>0.05</v>
      </c>
    </row>
    <row r="171" spans="1:3" ht="12.75">
      <c r="A171" t="s">
        <v>41</v>
      </c>
      <c r="B171" s="6"/>
      <c r="C171" s="11">
        <v>9</v>
      </c>
    </row>
    <row r="172" spans="1:3" ht="12.75">
      <c r="A172" t="s">
        <v>42</v>
      </c>
      <c r="B172" s="6"/>
      <c r="C172" s="11">
        <v>9</v>
      </c>
    </row>
    <row r="173" spans="2:3" ht="12.75">
      <c r="B173" s="6"/>
      <c r="C173" s="11"/>
    </row>
    <row r="174" spans="1:3" ht="12.75">
      <c r="A174" t="s">
        <v>43</v>
      </c>
      <c r="B174" s="6"/>
      <c r="C174" s="11"/>
    </row>
    <row r="175" spans="1:3" ht="12.75">
      <c r="A175" t="s">
        <v>44</v>
      </c>
      <c r="B175" s="6"/>
      <c r="C175" s="11">
        <v>20</v>
      </c>
    </row>
    <row r="176" spans="1:3" ht="12.75">
      <c r="A176" t="s">
        <v>45</v>
      </c>
      <c r="B176" s="6"/>
      <c r="C176" s="11">
        <v>50</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row r="187" spans="1:3" ht="12.75">
      <c r="A187" t="s">
        <v>348</v>
      </c>
      <c r="C187" s="11">
        <v>10</v>
      </c>
    </row>
    <row r="189" ht="12.75">
      <c r="A189" t="s">
        <v>349</v>
      </c>
    </row>
    <row r="190" ht="12.75">
      <c r="A190" t="s">
        <v>350</v>
      </c>
    </row>
    <row r="191" spans="1:3" ht="12.75">
      <c r="A191" t="s">
        <v>351</v>
      </c>
      <c r="C191" s="11" t="s">
        <v>354</v>
      </c>
    </row>
    <row r="193" spans="1:4" ht="12.75">
      <c r="A193" t="s">
        <v>352</v>
      </c>
      <c r="C193" s="133" t="s">
        <v>353</v>
      </c>
      <c r="D193" s="133"/>
    </row>
  </sheetData>
  <sheetProtection/>
  <hyperlinks>
    <hyperlink ref="B5" r:id="rId1" display="thiessen@cwhydro.ca"/>
  </hyperlinks>
  <printOptions/>
  <pageMargins left="0.44" right="0.17" top="0.58" bottom="0.58" header="0.32" footer="0.33"/>
  <pageSetup horizontalDpi="600" verticalDpi="600" orientation="portrait" scale="75" r:id="rId2"/>
  <headerFooter alignWithMargins="0">
    <oddHeader>&amp;C&amp;F</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N19" sqref="N19"/>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Centre Wellington Hydro Ltd.</v>
      </c>
      <c r="D3" s="134"/>
      <c r="F3" s="139" t="s">
        <v>1</v>
      </c>
      <c r="H3" s="144" t="str">
        <f>'1. 2001 Approved Rate Schedule'!F3</f>
        <v>ED-1999-0269</v>
      </c>
    </row>
    <row r="4" spans="1:8" ht="18">
      <c r="A4" s="139" t="s">
        <v>3</v>
      </c>
      <c r="B4" s="1"/>
      <c r="C4" s="133" t="str">
        <f>'1. 2001 Approved Rate Schedule'!B4</f>
        <v>Florence Thiessen</v>
      </c>
      <c r="D4" s="17"/>
      <c r="F4" s="139" t="s">
        <v>4</v>
      </c>
      <c r="H4" s="144" t="str">
        <f>'1. 2001 Approved Rate Schedule'!F4</f>
        <v>519-843-2900</v>
      </c>
    </row>
    <row r="5" spans="1:4" ht="18">
      <c r="A5" s="30" t="s">
        <v>51</v>
      </c>
      <c r="B5" s="17"/>
      <c r="C5" s="133" t="str">
        <f>'1. 2001 Approved Rate Schedule'!B5</f>
        <v>thiessen@cwhydro.ca</v>
      </c>
      <c r="D5" s="17"/>
    </row>
    <row r="6" spans="1:4" ht="18">
      <c r="A6" s="139" t="s">
        <v>2</v>
      </c>
      <c r="B6" s="1"/>
      <c r="C6" s="133" t="str">
        <f>'1. 2001 Approved Rate Schedule'!B6</f>
        <v>1.0</v>
      </c>
      <c r="D6" s="17"/>
    </row>
    <row r="7" spans="1:4" ht="18">
      <c r="A7" s="30" t="s">
        <v>52</v>
      </c>
      <c r="B7" s="17"/>
      <c r="C7" s="136">
        <f>'1. 2001 Approved Rate Schedule'!B7</f>
        <v>37276</v>
      </c>
      <c r="D7" s="17"/>
    </row>
    <row r="8" ht="18">
      <c r="D8" s="17"/>
    </row>
    <row r="9" ht="14.25">
      <c r="A9" s="166" t="s">
        <v>233</v>
      </c>
    </row>
    <row r="10" ht="14.25">
      <c r="A10" s="166" t="s">
        <v>235</v>
      </c>
    </row>
    <row r="11" ht="12.75">
      <c r="A11" t="s">
        <v>109</v>
      </c>
    </row>
    <row r="13" spans="1:11" ht="18">
      <c r="A13" s="123" t="s">
        <v>314</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12.61</v>
      </c>
      <c r="H23" s="27" t="s">
        <v>22</v>
      </c>
      <c r="I23" s="37" t="s">
        <v>125</v>
      </c>
      <c r="J23" s="37" t="s">
        <v>125</v>
      </c>
      <c r="K23" s="77">
        <f>'9. 2002PILs Proxy Adder Sch'!B$18</f>
        <v>12.85004326074483</v>
      </c>
      <c r="L23" s="77"/>
      <c r="M23" s="77"/>
    </row>
    <row r="24" spans="3:13" ht="25.5">
      <c r="C24" s="27" t="s">
        <v>111</v>
      </c>
      <c r="D24">
        <v>100</v>
      </c>
      <c r="E24" s="108">
        <f>'1. 2001 Approved Rate Schedule'!B$16</f>
        <v>0.0111</v>
      </c>
      <c r="F24" s="77">
        <f>D24*E24</f>
        <v>1.11</v>
      </c>
      <c r="H24" s="27" t="s">
        <v>111</v>
      </c>
      <c r="I24">
        <f>D24</f>
        <v>100</v>
      </c>
      <c r="J24" s="130">
        <f>'9. 2002PILs Proxy Adder Sch'!B$16</f>
        <v>0.01589701696524467</v>
      </c>
      <c r="K24" s="77">
        <f>I24*J24</f>
        <v>1.5897016965244668</v>
      </c>
      <c r="L24" s="77"/>
      <c r="M24" s="77"/>
    </row>
    <row r="25" spans="3:13" ht="38.25">
      <c r="C25" s="27" t="s">
        <v>123</v>
      </c>
      <c r="D25">
        <v>100</v>
      </c>
      <c r="E25" s="108">
        <f>'1. 2001 Approved Rate Schedule'!B$20</f>
        <v>0.0736</v>
      </c>
      <c r="F25" s="77">
        <f>D25*E25</f>
        <v>7.359999999999999</v>
      </c>
      <c r="H25" s="27" t="s">
        <v>123</v>
      </c>
      <c r="I25">
        <f>D25</f>
        <v>100</v>
      </c>
      <c r="J25" s="131">
        <f>E25</f>
        <v>0.0736</v>
      </c>
      <c r="K25" s="77">
        <f>I25*J25</f>
        <v>7.359999999999999</v>
      </c>
      <c r="L25" s="77"/>
      <c r="M25" s="77"/>
    </row>
    <row r="26" spans="3:10" ht="12.75">
      <c r="C26" s="7"/>
      <c r="H26" s="7"/>
      <c r="J26" s="131"/>
    </row>
    <row r="27" spans="3:14" ht="12.75">
      <c r="C27" t="s">
        <v>121</v>
      </c>
      <c r="F27" s="132">
        <f>SUM(F23:F25)</f>
        <v>21.08</v>
      </c>
      <c r="H27" t="s">
        <v>124</v>
      </c>
      <c r="K27" s="132">
        <f>SUM(K23:K25)</f>
        <v>21.799744957269297</v>
      </c>
      <c r="L27" s="77"/>
      <c r="M27" s="77">
        <f>K27-F27</f>
        <v>0.7197449572692989</v>
      </c>
      <c r="N27" s="112">
        <f>K27/F27-1</f>
        <v>0.03414349892169355</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12.61</v>
      </c>
      <c r="H32" s="27" t="s">
        <v>22</v>
      </c>
      <c r="I32" s="37" t="s">
        <v>125</v>
      </c>
      <c r="J32" s="37" t="s">
        <v>125</v>
      </c>
      <c r="K32" s="77">
        <f>'9. 2002PILs Proxy Adder Sch'!B$18</f>
        <v>12.85004326074483</v>
      </c>
      <c r="L32" s="77"/>
      <c r="M32" s="77"/>
    </row>
    <row r="33" spans="3:13" ht="25.5">
      <c r="C33" s="27" t="s">
        <v>111</v>
      </c>
      <c r="D33">
        <v>250</v>
      </c>
      <c r="E33" s="108">
        <f>'1. 2001 Approved Rate Schedule'!B$16</f>
        <v>0.0111</v>
      </c>
      <c r="F33" s="77">
        <f>D33*E33</f>
        <v>2.775</v>
      </c>
      <c r="H33" s="27" t="s">
        <v>111</v>
      </c>
      <c r="I33">
        <f>D33</f>
        <v>250</v>
      </c>
      <c r="J33" s="130">
        <f>'9. 2002PILs Proxy Adder Sch'!B$16</f>
        <v>0.01589701696524467</v>
      </c>
      <c r="K33" s="77">
        <f>I33*J33</f>
        <v>3.9742542413111672</v>
      </c>
      <c r="L33" s="77"/>
      <c r="M33" s="77"/>
    </row>
    <row r="34" spans="3:13" ht="38.25">
      <c r="C34" s="27" t="s">
        <v>123</v>
      </c>
      <c r="D34">
        <v>250</v>
      </c>
      <c r="E34" s="108">
        <f>'1. 2001 Approved Rate Schedule'!B$20</f>
        <v>0.0736</v>
      </c>
      <c r="F34" s="77">
        <f>D34*E34</f>
        <v>18.4</v>
      </c>
      <c r="H34" s="27" t="s">
        <v>123</v>
      </c>
      <c r="I34">
        <f>D34</f>
        <v>250</v>
      </c>
      <c r="J34" s="131">
        <f>E34</f>
        <v>0.0736</v>
      </c>
      <c r="K34" s="77">
        <f>I34*J34</f>
        <v>18.4</v>
      </c>
      <c r="L34" s="77"/>
      <c r="M34" s="77"/>
    </row>
    <row r="35" spans="3:10" ht="12.75">
      <c r="C35" s="7"/>
      <c r="H35" s="7"/>
      <c r="J35" s="131"/>
    </row>
    <row r="36" spans="3:14" ht="12.75">
      <c r="C36" t="s">
        <v>121</v>
      </c>
      <c r="F36" s="132">
        <f>SUM(F32:F34)</f>
        <v>33.785</v>
      </c>
      <c r="H36" t="s">
        <v>124</v>
      </c>
      <c r="K36" s="132">
        <f>SUM(K32:K34)</f>
        <v>35.224297502056</v>
      </c>
      <c r="L36" s="77"/>
      <c r="M36" s="77">
        <f>K36-F36</f>
        <v>1.4392975020560002</v>
      </c>
      <c r="N36" s="112">
        <f>K36/F36-1</f>
        <v>0.04260167240065127</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12.61</v>
      </c>
      <c r="H41" s="27" t="s">
        <v>22</v>
      </c>
      <c r="I41" s="37" t="s">
        <v>125</v>
      </c>
      <c r="J41" s="37" t="s">
        <v>125</v>
      </c>
      <c r="K41" s="77">
        <f>'9. 2002PILs Proxy Adder Sch'!B$18</f>
        <v>12.85004326074483</v>
      </c>
      <c r="L41" s="77"/>
      <c r="M41" s="77"/>
    </row>
    <row r="42" spans="3:13" ht="25.5">
      <c r="C42" s="27" t="s">
        <v>111</v>
      </c>
      <c r="D42">
        <v>500</v>
      </c>
      <c r="E42" s="108">
        <f>'1. 2001 Approved Rate Schedule'!B$16</f>
        <v>0.0111</v>
      </c>
      <c r="F42" s="77">
        <f>D42*E42</f>
        <v>5.55</v>
      </c>
      <c r="H42" s="27" t="s">
        <v>111</v>
      </c>
      <c r="I42">
        <f>D42</f>
        <v>500</v>
      </c>
      <c r="J42" s="130">
        <f>'9. 2002PILs Proxy Adder Sch'!B$16</f>
        <v>0.01589701696524467</v>
      </c>
      <c r="K42" s="77">
        <f>I42*J42</f>
        <v>7.9485084826223344</v>
      </c>
      <c r="L42" s="77"/>
      <c r="M42" s="77"/>
    </row>
    <row r="43" spans="3:13" ht="38.25">
      <c r="C43" s="27" t="s">
        <v>123</v>
      </c>
      <c r="D43">
        <f>D42</f>
        <v>500</v>
      </c>
      <c r="E43" s="108">
        <f>'1. 2001 Approved Rate Schedule'!B$20</f>
        <v>0.0736</v>
      </c>
      <c r="F43" s="77">
        <f>D43*E43</f>
        <v>36.8</v>
      </c>
      <c r="H43" s="27" t="s">
        <v>123</v>
      </c>
      <c r="I43">
        <f>D43</f>
        <v>500</v>
      </c>
      <c r="J43" s="131">
        <f>E43</f>
        <v>0.0736</v>
      </c>
      <c r="K43" s="77">
        <f>I43*J43</f>
        <v>36.8</v>
      </c>
      <c r="L43" s="77"/>
      <c r="M43" s="77"/>
    </row>
    <row r="44" spans="3:10" ht="12.75">
      <c r="C44" s="7"/>
      <c r="H44" s="7"/>
      <c r="J44" s="131"/>
    </row>
    <row r="45" spans="3:14" ht="12.75">
      <c r="C45" t="s">
        <v>121</v>
      </c>
      <c r="F45" s="132">
        <f>SUM(F41:F43)</f>
        <v>54.959999999999994</v>
      </c>
      <c r="H45" t="s">
        <v>124</v>
      </c>
      <c r="K45" s="132">
        <f>SUM(K41:K43)</f>
        <v>57.59855174336716</v>
      </c>
      <c r="L45" s="77"/>
      <c r="M45" s="77">
        <f>K45-F45</f>
        <v>2.6385517433671666</v>
      </c>
      <c r="N45" s="112">
        <f>K45/F45-1</f>
        <v>0.048008583394599125</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12.61</v>
      </c>
      <c r="H50" s="27" t="s">
        <v>22</v>
      </c>
      <c r="I50" s="37" t="s">
        <v>125</v>
      </c>
      <c r="J50" s="37" t="s">
        <v>125</v>
      </c>
      <c r="K50" s="77">
        <f>'9. 2002PILs Proxy Adder Sch'!B$18</f>
        <v>12.85004326074483</v>
      </c>
      <c r="L50" s="77"/>
      <c r="M50" s="77"/>
    </row>
    <row r="51" spans="3:13" ht="25.5">
      <c r="C51" s="27" t="s">
        <v>111</v>
      </c>
      <c r="D51">
        <v>750</v>
      </c>
      <c r="E51" s="108">
        <f>'1. 2001 Approved Rate Schedule'!B$16</f>
        <v>0.0111</v>
      </c>
      <c r="F51" s="77">
        <f>D51*E51</f>
        <v>8.325000000000001</v>
      </c>
      <c r="H51" s="27" t="s">
        <v>111</v>
      </c>
      <c r="I51">
        <f>D51</f>
        <v>750</v>
      </c>
      <c r="J51" s="130">
        <f>'9. 2002PILs Proxy Adder Sch'!B$16</f>
        <v>0.01589701696524467</v>
      </c>
      <c r="K51" s="77">
        <f>I51*J51</f>
        <v>11.922762723933502</v>
      </c>
      <c r="L51" s="77"/>
      <c r="M51" s="77"/>
    </row>
    <row r="52" spans="3:13" ht="38.25">
      <c r="C52" s="27" t="s">
        <v>123</v>
      </c>
      <c r="D52">
        <f>D51</f>
        <v>750</v>
      </c>
      <c r="E52" s="108">
        <f>'1. 2001 Approved Rate Schedule'!B$20</f>
        <v>0.0736</v>
      </c>
      <c r="F52" s="77">
        <f>D52*E52</f>
        <v>55.199999999999996</v>
      </c>
      <c r="H52" s="27" t="s">
        <v>123</v>
      </c>
      <c r="I52">
        <f>D52</f>
        <v>750</v>
      </c>
      <c r="J52" s="131">
        <f>E52</f>
        <v>0.0736</v>
      </c>
      <c r="K52" s="77">
        <f>I52*J52</f>
        <v>55.199999999999996</v>
      </c>
      <c r="L52" s="77"/>
      <c r="M52" s="77"/>
    </row>
    <row r="53" spans="3:10" ht="12.75">
      <c r="C53" s="7"/>
      <c r="H53" s="7"/>
      <c r="J53" s="131"/>
    </row>
    <row r="54" spans="3:14" ht="12.75">
      <c r="C54" t="s">
        <v>121</v>
      </c>
      <c r="F54" s="132">
        <f>SUM(F50:F52)</f>
        <v>76.13499999999999</v>
      </c>
      <c r="H54" t="s">
        <v>124</v>
      </c>
      <c r="K54" s="132">
        <f>SUM(K50:K52)</f>
        <v>79.97280598467833</v>
      </c>
      <c r="L54" s="77"/>
      <c r="M54" s="77">
        <f>K54-F54</f>
        <v>3.83780598467834</v>
      </c>
      <c r="N54" s="112">
        <f>K54/F54-1</f>
        <v>0.05040790680604634</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12.61</v>
      </c>
      <c r="H59" s="27" t="s">
        <v>22</v>
      </c>
      <c r="I59" s="37" t="s">
        <v>125</v>
      </c>
      <c r="J59" s="37" t="s">
        <v>125</v>
      </c>
      <c r="K59" s="77">
        <f>'9. 2002PILs Proxy Adder Sch'!B$18</f>
        <v>12.85004326074483</v>
      </c>
      <c r="L59" s="77"/>
      <c r="M59" s="77"/>
    </row>
    <row r="60" spans="3:13" ht="25.5">
      <c r="C60" s="27" t="s">
        <v>111</v>
      </c>
      <c r="D60">
        <v>1000</v>
      </c>
      <c r="E60" s="108">
        <f>'1. 2001 Approved Rate Schedule'!B$16</f>
        <v>0.0111</v>
      </c>
      <c r="F60" s="77">
        <f>D60*E60</f>
        <v>11.1</v>
      </c>
      <c r="H60" s="27" t="s">
        <v>111</v>
      </c>
      <c r="I60">
        <f>D60</f>
        <v>1000</v>
      </c>
      <c r="J60" s="130">
        <f>'9. 2002PILs Proxy Adder Sch'!B$16</f>
        <v>0.01589701696524467</v>
      </c>
      <c r="K60" s="77">
        <f>I60*J60</f>
        <v>15.897016965244669</v>
      </c>
      <c r="L60" s="77"/>
      <c r="M60" s="77"/>
    </row>
    <row r="61" spans="3:13" ht="38.25">
      <c r="C61" s="27" t="s">
        <v>123</v>
      </c>
      <c r="D61">
        <f>D60</f>
        <v>1000</v>
      </c>
      <c r="E61" s="108">
        <f>'1. 2001 Approved Rate Schedule'!B$20</f>
        <v>0.0736</v>
      </c>
      <c r="F61" s="77">
        <f>D61*E61</f>
        <v>73.6</v>
      </c>
      <c r="H61" s="27" t="s">
        <v>123</v>
      </c>
      <c r="I61">
        <f>D61</f>
        <v>1000</v>
      </c>
      <c r="J61" s="131">
        <f>E61</f>
        <v>0.0736</v>
      </c>
      <c r="K61" s="77">
        <f>I61*J61</f>
        <v>73.6</v>
      </c>
      <c r="L61" s="77"/>
      <c r="M61" s="77"/>
    </row>
    <row r="62" spans="3:10" ht="12.75">
      <c r="C62" s="7"/>
      <c r="H62" s="7"/>
      <c r="J62" s="131"/>
    </row>
    <row r="63" spans="3:14" ht="12.75">
      <c r="C63" t="s">
        <v>121</v>
      </c>
      <c r="F63" s="132">
        <f>SUM(F59:F61)</f>
        <v>97.31</v>
      </c>
      <c r="H63" t="s">
        <v>124</v>
      </c>
      <c r="K63" s="132">
        <f>SUM(K59:K61)</f>
        <v>102.3470602259895</v>
      </c>
      <c r="L63" s="77"/>
      <c r="M63" s="77">
        <f>K63-F63</f>
        <v>5.037060225989492</v>
      </c>
      <c r="N63" s="112">
        <f>K63/F63-1</f>
        <v>0.05176302770516372</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12.61</v>
      </c>
      <c r="H68" s="27" t="s">
        <v>22</v>
      </c>
      <c r="I68" s="37" t="s">
        <v>125</v>
      </c>
      <c r="J68" s="37" t="s">
        <v>125</v>
      </c>
      <c r="K68" s="77">
        <f>'9. 2002PILs Proxy Adder Sch'!B$18</f>
        <v>12.85004326074483</v>
      </c>
      <c r="L68" s="77"/>
      <c r="M68" s="77"/>
    </row>
    <row r="69" spans="3:13" ht="25.5">
      <c r="C69" s="27" t="s">
        <v>111</v>
      </c>
      <c r="D69">
        <v>1500</v>
      </c>
      <c r="E69" s="108">
        <f>'1. 2001 Approved Rate Schedule'!B$16</f>
        <v>0.0111</v>
      </c>
      <c r="F69" s="77">
        <f>D69*E69</f>
        <v>16.650000000000002</v>
      </c>
      <c r="H69" s="27" t="s">
        <v>111</v>
      </c>
      <c r="I69">
        <f>D69</f>
        <v>1500</v>
      </c>
      <c r="J69" s="130">
        <f>'9. 2002PILs Proxy Adder Sch'!B$16</f>
        <v>0.01589701696524467</v>
      </c>
      <c r="K69" s="77">
        <f>I69*J69</f>
        <v>23.845525447867004</v>
      </c>
      <c r="L69" s="77"/>
      <c r="M69" s="77"/>
    </row>
    <row r="70" spans="3:13" ht="38.25">
      <c r="C70" s="27" t="s">
        <v>123</v>
      </c>
      <c r="D70">
        <f>D69</f>
        <v>1500</v>
      </c>
      <c r="E70" s="108">
        <f>'1. 2001 Approved Rate Schedule'!B$20</f>
        <v>0.0736</v>
      </c>
      <c r="F70" s="77">
        <f>D70*E70</f>
        <v>110.39999999999999</v>
      </c>
      <c r="H70" s="27" t="s">
        <v>123</v>
      </c>
      <c r="I70">
        <f>D70</f>
        <v>1500</v>
      </c>
      <c r="J70" s="131">
        <f>E70</f>
        <v>0.0736</v>
      </c>
      <c r="K70" s="77">
        <f>I70*J70</f>
        <v>110.39999999999999</v>
      </c>
      <c r="L70" s="77"/>
      <c r="M70" s="77"/>
    </row>
    <row r="71" spans="3:10" ht="12.75">
      <c r="C71" s="7"/>
      <c r="H71" s="7"/>
      <c r="J71" s="131"/>
    </row>
    <row r="72" spans="3:14" ht="12.75">
      <c r="C72" t="s">
        <v>121</v>
      </c>
      <c r="F72" s="132">
        <f>SUM(F68:F70)</f>
        <v>139.66</v>
      </c>
      <c r="H72" t="s">
        <v>124</v>
      </c>
      <c r="K72" s="132">
        <f>SUM(K68:K70)</f>
        <v>147.09556870861184</v>
      </c>
      <c r="L72" s="77"/>
      <c r="M72" s="77">
        <f>K72-F72</f>
        <v>7.435568708611839</v>
      </c>
      <c r="N72" s="112">
        <f>K72/F72-1</f>
        <v>0.053240503426978725</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12.61</v>
      </c>
      <c r="H77" s="27" t="s">
        <v>22</v>
      </c>
      <c r="I77" s="37" t="s">
        <v>125</v>
      </c>
      <c r="J77" s="37" t="s">
        <v>125</v>
      </c>
      <c r="K77" s="77">
        <f>'9. 2002PILs Proxy Adder Sch'!B$18</f>
        <v>12.85004326074483</v>
      </c>
      <c r="L77" s="77"/>
      <c r="M77" s="77"/>
    </row>
    <row r="78" spans="3:13" ht="25.5">
      <c r="C78" s="27" t="s">
        <v>111</v>
      </c>
      <c r="D78">
        <v>2000</v>
      </c>
      <c r="E78" s="108">
        <f>'1. 2001 Approved Rate Schedule'!B$16</f>
        <v>0.0111</v>
      </c>
      <c r="F78" s="77">
        <f>D78*E78</f>
        <v>22.2</v>
      </c>
      <c r="H78" s="27" t="s">
        <v>111</v>
      </c>
      <c r="I78">
        <f>D78</f>
        <v>2000</v>
      </c>
      <c r="J78" s="130">
        <f>'9. 2002PILs Proxy Adder Sch'!B$16</f>
        <v>0.01589701696524467</v>
      </c>
      <c r="K78" s="77">
        <f>I78*J78</f>
        <v>31.794033930489338</v>
      </c>
      <c r="L78" s="77"/>
      <c r="M78" s="77"/>
    </row>
    <row r="79" spans="3:13" ht="38.25">
      <c r="C79" s="27" t="s">
        <v>123</v>
      </c>
      <c r="D79">
        <f>D78</f>
        <v>2000</v>
      </c>
      <c r="E79" s="108">
        <f>'1. 2001 Approved Rate Schedule'!B$20</f>
        <v>0.0736</v>
      </c>
      <c r="F79" s="77">
        <f>D79*E79</f>
        <v>147.2</v>
      </c>
      <c r="H79" s="27" t="s">
        <v>123</v>
      </c>
      <c r="I79">
        <f>D79</f>
        <v>2000</v>
      </c>
      <c r="J79" s="131">
        <f>E79</f>
        <v>0.0736</v>
      </c>
      <c r="K79" s="77">
        <f>I79*J79</f>
        <v>147.2</v>
      </c>
      <c r="L79" s="77"/>
      <c r="M79" s="77"/>
    </row>
    <row r="80" spans="3:10" ht="12.75">
      <c r="C80" s="7"/>
      <c r="H80" s="7"/>
      <c r="J80" s="131"/>
    </row>
    <row r="81" spans="3:14" ht="12.75">
      <c r="C81" t="s">
        <v>121</v>
      </c>
      <c r="F81" s="132">
        <f>SUM(F77:F79)</f>
        <v>182.01</v>
      </c>
      <c r="H81" t="s">
        <v>124</v>
      </c>
      <c r="K81" s="132">
        <f>SUM(K77:K79)</f>
        <v>191.84407719123416</v>
      </c>
      <c r="L81" s="77"/>
      <c r="M81" s="77">
        <f>K81-F81</f>
        <v>9.834077191234172</v>
      </c>
      <c r="N81" s="112">
        <f>K81/F81-1</f>
        <v>0.054030422456096794</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12.71</v>
      </c>
      <c r="H91" s="27" t="s">
        <v>22</v>
      </c>
      <c r="I91" s="37" t="s">
        <v>125</v>
      </c>
      <c r="J91" s="37" t="s">
        <v>125</v>
      </c>
      <c r="K91" s="77">
        <f>'9. 2002PILs Proxy Adder Sch'!B$41</f>
        <v>12.951672758710751</v>
      </c>
      <c r="L91" s="77"/>
      <c r="M91" s="77"/>
    </row>
    <row r="92" spans="3:13" ht="25.5">
      <c r="C92" s="27" t="s">
        <v>111</v>
      </c>
      <c r="D92">
        <v>1000</v>
      </c>
      <c r="E92" s="108">
        <f>'1. 2001 Approved Rate Schedule'!B$39</f>
        <v>0.0146</v>
      </c>
      <c r="F92" s="77">
        <f>D92*E92</f>
        <v>14.6</v>
      </c>
      <c r="H92" s="27" t="s">
        <v>111</v>
      </c>
      <c r="I92">
        <f>D92</f>
        <v>1000</v>
      </c>
      <c r="J92" s="130">
        <f>'9. 2002PILs Proxy Adder Sch'!B$39</f>
        <v>0.017881951167543646</v>
      </c>
      <c r="K92" s="77">
        <f>I92*J92</f>
        <v>17.881951167543647</v>
      </c>
      <c r="L92" s="77"/>
      <c r="M92" s="77"/>
    </row>
    <row r="93" spans="3:13" ht="38.25">
      <c r="C93" s="27" t="s">
        <v>123</v>
      </c>
      <c r="D93">
        <f>D92</f>
        <v>1000</v>
      </c>
      <c r="E93" s="108">
        <f>'1. 2001 Approved Rate Schedule'!B$43</f>
        <v>0.07250000000000001</v>
      </c>
      <c r="F93" s="77">
        <f>D93*E93</f>
        <v>72.50000000000001</v>
      </c>
      <c r="H93" s="27" t="s">
        <v>123</v>
      </c>
      <c r="I93">
        <f>D93</f>
        <v>1000</v>
      </c>
      <c r="J93" s="131">
        <f>E93</f>
        <v>0.07250000000000001</v>
      </c>
      <c r="K93" s="77">
        <f>I93*J93</f>
        <v>72.50000000000001</v>
      </c>
      <c r="L93" s="77"/>
      <c r="M93" s="77"/>
    </row>
    <row r="94" spans="3:10" ht="12.75">
      <c r="C94" s="7"/>
      <c r="H94" s="7"/>
      <c r="J94" s="131"/>
    </row>
    <row r="95" spans="3:14" ht="12.75">
      <c r="C95" t="s">
        <v>121</v>
      </c>
      <c r="F95" s="132">
        <f>SUM(F91:F93)</f>
        <v>99.81000000000002</v>
      </c>
      <c r="H95" t="s">
        <v>124</v>
      </c>
      <c r="K95" s="132">
        <f>SUM(K91:K93)</f>
        <v>103.3336239262544</v>
      </c>
      <c r="L95" s="77"/>
      <c r="M95" s="77">
        <f>K95-F95</f>
        <v>3.5236239262543876</v>
      </c>
      <c r="N95" s="112">
        <f>K95/F95-1</f>
        <v>0.03530331556211186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12.71</v>
      </c>
      <c r="H100" s="27" t="s">
        <v>22</v>
      </c>
      <c r="I100" s="37" t="s">
        <v>125</v>
      </c>
      <c r="J100" s="37" t="s">
        <v>125</v>
      </c>
      <c r="K100" s="77">
        <f>'9. 2002PILs Proxy Adder Sch'!B$41</f>
        <v>12.951672758710751</v>
      </c>
      <c r="L100" s="77"/>
      <c r="M100" s="77"/>
    </row>
    <row r="101" spans="3:13" ht="25.5">
      <c r="C101" s="27" t="s">
        <v>111</v>
      </c>
      <c r="D101">
        <v>2000</v>
      </c>
      <c r="E101" s="108">
        <f>'1. 2001 Approved Rate Schedule'!B$39</f>
        <v>0.0146</v>
      </c>
      <c r="F101" s="77">
        <f>D101*E101</f>
        <v>29.2</v>
      </c>
      <c r="H101" s="27" t="s">
        <v>111</v>
      </c>
      <c r="I101">
        <f>D101</f>
        <v>2000</v>
      </c>
      <c r="J101" s="130">
        <f>'9. 2002PILs Proxy Adder Sch'!B$39</f>
        <v>0.017881951167543646</v>
      </c>
      <c r="K101" s="77">
        <f>I101*J101</f>
        <v>35.763902335087295</v>
      </c>
      <c r="L101" s="77"/>
      <c r="M101" s="77"/>
    </row>
    <row r="102" spans="3:13" ht="38.25">
      <c r="C102" s="27" t="s">
        <v>123</v>
      </c>
      <c r="D102">
        <f>D101</f>
        <v>2000</v>
      </c>
      <c r="E102" s="108">
        <f>'1. 2001 Approved Rate Schedule'!B$43</f>
        <v>0.07250000000000001</v>
      </c>
      <c r="F102" s="77">
        <f>D102*E102</f>
        <v>145.00000000000003</v>
      </c>
      <c r="H102" s="27" t="s">
        <v>123</v>
      </c>
      <c r="I102">
        <f>D102</f>
        <v>2000</v>
      </c>
      <c r="J102" s="131">
        <f>E102</f>
        <v>0.07250000000000001</v>
      </c>
      <c r="K102" s="77">
        <f>I102*J102</f>
        <v>145.00000000000003</v>
      </c>
      <c r="L102" s="77"/>
      <c r="M102" s="77"/>
    </row>
    <row r="103" spans="3:10" ht="12.75">
      <c r="C103" s="7"/>
      <c r="H103" s="7"/>
      <c r="J103" s="131"/>
    </row>
    <row r="104" spans="3:14" ht="12.75">
      <c r="C104" t="s">
        <v>121</v>
      </c>
      <c r="F104" s="132">
        <f>SUM(F100:F102)</f>
        <v>186.91000000000003</v>
      </c>
      <c r="H104" t="s">
        <v>124</v>
      </c>
      <c r="K104" s="132">
        <f>SUM(K100:K102)</f>
        <v>193.71557509379807</v>
      </c>
      <c r="L104" s="77"/>
      <c r="M104" s="77">
        <f>K104-F104</f>
        <v>6.805575093798041</v>
      </c>
      <c r="N104" s="112">
        <f>K104/F104-1</f>
        <v>0.03641097369749091</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12.71</v>
      </c>
      <c r="H109" s="27" t="s">
        <v>22</v>
      </c>
      <c r="I109" s="37" t="s">
        <v>125</v>
      </c>
      <c r="J109" s="37" t="s">
        <v>125</v>
      </c>
      <c r="K109" s="77">
        <f>'9. 2002PILs Proxy Adder Sch'!B$41</f>
        <v>12.951672758710751</v>
      </c>
      <c r="L109" s="77"/>
      <c r="M109" s="77"/>
    </row>
    <row r="110" spans="3:13" ht="25.5">
      <c r="C110" s="27" t="s">
        <v>111</v>
      </c>
      <c r="D110">
        <v>5000</v>
      </c>
      <c r="E110" s="108">
        <f>'1. 2001 Approved Rate Schedule'!B$39</f>
        <v>0.0146</v>
      </c>
      <c r="F110" s="77">
        <f>D110*E110</f>
        <v>73</v>
      </c>
      <c r="H110" s="27" t="s">
        <v>111</v>
      </c>
      <c r="I110">
        <f>D110</f>
        <v>5000</v>
      </c>
      <c r="J110" s="130">
        <f>'9. 2002PILs Proxy Adder Sch'!B$39</f>
        <v>0.017881951167543646</v>
      </c>
      <c r="K110" s="77">
        <f>I110*J110</f>
        <v>89.40975583771822</v>
      </c>
      <c r="L110" s="77"/>
      <c r="M110" s="77"/>
    </row>
    <row r="111" spans="3:13" ht="38.25">
      <c r="C111" s="27" t="s">
        <v>123</v>
      </c>
      <c r="D111">
        <f>D110</f>
        <v>5000</v>
      </c>
      <c r="E111" s="108">
        <f>'1. 2001 Approved Rate Schedule'!B$43</f>
        <v>0.07250000000000001</v>
      </c>
      <c r="F111" s="77">
        <f>D111*E111</f>
        <v>362.50000000000006</v>
      </c>
      <c r="H111" s="27" t="s">
        <v>123</v>
      </c>
      <c r="I111">
        <f>D111</f>
        <v>5000</v>
      </c>
      <c r="J111" s="131">
        <f>E111</f>
        <v>0.07250000000000001</v>
      </c>
      <c r="K111" s="77">
        <f>I111*J111</f>
        <v>362.50000000000006</v>
      </c>
      <c r="L111" s="77"/>
      <c r="M111" s="77"/>
    </row>
    <row r="112" spans="3:10" ht="12.75">
      <c r="C112" s="7"/>
      <c r="H112" s="7"/>
      <c r="J112" s="131"/>
    </row>
    <row r="113" spans="3:14" ht="12.75">
      <c r="C113" t="s">
        <v>121</v>
      </c>
      <c r="F113" s="132">
        <f>SUM(F109:F111)</f>
        <v>448.21000000000004</v>
      </c>
      <c r="H113" t="s">
        <v>124</v>
      </c>
      <c r="K113" s="132">
        <f>SUM(K109:K111)</f>
        <v>464.86142859642905</v>
      </c>
      <c r="L113" s="77"/>
      <c r="M113" s="77">
        <f>K113-F113</f>
        <v>16.651428596429014</v>
      </c>
      <c r="N113" s="112">
        <f>K113/F113-1</f>
        <v>0.03715095289357451</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12.71</v>
      </c>
      <c r="H118" s="27" t="s">
        <v>22</v>
      </c>
      <c r="I118" s="37" t="s">
        <v>125</v>
      </c>
      <c r="J118" s="37" t="s">
        <v>125</v>
      </c>
      <c r="K118" s="77">
        <f>'9. 2002PILs Proxy Adder Sch'!B$41</f>
        <v>12.951672758710751</v>
      </c>
      <c r="L118" s="77"/>
      <c r="M118" s="77"/>
    </row>
    <row r="119" spans="3:13" ht="25.5">
      <c r="C119" s="27" t="s">
        <v>111</v>
      </c>
      <c r="D119">
        <v>10000</v>
      </c>
      <c r="E119" s="108">
        <f>'1. 2001 Approved Rate Schedule'!B$39</f>
        <v>0.0146</v>
      </c>
      <c r="F119" s="77">
        <f>D119*E119</f>
        <v>146</v>
      </c>
      <c r="H119" s="27" t="s">
        <v>111</v>
      </c>
      <c r="I119">
        <f>D119</f>
        <v>10000</v>
      </c>
      <c r="J119" s="130">
        <f>'9. 2002PILs Proxy Adder Sch'!B$39</f>
        <v>0.017881951167543646</v>
      </c>
      <c r="K119" s="77">
        <f>I119*J119</f>
        <v>178.81951167543644</v>
      </c>
      <c r="L119" s="77"/>
      <c r="M119" s="77"/>
    </row>
    <row r="120" spans="3:13" ht="38.25">
      <c r="C120" s="27" t="s">
        <v>123</v>
      </c>
      <c r="D120">
        <f>D119</f>
        <v>10000</v>
      </c>
      <c r="E120" s="108">
        <f>'1. 2001 Approved Rate Schedule'!B$43</f>
        <v>0.07250000000000001</v>
      </c>
      <c r="F120" s="77">
        <f>D120*E120</f>
        <v>725.0000000000001</v>
      </c>
      <c r="H120" s="27" t="s">
        <v>123</v>
      </c>
      <c r="I120">
        <f>D120</f>
        <v>10000</v>
      </c>
      <c r="J120" s="131">
        <f>E120</f>
        <v>0.07250000000000001</v>
      </c>
      <c r="K120" s="77">
        <f>I120*J120</f>
        <v>725.0000000000001</v>
      </c>
      <c r="L120" s="77"/>
      <c r="M120" s="77"/>
    </row>
    <row r="121" spans="3:10" ht="12.75">
      <c r="C121" s="7"/>
      <c r="H121" s="7"/>
      <c r="J121" s="131"/>
    </row>
    <row r="122" spans="3:14" ht="12.75">
      <c r="C122" t="s">
        <v>121</v>
      </c>
      <c r="F122" s="132">
        <f>SUM(F118:F120)</f>
        <v>883.7100000000002</v>
      </c>
      <c r="H122" t="s">
        <v>124</v>
      </c>
      <c r="K122" s="132">
        <f>SUM(K118:K120)</f>
        <v>916.7711844341472</v>
      </c>
      <c r="L122" s="77"/>
      <c r="M122" s="77">
        <f>K122-F122</f>
        <v>33.061184434147094</v>
      </c>
      <c r="N122" s="112">
        <f>K122/F122-1</f>
        <v>0.03741180300567737</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12.71</v>
      </c>
      <c r="H127" s="27" t="s">
        <v>22</v>
      </c>
      <c r="I127" s="37" t="s">
        <v>125</v>
      </c>
      <c r="J127" s="37" t="s">
        <v>125</v>
      </c>
      <c r="K127" s="77">
        <f>'9. 2002PILs Proxy Adder Sch'!B$41</f>
        <v>12.951672758710751</v>
      </c>
      <c r="L127" s="77"/>
      <c r="M127" s="77"/>
    </row>
    <row r="128" spans="3:13" ht="25.5">
      <c r="C128" s="27" t="s">
        <v>111</v>
      </c>
      <c r="D128">
        <v>20000</v>
      </c>
      <c r="E128" s="108">
        <f>'1. 2001 Approved Rate Schedule'!B$39</f>
        <v>0.0146</v>
      </c>
      <c r="F128" s="77">
        <f>D128*E128</f>
        <v>292</v>
      </c>
      <c r="H128" s="27" t="s">
        <v>111</v>
      </c>
      <c r="I128">
        <f>D128</f>
        <v>20000</v>
      </c>
      <c r="J128" s="130">
        <f>'9. 2002PILs Proxy Adder Sch'!B$39</f>
        <v>0.017881951167543646</v>
      </c>
      <c r="K128" s="77">
        <f>I128*J128</f>
        <v>357.6390233508729</v>
      </c>
      <c r="L128" s="77"/>
      <c r="M128" s="77"/>
    </row>
    <row r="129" spans="3:13" ht="38.25">
      <c r="C129" s="27" t="s">
        <v>123</v>
      </c>
      <c r="D129">
        <f>D128</f>
        <v>20000</v>
      </c>
      <c r="E129" s="108">
        <f>'1. 2001 Approved Rate Schedule'!B$43</f>
        <v>0.07250000000000001</v>
      </c>
      <c r="F129" s="77">
        <f>D129*E129</f>
        <v>1450.0000000000002</v>
      </c>
      <c r="H129" s="27" t="s">
        <v>123</v>
      </c>
      <c r="I129">
        <f>D129</f>
        <v>20000</v>
      </c>
      <c r="J129" s="131">
        <f>E129</f>
        <v>0.07250000000000001</v>
      </c>
      <c r="K129" s="77">
        <f>I129*J129</f>
        <v>1450.0000000000002</v>
      </c>
      <c r="L129" s="77"/>
      <c r="M129" s="77"/>
    </row>
    <row r="130" spans="3:10" ht="12.75">
      <c r="C130" s="7"/>
      <c r="H130" s="7"/>
      <c r="J130" s="131"/>
    </row>
    <row r="131" spans="3:14" ht="12.75">
      <c r="C131" t="s">
        <v>121</v>
      </c>
      <c r="F131" s="132">
        <f>SUM(F127:F129)</f>
        <v>1754.7100000000003</v>
      </c>
      <c r="H131" t="s">
        <v>124</v>
      </c>
      <c r="K131" s="132">
        <f>SUM(K127:K129)</f>
        <v>1820.5906961095839</v>
      </c>
      <c r="L131" s="77"/>
      <c r="M131" s="77">
        <f>K131-F131</f>
        <v>65.8806961095836</v>
      </c>
      <c r="N131" s="112">
        <f>K131/F131-1</f>
        <v>0.037545062209472624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30.49</v>
      </c>
      <c r="H142" s="27" t="s">
        <v>22</v>
      </c>
      <c r="I142" s="37" t="s">
        <v>125</v>
      </c>
      <c r="J142" s="37" t="s">
        <v>125</v>
      </c>
      <c r="K142" s="77">
        <f>'9. 2002PILs Proxy Adder Sch'!B$64</f>
        <v>31.069993105690738</v>
      </c>
      <c r="L142" s="77"/>
      <c r="M142" s="77"/>
    </row>
    <row r="143" spans="3:13" ht="25.5">
      <c r="C143" s="27" t="s">
        <v>114</v>
      </c>
      <c r="D143">
        <v>0</v>
      </c>
      <c r="E143" s="108">
        <f>'1. 2001 Approved Rate Schedule'!B$62</f>
        <v>2.3519</v>
      </c>
      <c r="F143" s="77">
        <f>D143*E143</f>
        <v>0</v>
      </c>
      <c r="H143" s="27" t="s">
        <v>114</v>
      </c>
      <c r="I143">
        <f>D143</f>
        <v>0</v>
      </c>
      <c r="J143" s="130">
        <f>'9. 2002PILs Proxy Adder Sch'!B$62</f>
        <v>2.785193127704687</v>
      </c>
      <c r="K143" s="77">
        <f>I143*J143</f>
        <v>0</v>
      </c>
      <c r="L143" s="77"/>
      <c r="M143" s="77"/>
    </row>
    <row r="144" spans="3:13" ht="25.5">
      <c r="C144" s="27" t="s">
        <v>127</v>
      </c>
      <c r="D144">
        <f>D143</f>
        <v>0</v>
      </c>
      <c r="E144" s="108">
        <f>'1. 2001 Approved Rate Schedule'!B$66</f>
        <v>8.3174</v>
      </c>
      <c r="F144" s="77">
        <f>D144*E144</f>
        <v>0</v>
      </c>
      <c r="H144" s="27" t="s">
        <v>127</v>
      </c>
      <c r="I144">
        <f>D144</f>
        <v>0</v>
      </c>
      <c r="J144" s="131">
        <f>E144</f>
        <v>8.3174</v>
      </c>
      <c r="K144" s="77">
        <f>I144*J144</f>
        <v>0</v>
      </c>
      <c r="L144" s="77"/>
      <c r="M144" s="77"/>
    </row>
    <row r="145" spans="3:11" ht="25.5">
      <c r="C145" s="27" t="s">
        <v>128</v>
      </c>
      <c r="D145">
        <v>0</v>
      </c>
      <c r="E145" s="108">
        <f>'1. 2001 Approved Rate Schedule'!B$68</f>
        <v>0.052099999999999994</v>
      </c>
      <c r="F145" s="77">
        <f>D145*E145</f>
        <v>0</v>
      </c>
      <c r="H145" s="27" t="s">
        <v>128</v>
      </c>
      <c r="I145">
        <f>D145</f>
        <v>0</v>
      </c>
      <c r="J145" s="131">
        <f>E145</f>
        <v>0.052099999999999994</v>
      </c>
      <c r="K145" s="77">
        <f>I145*J145</f>
        <v>0</v>
      </c>
    </row>
    <row r="146" spans="3:11" ht="12.75">
      <c r="C146" s="7"/>
      <c r="H146" s="7"/>
      <c r="J146" s="131"/>
      <c r="K146" s="77"/>
    </row>
    <row r="147" spans="3:14" ht="12.75">
      <c r="C147" t="s">
        <v>121</v>
      </c>
      <c r="F147" s="132">
        <f>SUM(F142:F145)</f>
        <v>30.49</v>
      </c>
      <c r="H147" t="s">
        <v>124</v>
      </c>
      <c r="K147" s="132">
        <f>SUM(K142:K145)</f>
        <v>31.069993105690738</v>
      </c>
      <c r="L147" s="77"/>
      <c r="M147" s="77">
        <f>K147-F147</f>
        <v>0.5799931056907397</v>
      </c>
      <c r="N147" s="112">
        <f>K147/F147-1</f>
        <v>0.019022404253550063</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30.49</v>
      </c>
      <c r="H152" s="27" t="s">
        <v>22</v>
      </c>
      <c r="I152" s="37" t="s">
        <v>125</v>
      </c>
      <c r="J152" s="37" t="s">
        <v>125</v>
      </c>
      <c r="K152" s="77">
        <f>'9. 2002PILs Proxy Adder Sch'!B$64</f>
        <v>31.069993105690738</v>
      </c>
      <c r="L152" s="77"/>
      <c r="M152" s="77"/>
    </row>
    <row r="153" spans="3:13" ht="25.5">
      <c r="C153" s="27" t="s">
        <v>114</v>
      </c>
      <c r="D153">
        <v>100</v>
      </c>
      <c r="E153" s="108">
        <f>'1. 2001 Approved Rate Schedule'!B$62</f>
        <v>2.3519</v>
      </c>
      <c r="F153" s="77">
        <f>D153*E153</f>
        <v>235.19</v>
      </c>
      <c r="H153" s="27" t="s">
        <v>114</v>
      </c>
      <c r="I153">
        <f>D153</f>
        <v>100</v>
      </c>
      <c r="J153" s="130">
        <f>'9. 2002PILs Proxy Adder Sch'!B$62</f>
        <v>2.785193127704687</v>
      </c>
      <c r="K153" s="77">
        <f>I153*J153</f>
        <v>278.5193127704687</v>
      </c>
      <c r="L153" s="77"/>
      <c r="M153" s="77"/>
    </row>
    <row r="154" spans="3:13" ht="25.5">
      <c r="C154" s="27" t="s">
        <v>127</v>
      </c>
      <c r="D154">
        <f>D153</f>
        <v>100</v>
      </c>
      <c r="E154" s="108">
        <f>'1. 2001 Approved Rate Schedule'!B$66</f>
        <v>8.3174</v>
      </c>
      <c r="F154" s="77">
        <f>D154*E154</f>
        <v>831.7399999999999</v>
      </c>
      <c r="H154" s="27" t="s">
        <v>127</v>
      </c>
      <c r="I154">
        <f>D154</f>
        <v>100</v>
      </c>
      <c r="J154" s="131">
        <f>E154</f>
        <v>8.3174</v>
      </c>
      <c r="K154" s="77">
        <f>I154*J154</f>
        <v>831.7399999999999</v>
      </c>
      <c r="L154" s="77"/>
      <c r="M154" s="77"/>
    </row>
    <row r="155" spans="3:11" ht="25.5">
      <c r="C155" s="27" t="s">
        <v>128</v>
      </c>
      <c r="D155" s="171">
        <v>30000</v>
      </c>
      <c r="E155" s="108">
        <f>'1. 2001 Approved Rate Schedule'!B$68</f>
        <v>0.052099999999999994</v>
      </c>
      <c r="F155" s="77">
        <f>D155*E155</f>
        <v>1562.9999999999998</v>
      </c>
      <c r="H155" s="27" t="s">
        <v>128</v>
      </c>
      <c r="I155" s="171">
        <f>D155</f>
        <v>30000</v>
      </c>
      <c r="J155" s="131">
        <f>E155</f>
        <v>0.052099999999999994</v>
      </c>
      <c r="K155" s="77">
        <f>I155*J155</f>
        <v>1562.9999999999998</v>
      </c>
    </row>
    <row r="156" spans="3:11" ht="12.75">
      <c r="C156" s="7"/>
      <c r="H156" s="7"/>
      <c r="J156" s="131"/>
      <c r="K156" s="77"/>
    </row>
    <row r="157" spans="3:14" ht="12.75">
      <c r="C157" t="s">
        <v>121</v>
      </c>
      <c r="F157" s="132">
        <f>SUM(F152:F155)</f>
        <v>2660.4199999999996</v>
      </c>
      <c r="H157" t="s">
        <v>124</v>
      </c>
      <c r="K157" s="132">
        <f>SUM(K152:K155)</f>
        <v>2704.329305876159</v>
      </c>
      <c r="L157" s="77"/>
      <c r="M157" s="77">
        <f>K157-F157</f>
        <v>43.90930587615958</v>
      </c>
      <c r="N157" s="112">
        <f>K157/F157-1</f>
        <v>0.016504651850519636</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30.49</v>
      </c>
      <c r="H163" s="27" t="s">
        <v>22</v>
      </c>
      <c r="I163" s="37" t="s">
        <v>125</v>
      </c>
      <c r="J163" s="37" t="s">
        <v>125</v>
      </c>
      <c r="K163" s="77">
        <f>'9. 2002PILs Proxy Adder Sch'!B$64</f>
        <v>31.069993105690738</v>
      </c>
      <c r="L163" s="77"/>
      <c r="M163" s="77"/>
    </row>
    <row r="164" spans="3:13" ht="25.5">
      <c r="C164" s="27" t="s">
        <v>114</v>
      </c>
      <c r="D164">
        <v>100</v>
      </c>
      <c r="E164" s="108">
        <f>'1. 2001 Approved Rate Schedule'!B$62</f>
        <v>2.3519</v>
      </c>
      <c r="F164" s="77">
        <f>D164*E164</f>
        <v>235.19</v>
      </c>
      <c r="H164" s="27" t="s">
        <v>114</v>
      </c>
      <c r="I164">
        <f>D164</f>
        <v>100</v>
      </c>
      <c r="J164" s="130">
        <f>'9. 2002PILs Proxy Adder Sch'!B$62</f>
        <v>2.785193127704687</v>
      </c>
      <c r="K164" s="77">
        <f>I164*J164</f>
        <v>278.5193127704687</v>
      </c>
      <c r="L164" s="77"/>
      <c r="M164" s="77"/>
    </row>
    <row r="165" spans="3:13" ht="25.5">
      <c r="C165" s="27" t="s">
        <v>127</v>
      </c>
      <c r="D165">
        <f>D164</f>
        <v>100</v>
      </c>
      <c r="E165" s="108">
        <f>'1. 2001 Approved Rate Schedule'!B$66</f>
        <v>8.3174</v>
      </c>
      <c r="F165" s="77">
        <f>D165*E165</f>
        <v>831.7399999999999</v>
      </c>
      <c r="H165" s="27" t="s">
        <v>127</v>
      </c>
      <c r="I165">
        <f>D165</f>
        <v>100</v>
      </c>
      <c r="J165" s="131">
        <f>E165</f>
        <v>8.3174</v>
      </c>
      <c r="K165" s="77">
        <f>I165*J165</f>
        <v>831.7399999999999</v>
      </c>
      <c r="L165" s="77"/>
      <c r="M165" s="77"/>
    </row>
    <row r="166" spans="3:11" ht="25.5">
      <c r="C166" s="27" t="s">
        <v>128</v>
      </c>
      <c r="D166" s="171">
        <v>40000</v>
      </c>
      <c r="E166" s="108">
        <f>'1. 2001 Approved Rate Schedule'!B$68</f>
        <v>0.052099999999999994</v>
      </c>
      <c r="F166" s="77">
        <f>D166*E166</f>
        <v>2083.9999999999995</v>
      </c>
      <c r="H166" s="27" t="s">
        <v>128</v>
      </c>
      <c r="I166" s="171">
        <f>D166</f>
        <v>40000</v>
      </c>
      <c r="J166" s="131">
        <f>E166</f>
        <v>0.052099999999999994</v>
      </c>
      <c r="K166" s="77">
        <f>I166*J166</f>
        <v>2083.9999999999995</v>
      </c>
    </row>
    <row r="167" spans="3:11" ht="12.75">
      <c r="C167" s="7"/>
      <c r="H167" s="7"/>
      <c r="J167" s="131"/>
      <c r="K167" s="77"/>
    </row>
    <row r="168" spans="3:14" ht="12.75">
      <c r="C168" t="s">
        <v>121</v>
      </c>
      <c r="F168" s="132">
        <f>SUM(F163:F166)</f>
        <v>3181.419999999999</v>
      </c>
      <c r="H168" t="s">
        <v>124</v>
      </c>
      <c r="K168" s="132">
        <f>SUM(K163:K166)</f>
        <v>3225.3293058761587</v>
      </c>
      <c r="L168" s="77"/>
      <c r="M168" s="77">
        <f>K168-F168</f>
        <v>43.90930587615958</v>
      </c>
      <c r="N168" s="112">
        <f>K168/F168-1</f>
        <v>0.013801794757108299</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30.49</v>
      </c>
      <c r="H174" s="27" t="s">
        <v>22</v>
      </c>
      <c r="I174" s="37" t="s">
        <v>125</v>
      </c>
      <c r="J174" s="37" t="s">
        <v>125</v>
      </c>
      <c r="K174" s="77">
        <f>'9. 2002PILs Proxy Adder Sch'!B$64</f>
        <v>31.069993105690738</v>
      </c>
      <c r="L174" s="77"/>
      <c r="M174" s="77"/>
    </row>
    <row r="175" spans="3:13" ht="25.5">
      <c r="C175" s="27" t="s">
        <v>114</v>
      </c>
      <c r="D175">
        <v>500</v>
      </c>
      <c r="E175" s="108">
        <f>'1. 2001 Approved Rate Schedule'!B$62</f>
        <v>2.3519</v>
      </c>
      <c r="F175" s="77">
        <f>D175*E175</f>
        <v>1175.95</v>
      </c>
      <c r="H175" s="27" t="s">
        <v>114</v>
      </c>
      <c r="I175">
        <f>D175</f>
        <v>500</v>
      </c>
      <c r="J175" s="130">
        <f>'9. 2002PILs Proxy Adder Sch'!B$62</f>
        <v>2.785193127704687</v>
      </c>
      <c r="K175" s="77">
        <f>I175*J175</f>
        <v>1392.5965638523435</v>
      </c>
      <c r="L175" s="77"/>
      <c r="M175" s="77"/>
    </row>
    <row r="176" spans="3:13" ht="25.5">
      <c r="C176" s="27" t="s">
        <v>127</v>
      </c>
      <c r="D176">
        <f>D175</f>
        <v>500</v>
      </c>
      <c r="E176" s="108">
        <f>'1. 2001 Approved Rate Schedule'!B$66</f>
        <v>8.3174</v>
      </c>
      <c r="F176" s="77">
        <f>D176*E176</f>
        <v>4158.7</v>
      </c>
      <c r="H176" s="27" t="s">
        <v>127</v>
      </c>
      <c r="I176">
        <f>D176</f>
        <v>500</v>
      </c>
      <c r="J176" s="131">
        <f>E176</f>
        <v>8.3174</v>
      </c>
      <c r="K176" s="77">
        <f>I176*J176</f>
        <v>4158.7</v>
      </c>
      <c r="L176" s="77"/>
      <c r="M176" s="77"/>
    </row>
    <row r="177" spans="3:11" ht="25.5">
      <c r="C177" s="27" t="s">
        <v>128</v>
      </c>
      <c r="D177" s="171">
        <v>100000</v>
      </c>
      <c r="E177" s="108">
        <f>'1. 2001 Approved Rate Schedule'!B$68</f>
        <v>0.052099999999999994</v>
      </c>
      <c r="F177" s="77">
        <f>D177*E177</f>
        <v>5209.999999999999</v>
      </c>
      <c r="H177" s="27" t="s">
        <v>128</v>
      </c>
      <c r="I177" s="171">
        <f>D177</f>
        <v>100000</v>
      </c>
      <c r="J177" s="131">
        <f>E177</f>
        <v>0.052099999999999994</v>
      </c>
      <c r="K177" s="77">
        <f>I177*J177</f>
        <v>5209.999999999999</v>
      </c>
    </row>
    <row r="178" spans="3:11" ht="12.75">
      <c r="C178" s="7"/>
      <c r="H178" s="7"/>
      <c r="J178" s="131"/>
      <c r="K178" s="77"/>
    </row>
    <row r="179" spans="3:14" ht="12.75">
      <c r="C179" t="s">
        <v>121</v>
      </c>
      <c r="F179" s="132">
        <f>SUM(F174:F177)</f>
        <v>10575.14</v>
      </c>
      <c r="H179" t="s">
        <v>124</v>
      </c>
      <c r="K179" s="132">
        <f>SUM(K174:K177)</f>
        <v>10792.366556958033</v>
      </c>
      <c r="L179" s="77"/>
      <c r="M179" s="77">
        <f>K179-F179</f>
        <v>217.22655695803405</v>
      </c>
      <c r="N179" s="112">
        <f>K179/F179-1</f>
        <v>0.020541246447615347</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30.49</v>
      </c>
      <c r="H184" s="27" t="s">
        <v>22</v>
      </c>
      <c r="I184" s="37" t="s">
        <v>125</v>
      </c>
      <c r="J184" s="37" t="s">
        <v>125</v>
      </c>
      <c r="K184" s="77">
        <f>'9. 2002PILs Proxy Adder Sch'!B$64</f>
        <v>31.069993105690738</v>
      </c>
      <c r="L184" s="77"/>
      <c r="M184" s="77"/>
    </row>
    <row r="185" spans="3:13" ht="25.5">
      <c r="C185" s="27" t="s">
        <v>114</v>
      </c>
      <c r="D185">
        <v>500</v>
      </c>
      <c r="E185" s="108">
        <f>'1. 2001 Approved Rate Schedule'!B$62</f>
        <v>2.3519</v>
      </c>
      <c r="F185" s="77">
        <f>D185*E185</f>
        <v>1175.95</v>
      </c>
      <c r="H185" s="27" t="s">
        <v>114</v>
      </c>
      <c r="I185">
        <f>D185</f>
        <v>500</v>
      </c>
      <c r="J185" s="130">
        <f>'9. 2002PILs Proxy Adder Sch'!B$62</f>
        <v>2.785193127704687</v>
      </c>
      <c r="K185" s="77">
        <f>I185*J185</f>
        <v>1392.5965638523435</v>
      </c>
      <c r="L185" s="77"/>
      <c r="M185" s="77"/>
    </row>
    <row r="186" spans="3:13" ht="25.5">
      <c r="C186" s="27" t="s">
        <v>127</v>
      </c>
      <c r="D186">
        <f>D185</f>
        <v>500</v>
      </c>
      <c r="E186" s="108">
        <f>'1. 2001 Approved Rate Schedule'!B$66</f>
        <v>8.3174</v>
      </c>
      <c r="F186" s="77">
        <f>D186*E186</f>
        <v>4158.7</v>
      </c>
      <c r="H186" s="27" t="s">
        <v>127</v>
      </c>
      <c r="I186">
        <f>D186</f>
        <v>500</v>
      </c>
      <c r="J186" s="131">
        <f>E186</f>
        <v>8.3174</v>
      </c>
      <c r="K186" s="77">
        <f>I186*J186</f>
        <v>4158.7</v>
      </c>
      <c r="L186" s="77"/>
      <c r="M186" s="77"/>
    </row>
    <row r="187" spans="3:11" ht="25.5">
      <c r="C187" s="27" t="s">
        <v>128</v>
      </c>
      <c r="D187" s="171">
        <v>250000</v>
      </c>
      <c r="E187" s="108">
        <f>'1. 2001 Approved Rate Schedule'!B$68</f>
        <v>0.052099999999999994</v>
      </c>
      <c r="F187" s="77">
        <f>D187*E187</f>
        <v>13024.999999999998</v>
      </c>
      <c r="H187" s="27" t="s">
        <v>128</v>
      </c>
      <c r="I187" s="171">
        <f>D187</f>
        <v>250000</v>
      </c>
      <c r="J187" s="131">
        <f>E187</f>
        <v>0.052099999999999994</v>
      </c>
      <c r="K187" s="77">
        <f>I187*J187</f>
        <v>13024.999999999998</v>
      </c>
    </row>
    <row r="188" spans="3:11" ht="12.75">
      <c r="C188" s="7"/>
      <c r="H188" s="7"/>
      <c r="J188" s="131"/>
      <c r="K188" s="77"/>
    </row>
    <row r="189" spans="3:14" ht="12.75">
      <c r="C189" t="s">
        <v>121</v>
      </c>
      <c r="F189" s="132">
        <f>SUM(F184:F187)</f>
        <v>18390.14</v>
      </c>
      <c r="H189" t="s">
        <v>124</v>
      </c>
      <c r="K189" s="132">
        <f>SUM(K184:K187)</f>
        <v>18607.366556958033</v>
      </c>
      <c r="L189" s="77"/>
      <c r="M189" s="77">
        <f>K189-F189</f>
        <v>217.22655695803405</v>
      </c>
      <c r="N189" s="112">
        <f>K189/F189-1</f>
        <v>0.011812120895111855</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30.49</v>
      </c>
      <c r="H194" s="27" t="s">
        <v>22</v>
      </c>
      <c r="I194" s="37" t="s">
        <v>125</v>
      </c>
      <c r="J194" s="37" t="s">
        <v>125</v>
      </c>
      <c r="K194" s="77">
        <f>'9. 2002PILs Proxy Adder Sch'!B$64</f>
        <v>31.069993105690738</v>
      </c>
      <c r="L194" s="77"/>
      <c r="M194" s="77"/>
    </row>
    <row r="195" spans="3:13" ht="25.5">
      <c r="C195" s="27" t="s">
        <v>114</v>
      </c>
      <c r="D195">
        <v>1000</v>
      </c>
      <c r="E195" s="108">
        <f>'1. 2001 Approved Rate Schedule'!B$62</f>
        <v>2.3519</v>
      </c>
      <c r="F195" s="77">
        <f>D195*E195</f>
        <v>2351.9</v>
      </c>
      <c r="H195" s="27" t="s">
        <v>114</v>
      </c>
      <c r="I195">
        <f>D195</f>
        <v>1000</v>
      </c>
      <c r="J195" s="130">
        <f>'9. 2002PILs Proxy Adder Sch'!B$62</f>
        <v>2.785193127704687</v>
      </c>
      <c r="K195" s="77">
        <f>I195*J195</f>
        <v>2785.193127704687</v>
      </c>
      <c r="L195" s="77"/>
      <c r="M195" s="77"/>
    </row>
    <row r="196" spans="3:13" ht="25.5">
      <c r="C196" s="27" t="s">
        <v>127</v>
      </c>
      <c r="D196">
        <f>D195</f>
        <v>1000</v>
      </c>
      <c r="E196" s="108">
        <f>'1. 2001 Approved Rate Schedule'!B$66</f>
        <v>8.3174</v>
      </c>
      <c r="F196" s="77">
        <f>D196*E196</f>
        <v>8317.4</v>
      </c>
      <c r="H196" s="27" t="s">
        <v>127</v>
      </c>
      <c r="I196">
        <f>D196</f>
        <v>1000</v>
      </c>
      <c r="J196" s="131">
        <f>E196</f>
        <v>8.3174</v>
      </c>
      <c r="K196" s="77">
        <f>I196*J196</f>
        <v>8317.4</v>
      </c>
      <c r="L196" s="77"/>
      <c r="M196" s="77"/>
    </row>
    <row r="197" spans="3:11" ht="25.5">
      <c r="C197" s="27" t="s">
        <v>128</v>
      </c>
      <c r="D197" s="171">
        <v>400000</v>
      </c>
      <c r="E197" s="108">
        <f>'1. 2001 Approved Rate Schedule'!B$68</f>
        <v>0.052099999999999994</v>
      </c>
      <c r="F197" s="77">
        <f>D197*E197</f>
        <v>20839.999999999996</v>
      </c>
      <c r="H197" s="27" t="s">
        <v>128</v>
      </c>
      <c r="I197" s="171">
        <f>D197</f>
        <v>400000</v>
      </c>
      <c r="J197" s="131">
        <f>E197</f>
        <v>0.052099999999999994</v>
      </c>
      <c r="K197" s="77">
        <f>I197*J197</f>
        <v>20839.999999999996</v>
      </c>
    </row>
    <row r="198" spans="3:11" ht="12.75">
      <c r="C198" s="7"/>
      <c r="H198" s="7"/>
      <c r="J198" s="131"/>
      <c r="K198" s="77"/>
    </row>
    <row r="199" spans="3:14" ht="12.75">
      <c r="C199" t="s">
        <v>121</v>
      </c>
      <c r="F199" s="132">
        <f>SUM(F194:F197)</f>
        <v>31539.789999999994</v>
      </c>
      <c r="H199" t="s">
        <v>124</v>
      </c>
      <c r="K199" s="132">
        <f>SUM(K194:K197)</f>
        <v>31973.66312081037</v>
      </c>
      <c r="L199" s="77"/>
      <c r="M199" s="77">
        <f>K199-F199</f>
        <v>433.87312081037817</v>
      </c>
      <c r="N199" s="112">
        <f>K199/F199-1</f>
        <v>0.013756373165781266</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30.49</v>
      </c>
      <c r="H204" s="27" t="s">
        <v>22</v>
      </c>
      <c r="I204" s="37" t="s">
        <v>125</v>
      </c>
      <c r="J204" s="37" t="s">
        <v>125</v>
      </c>
      <c r="K204" s="77">
        <f>'9. 2002PILs Proxy Adder Sch'!B$64</f>
        <v>31.069993105690738</v>
      </c>
      <c r="L204" s="77"/>
      <c r="M204" s="77"/>
    </row>
    <row r="205" spans="3:13" ht="25.5">
      <c r="C205" s="27" t="s">
        <v>114</v>
      </c>
      <c r="D205">
        <v>1000</v>
      </c>
      <c r="E205" s="108">
        <f>'1. 2001 Approved Rate Schedule'!B$62</f>
        <v>2.3519</v>
      </c>
      <c r="F205" s="77">
        <f>D205*E205</f>
        <v>2351.9</v>
      </c>
      <c r="H205" s="27" t="s">
        <v>114</v>
      </c>
      <c r="I205">
        <f>D205</f>
        <v>1000</v>
      </c>
      <c r="J205" s="130">
        <f>'9. 2002PILs Proxy Adder Sch'!B$62</f>
        <v>2.785193127704687</v>
      </c>
      <c r="K205" s="77">
        <f>I205*J205</f>
        <v>2785.193127704687</v>
      </c>
      <c r="L205" s="77"/>
      <c r="M205" s="77"/>
    </row>
    <row r="206" spans="3:13" ht="25.5">
      <c r="C206" s="27" t="s">
        <v>127</v>
      </c>
      <c r="D206">
        <f>D205</f>
        <v>1000</v>
      </c>
      <c r="E206" s="108">
        <f>'1. 2001 Approved Rate Schedule'!B$66</f>
        <v>8.3174</v>
      </c>
      <c r="F206" s="77">
        <f>D206*E206</f>
        <v>8317.4</v>
      </c>
      <c r="H206" s="27" t="s">
        <v>127</v>
      </c>
      <c r="I206">
        <f>D206</f>
        <v>1000</v>
      </c>
      <c r="J206" s="131">
        <f>E206</f>
        <v>8.3174</v>
      </c>
      <c r="K206" s="77">
        <f>I206*J206</f>
        <v>8317.4</v>
      </c>
      <c r="L206" s="77"/>
      <c r="M206" s="77"/>
    </row>
    <row r="207" spans="3:11" ht="25.5">
      <c r="C207" s="27" t="s">
        <v>128</v>
      </c>
      <c r="D207" s="171">
        <v>500000</v>
      </c>
      <c r="E207" s="108">
        <f>'1. 2001 Approved Rate Schedule'!B$68</f>
        <v>0.052099999999999994</v>
      </c>
      <c r="F207" s="77">
        <f>D207*E207</f>
        <v>26049.999999999996</v>
      </c>
      <c r="H207" s="27" t="s">
        <v>128</v>
      </c>
      <c r="I207" s="171">
        <f>D207</f>
        <v>500000</v>
      </c>
      <c r="J207" s="131">
        <f>E207</f>
        <v>0.052099999999999994</v>
      </c>
      <c r="K207" s="77">
        <f>I207*J207</f>
        <v>26049.999999999996</v>
      </c>
    </row>
    <row r="208" spans="3:11" ht="12.75">
      <c r="C208" s="7"/>
      <c r="H208" s="7"/>
      <c r="J208" s="131"/>
      <c r="K208" s="77"/>
    </row>
    <row r="209" spans="3:14" ht="12.75">
      <c r="C209" t="s">
        <v>121</v>
      </c>
      <c r="F209" s="132">
        <f>SUM(F204:F207)</f>
        <v>36749.78999999999</v>
      </c>
      <c r="H209" t="s">
        <v>124</v>
      </c>
      <c r="K209" s="132">
        <f>SUM(K204:K207)</f>
        <v>37183.66312081037</v>
      </c>
      <c r="L209" s="77"/>
      <c r="M209" s="77">
        <f>K209-F209</f>
        <v>433.87312081037817</v>
      </c>
      <c r="N209" s="112">
        <f>K209/F209-1</f>
        <v>0.011806138778218234</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30.49</v>
      </c>
      <c r="H214" s="27" t="s">
        <v>22</v>
      </c>
      <c r="I214" s="37" t="s">
        <v>125</v>
      </c>
      <c r="J214" s="37" t="s">
        <v>125</v>
      </c>
      <c r="K214" s="77">
        <f>'9. 2002PILs Proxy Adder Sch'!B$64</f>
        <v>31.069993105690738</v>
      </c>
      <c r="L214" s="77"/>
      <c r="M214" s="77"/>
    </row>
    <row r="215" spans="3:13" ht="25.5">
      <c r="C215" s="27" t="s">
        <v>114</v>
      </c>
      <c r="D215">
        <v>3000</v>
      </c>
      <c r="E215" s="108">
        <f>'1. 2001 Approved Rate Schedule'!B$62</f>
        <v>2.3519</v>
      </c>
      <c r="F215" s="77">
        <f>D215*E215</f>
        <v>7055.700000000001</v>
      </c>
      <c r="H215" s="27" t="s">
        <v>114</v>
      </c>
      <c r="I215">
        <f>D215</f>
        <v>3000</v>
      </c>
      <c r="J215" s="130">
        <f>'9. 2002PILs Proxy Adder Sch'!B$62</f>
        <v>2.785193127704687</v>
      </c>
      <c r="K215" s="77">
        <f>I215*J215</f>
        <v>8355.57938311406</v>
      </c>
      <c r="L215" s="77"/>
      <c r="M215" s="77"/>
    </row>
    <row r="216" spans="3:13" ht="25.5">
      <c r="C216" s="27" t="s">
        <v>127</v>
      </c>
      <c r="D216">
        <f>D215</f>
        <v>3000</v>
      </c>
      <c r="E216" s="108">
        <f>'1. 2001 Approved Rate Schedule'!B$66</f>
        <v>8.3174</v>
      </c>
      <c r="F216" s="77">
        <f>D216*E216</f>
        <v>24952.199999999997</v>
      </c>
      <c r="H216" s="27" t="s">
        <v>127</v>
      </c>
      <c r="I216">
        <f>D216</f>
        <v>3000</v>
      </c>
      <c r="J216" s="131">
        <f>E216</f>
        <v>8.3174</v>
      </c>
      <c r="K216" s="77">
        <f>I216*J216</f>
        <v>24952.199999999997</v>
      </c>
      <c r="L216" s="77"/>
      <c r="M216" s="77"/>
    </row>
    <row r="217" spans="3:11" ht="25.5">
      <c r="C217" s="27" t="s">
        <v>128</v>
      </c>
      <c r="D217" s="14">
        <v>1000000</v>
      </c>
      <c r="E217" s="108">
        <f>'1. 2001 Approved Rate Schedule'!B$68</f>
        <v>0.052099999999999994</v>
      </c>
      <c r="F217" s="77">
        <f>D217*E217</f>
        <v>52099.99999999999</v>
      </c>
      <c r="H217" s="27" t="s">
        <v>128</v>
      </c>
      <c r="I217" s="171">
        <f>D217</f>
        <v>1000000</v>
      </c>
      <c r="J217" s="131">
        <f>E217</f>
        <v>0.052099999999999994</v>
      </c>
      <c r="K217" s="77">
        <f>I217*J217</f>
        <v>52099.99999999999</v>
      </c>
    </row>
    <row r="218" spans="3:11" ht="12.75">
      <c r="C218" s="7"/>
      <c r="H218" s="7"/>
      <c r="J218" s="131"/>
      <c r="K218" s="77"/>
    </row>
    <row r="219" spans="3:14" ht="12.75">
      <c r="C219" t="s">
        <v>121</v>
      </c>
      <c r="F219" s="132">
        <f>SUM(F214:F217)</f>
        <v>84138.38999999998</v>
      </c>
      <c r="H219" t="s">
        <v>124</v>
      </c>
      <c r="K219" s="132">
        <f>SUM(K214:K217)</f>
        <v>85438.84937621973</v>
      </c>
      <c r="L219" s="77"/>
      <c r="M219" s="77">
        <f>K219-F219</f>
        <v>1300.4593762197474</v>
      </c>
      <c r="N219" s="112">
        <f>K219/F219-1</f>
        <v>0.015456195159186503</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30.49</v>
      </c>
      <c r="H224" s="27" t="s">
        <v>22</v>
      </c>
      <c r="I224" s="37" t="s">
        <v>125</v>
      </c>
      <c r="J224" s="37" t="s">
        <v>125</v>
      </c>
      <c r="K224" s="77">
        <f>'9. 2002PILs Proxy Adder Sch'!B$64</f>
        <v>31.069993105690738</v>
      </c>
      <c r="L224" s="77"/>
      <c r="M224" s="77"/>
    </row>
    <row r="225" spans="3:13" ht="25.5">
      <c r="C225" s="27" t="s">
        <v>114</v>
      </c>
      <c r="D225">
        <v>3000</v>
      </c>
      <c r="E225" s="108">
        <f>'1. 2001 Approved Rate Schedule'!B$62</f>
        <v>2.3519</v>
      </c>
      <c r="F225" s="77">
        <f>D225*E225</f>
        <v>7055.700000000001</v>
      </c>
      <c r="H225" s="27" t="s">
        <v>114</v>
      </c>
      <c r="I225">
        <f>D225</f>
        <v>3000</v>
      </c>
      <c r="J225" s="130">
        <f>'9. 2002PILs Proxy Adder Sch'!B$62</f>
        <v>2.785193127704687</v>
      </c>
      <c r="K225" s="77">
        <f>I225*J225</f>
        <v>8355.57938311406</v>
      </c>
      <c r="L225" s="77"/>
      <c r="M225" s="77"/>
    </row>
    <row r="226" spans="3:13" ht="25.5">
      <c r="C226" s="27" t="s">
        <v>127</v>
      </c>
      <c r="D226">
        <f>D225</f>
        <v>3000</v>
      </c>
      <c r="E226" s="108">
        <f>'1. 2001 Approved Rate Schedule'!B$66</f>
        <v>8.3174</v>
      </c>
      <c r="F226" s="77">
        <f>D226*E226</f>
        <v>24952.199999999997</v>
      </c>
      <c r="H226" s="27" t="s">
        <v>127</v>
      </c>
      <c r="I226">
        <f>D226</f>
        <v>3000</v>
      </c>
      <c r="J226" s="131">
        <f>E226</f>
        <v>8.3174</v>
      </c>
      <c r="K226" s="77">
        <f>I226*J226</f>
        <v>24952.199999999997</v>
      </c>
      <c r="L226" s="77"/>
      <c r="M226" s="77"/>
    </row>
    <row r="227" spans="3:11" ht="25.5">
      <c r="C227" s="27" t="s">
        <v>128</v>
      </c>
      <c r="D227" s="14">
        <v>1500000</v>
      </c>
      <c r="E227" s="108">
        <f>'1. 2001 Approved Rate Schedule'!B$68</f>
        <v>0.052099999999999994</v>
      </c>
      <c r="F227" s="77">
        <f>D227*E227</f>
        <v>78149.99999999999</v>
      </c>
      <c r="H227" s="27" t="s">
        <v>128</v>
      </c>
      <c r="I227" s="171">
        <f>D227</f>
        <v>1500000</v>
      </c>
      <c r="J227" s="131">
        <f>E227</f>
        <v>0.052099999999999994</v>
      </c>
      <c r="K227" s="77">
        <f>I227*J227</f>
        <v>78149.99999999999</v>
      </c>
    </row>
    <row r="228" spans="3:11" ht="12.75">
      <c r="C228" s="7"/>
      <c r="H228" s="7"/>
      <c r="J228" s="131"/>
      <c r="K228" s="77"/>
    </row>
    <row r="229" spans="3:14" ht="12.75">
      <c r="C229" t="s">
        <v>121</v>
      </c>
      <c r="F229" s="132">
        <f>SUM(F224:F227)</f>
        <v>110188.38999999998</v>
      </c>
      <c r="H229" t="s">
        <v>124</v>
      </c>
      <c r="K229" s="132">
        <f>SUM(K224:K227)</f>
        <v>111488.84937621973</v>
      </c>
      <c r="L229" s="77"/>
      <c r="M229" s="77">
        <f>K229-F229</f>
        <v>1300.4593762197474</v>
      </c>
      <c r="N229" s="112">
        <f>K229/F229-1</f>
        <v>0.011802145182625345</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30.49</v>
      </c>
      <c r="H234" s="27" t="s">
        <v>22</v>
      </c>
      <c r="I234" s="37" t="s">
        <v>125</v>
      </c>
      <c r="J234" s="37" t="s">
        <v>125</v>
      </c>
      <c r="K234" s="77">
        <f>'9. 2002PILs Proxy Adder Sch'!B$64</f>
        <v>31.069993105690738</v>
      </c>
      <c r="L234" s="77"/>
      <c r="M234" s="77"/>
    </row>
    <row r="235" spans="3:13" ht="25.5">
      <c r="C235" s="27" t="s">
        <v>114</v>
      </c>
      <c r="D235">
        <v>4000</v>
      </c>
      <c r="E235" s="108">
        <f>'1. 2001 Approved Rate Schedule'!B$62</f>
        <v>2.3519</v>
      </c>
      <c r="F235" s="77">
        <f>D235*E235</f>
        <v>9407.6</v>
      </c>
      <c r="H235" s="27" t="s">
        <v>114</v>
      </c>
      <c r="I235">
        <f>D235</f>
        <v>4000</v>
      </c>
      <c r="J235" s="130">
        <f>'9. 2002PILs Proxy Adder Sch'!B$62</f>
        <v>2.785193127704687</v>
      </c>
      <c r="K235" s="77">
        <f>I235*J235</f>
        <v>11140.772510818748</v>
      </c>
      <c r="L235" s="77"/>
      <c r="M235" s="77"/>
    </row>
    <row r="236" spans="3:13" ht="25.5">
      <c r="C236" s="27" t="s">
        <v>127</v>
      </c>
      <c r="D236">
        <f>D235</f>
        <v>4000</v>
      </c>
      <c r="E236" s="108">
        <f>'1. 2001 Approved Rate Schedule'!B$66</f>
        <v>8.3174</v>
      </c>
      <c r="F236" s="77">
        <f>D236*E236</f>
        <v>33269.6</v>
      </c>
      <c r="H236" s="27" t="s">
        <v>127</v>
      </c>
      <c r="I236">
        <f>D236</f>
        <v>4000</v>
      </c>
      <c r="J236" s="131">
        <f>E236</f>
        <v>8.3174</v>
      </c>
      <c r="K236" s="77">
        <f>I236*J236</f>
        <v>33269.6</v>
      </c>
      <c r="L236" s="77"/>
      <c r="M236" s="77"/>
    </row>
    <row r="237" spans="3:11" ht="25.5">
      <c r="C237" s="27" t="s">
        <v>128</v>
      </c>
      <c r="D237" s="14">
        <v>1200000</v>
      </c>
      <c r="E237" s="108">
        <f>'1. 2001 Approved Rate Schedule'!B$68</f>
        <v>0.052099999999999994</v>
      </c>
      <c r="F237" s="77">
        <f>D237*E237</f>
        <v>62519.99999999999</v>
      </c>
      <c r="H237" s="27" t="s">
        <v>128</v>
      </c>
      <c r="I237" s="171">
        <f>D237</f>
        <v>1200000</v>
      </c>
      <c r="J237" s="131">
        <f>E237</f>
        <v>0.052099999999999994</v>
      </c>
      <c r="K237" s="77">
        <f>I237*J237</f>
        <v>62519.99999999999</v>
      </c>
    </row>
    <row r="238" spans="3:11" ht="12.75">
      <c r="C238" s="7"/>
      <c r="H238" s="7"/>
      <c r="J238" s="131"/>
      <c r="K238" s="77"/>
    </row>
    <row r="239" spans="3:14" ht="12.75">
      <c r="C239" t="s">
        <v>121</v>
      </c>
      <c r="F239" s="132">
        <f>SUM(F234:F237)</f>
        <v>105227.69</v>
      </c>
      <c r="H239" t="s">
        <v>124</v>
      </c>
      <c r="K239" s="132">
        <f>SUM(K234:K237)</f>
        <v>106961.44250392442</v>
      </c>
      <c r="L239" s="77"/>
      <c r="M239" s="77">
        <f>K239-F239</f>
        <v>1733.752503924421</v>
      </c>
      <c r="N239" s="112">
        <f>K239/F239-1</f>
        <v>0.01647620036061248</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30.49</v>
      </c>
      <c r="H244" s="27" t="s">
        <v>22</v>
      </c>
      <c r="I244" s="37" t="s">
        <v>125</v>
      </c>
      <c r="J244" s="37" t="s">
        <v>125</v>
      </c>
      <c r="K244" s="77">
        <f>'9. 2002PILs Proxy Adder Sch'!B$64</f>
        <v>31.069993105690738</v>
      </c>
      <c r="L244" s="77"/>
      <c r="M244" s="77"/>
    </row>
    <row r="245" spans="3:13" ht="25.5">
      <c r="C245" s="27" t="s">
        <v>114</v>
      </c>
      <c r="D245">
        <v>4000</v>
      </c>
      <c r="E245" s="108">
        <f>'1. 2001 Approved Rate Schedule'!B$62</f>
        <v>2.3519</v>
      </c>
      <c r="F245" s="77">
        <f>D245*E245</f>
        <v>9407.6</v>
      </c>
      <c r="H245" s="27" t="s">
        <v>114</v>
      </c>
      <c r="I245">
        <f>D245</f>
        <v>4000</v>
      </c>
      <c r="J245" s="130">
        <f>'9. 2002PILs Proxy Adder Sch'!B$62</f>
        <v>2.785193127704687</v>
      </c>
      <c r="K245" s="77">
        <f>I245*J245</f>
        <v>11140.772510818748</v>
      </c>
      <c r="L245" s="77"/>
      <c r="M245" s="77"/>
    </row>
    <row r="246" spans="3:13" ht="25.5">
      <c r="C246" s="27" t="s">
        <v>127</v>
      </c>
      <c r="D246">
        <f>D245</f>
        <v>4000</v>
      </c>
      <c r="E246" s="108">
        <f>'1. 2001 Approved Rate Schedule'!B$66</f>
        <v>8.3174</v>
      </c>
      <c r="F246" s="77">
        <f>D246*E246</f>
        <v>33269.6</v>
      </c>
      <c r="H246" s="27" t="s">
        <v>127</v>
      </c>
      <c r="I246">
        <f>D246</f>
        <v>4000</v>
      </c>
      <c r="J246" s="131">
        <f>E246</f>
        <v>8.3174</v>
      </c>
      <c r="K246" s="77">
        <f>I246*J246</f>
        <v>33269.6</v>
      </c>
      <c r="L246" s="77"/>
      <c r="M246" s="77"/>
    </row>
    <row r="247" spans="3:11" ht="25.5">
      <c r="C247" s="27" t="s">
        <v>128</v>
      </c>
      <c r="D247" s="14">
        <v>1800000</v>
      </c>
      <c r="E247" s="108">
        <f>'1. 2001 Approved Rate Schedule'!B$68</f>
        <v>0.052099999999999994</v>
      </c>
      <c r="F247" s="77">
        <f>D247*E247</f>
        <v>93779.99999999999</v>
      </c>
      <c r="H247" s="27" t="s">
        <v>128</v>
      </c>
      <c r="I247" s="171">
        <f>D247</f>
        <v>1800000</v>
      </c>
      <c r="J247" s="131">
        <f>E247</f>
        <v>0.052099999999999994</v>
      </c>
      <c r="K247" s="77">
        <f>I247*J247</f>
        <v>93779.99999999999</v>
      </c>
    </row>
    <row r="248" spans="3:11" ht="12.75">
      <c r="C248" s="7"/>
      <c r="H248" s="7"/>
      <c r="J248" s="131"/>
      <c r="K248" s="77"/>
    </row>
    <row r="249" spans="3:14" ht="12.75">
      <c r="C249" t="s">
        <v>121</v>
      </c>
      <c r="F249" s="132">
        <f>SUM(F244:F247)</f>
        <v>136487.69</v>
      </c>
      <c r="H249" t="s">
        <v>124</v>
      </c>
      <c r="K249" s="132">
        <f>SUM(K244:K247)</f>
        <v>138221.44250392442</v>
      </c>
      <c r="L249" s="77"/>
      <c r="M249" s="77">
        <f>K249-F249</f>
        <v>1733.752503924421</v>
      </c>
      <c r="N249" s="112">
        <f>K249/F249-1</f>
        <v>0.012702629108342522</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1.0878</v>
      </c>
      <c r="F294" s="77">
        <f>D294*E294</f>
        <v>4351.200000000001</v>
      </c>
      <c r="H294" s="7" t="s">
        <v>179</v>
      </c>
      <c r="I294">
        <f>D294</f>
        <v>4000</v>
      </c>
      <c r="J294" s="110">
        <f>'9. 2002PILs Proxy Adder Sch'!B$87</f>
        <v>1.291091098067285</v>
      </c>
      <c r="K294" s="77">
        <f>I294*J294</f>
        <v>5164.36439226914</v>
      </c>
      <c r="L294" s="77"/>
      <c r="M294" s="77"/>
    </row>
    <row r="295" spans="3:14" ht="38.25">
      <c r="C295" s="7" t="s">
        <v>178</v>
      </c>
      <c r="D295">
        <v>4000</v>
      </c>
      <c r="E295" s="108">
        <f>'1. 2001 Approved Rate Schedule'!B$94</f>
        <v>8.0133</v>
      </c>
      <c r="F295" s="77">
        <f>D295*E295</f>
        <v>32053.199999999997</v>
      </c>
      <c r="H295" s="7" t="s">
        <v>178</v>
      </c>
      <c r="I295">
        <f>D295</f>
        <v>4000</v>
      </c>
      <c r="J295" s="131">
        <f>E295</f>
        <v>8.0133</v>
      </c>
      <c r="K295" s="77">
        <f>I295*J295</f>
        <v>32053.199999999997</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0.07100000000000001</v>
      </c>
      <c r="F298" s="77">
        <f>D298*E298</f>
        <v>42600.00000000001</v>
      </c>
      <c r="H298" t="s">
        <v>12</v>
      </c>
      <c r="I298" s="171">
        <f>D298</f>
        <v>600000</v>
      </c>
      <c r="J298" s="110">
        <f>E298</f>
        <v>0.07100000000000001</v>
      </c>
      <c r="K298" s="77">
        <f>I298*J298</f>
        <v>42600.00000000001</v>
      </c>
      <c r="L298" s="77"/>
      <c r="M298" s="77"/>
      <c r="N298" s="109"/>
    </row>
    <row r="299" spans="3:14" ht="25.5">
      <c r="C299" s="7" t="s">
        <v>118</v>
      </c>
      <c r="D299" s="14">
        <v>600000</v>
      </c>
      <c r="E299" s="108">
        <f>'1. 2001 Approved Rate Schedule'!E$94</f>
        <v>0.04240000000000001</v>
      </c>
      <c r="F299" s="77">
        <f>D299*E299</f>
        <v>25440.000000000004</v>
      </c>
      <c r="H299" s="7" t="s">
        <v>118</v>
      </c>
      <c r="I299" s="14">
        <f>D299</f>
        <v>600000</v>
      </c>
      <c r="J299" s="110">
        <f>E299</f>
        <v>0.04240000000000001</v>
      </c>
      <c r="K299" s="77">
        <f>I299*J299</f>
        <v>25440.000000000004</v>
      </c>
      <c r="L299" s="77"/>
      <c r="M299" s="77"/>
      <c r="N299" s="109"/>
    </row>
    <row r="300" spans="3:14" ht="38.25">
      <c r="C300" s="7" t="s">
        <v>22</v>
      </c>
      <c r="E300" s="131"/>
      <c r="F300" s="6">
        <f>'1. 2001 Approved Rate Schedule'!B$89</f>
        <v>310.68</v>
      </c>
      <c r="H300" s="7" t="s">
        <v>22</v>
      </c>
      <c r="J300" s="131"/>
      <c r="K300" s="6">
        <f>'9. 2002PILs Proxy Adder Sch'!B$89</f>
        <v>316.59083759703464</v>
      </c>
      <c r="L300" s="77"/>
      <c r="M300" s="77"/>
      <c r="N300" s="109"/>
    </row>
    <row r="301" spans="3:14" ht="12.75">
      <c r="C301" s="7"/>
      <c r="E301" s="110"/>
      <c r="F301" s="77"/>
      <c r="J301" s="131"/>
      <c r="K301" s="77"/>
      <c r="L301" s="77"/>
      <c r="M301" s="77"/>
      <c r="N301" s="109"/>
    </row>
    <row r="302" spans="3:14" ht="12.75">
      <c r="C302" s="5" t="s">
        <v>112</v>
      </c>
      <c r="F302" s="77">
        <f>SUM(F294:F301)</f>
        <v>104755.07999999999</v>
      </c>
      <c r="H302" s="5" t="s">
        <v>112</v>
      </c>
      <c r="K302" s="77">
        <f>SUM(K294:K301)</f>
        <v>105574.15522986618</v>
      </c>
      <c r="L302" s="77"/>
      <c r="M302" s="77">
        <f>K302-F302</f>
        <v>819.0752298661973</v>
      </c>
      <c r="N302" s="109">
        <f>K302/F302-1</f>
        <v>0.007818954745356432</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1.0878</v>
      </c>
      <c r="F308" s="77">
        <f>D308*E308</f>
        <v>4351.200000000001</v>
      </c>
      <c r="H308" s="7" t="s">
        <v>179</v>
      </c>
      <c r="I308">
        <f>D308</f>
        <v>4000</v>
      </c>
      <c r="J308" s="110">
        <f>'9. 2002PILs Proxy Adder Sch'!B$87</f>
        <v>1.291091098067285</v>
      </c>
      <c r="K308" s="77">
        <f>I308*J308</f>
        <v>5164.36439226914</v>
      </c>
      <c r="L308" s="77"/>
      <c r="M308" s="77"/>
    </row>
    <row r="309" spans="3:14" ht="38.25">
      <c r="C309" s="7" t="s">
        <v>178</v>
      </c>
      <c r="D309">
        <v>4000</v>
      </c>
      <c r="E309" s="108">
        <f>'1. 2001 Approved Rate Schedule'!C$94</f>
        <v>6.2869</v>
      </c>
      <c r="F309" s="77">
        <f>D309*E309</f>
        <v>25147.600000000002</v>
      </c>
      <c r="H309" s="7" t="s">
        <v>178</v>
      </c>
      <c r="I309">
        <f>D309</f>
        <v>4000</v>
      </c>
      <c r="J309" s="131">
        <f>E309</f>
        <v>6.2869</v>
      </c>
      <c r="K309" s="77">
        <f>I309*J309</f>
        <v>25147.600000000002</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0.059899999999999995</v>
      </c>
      <c r="F312" s="77">
        <f>D312*E312</f>
        <v>35940</v>
      </c>
      <c r="H312" t="s">
        <v>14</v>
      </c>
      <c r="I312" s="171">
        <f>D312</f>
        <v>600000</v>
      </c>
      <c r="J312" s="110">
        <f>E312</f>
        <v>0.059899999999999995</v>
      </c>
      <c r="K312" s="77">
        <f>I312*J312</f>
        <v>35940</v>
      </c>
      <c r="L312" s="77"/>
      <c r="M312" s="77"/>
      <c r="N312" s="109"/>
    </row>
    <row r="313" spans="3:14" ht="25.5">
      <c r="C313" s="7" t="s">
        <v>119</v>
      </c>
      <c r="D313" s="14">
        <v>600000</v>
      </c>
      <c r="E313" s="108">
        <f>'1. 2001 Approved Rate Schedule'!G$94</f>
        <v>0.0314</v>
      </c>
      <c r="F313" s="77">
        <f>D313*E313</f>
        <v>18840</v>
      </c>
      <c r="H313" s="7" t="s">
        <v>119</v>
      </c>
      <c r="I313" s="14">
        <f>D313</f>
        <v>600000</v>
      </c>
      <c r="J313" s="110">
        <f>E313</f>
        <v>0.0314</v>
      </c>
      <c r="K313" s="77">
        <f>I313*J313</f>
        <v>18840</v>
      </c>
      <c r="L313" s="77"/>
      <c r="M313" s="77"/>
      <c r="N313" s="109"/>
    </row>
    <row r="314" spans="3:14" ht="38.25">
      <c r="C314" s="7" t="s">
        <v>22</v>
      </c>
      <c r="E314" s="131"/>
      <c r="F314" s="6">
        <f>'1. 2001 Approved Rate Schedule'!B$89</f>
        <v>310.68</v>
      </c>
      <c r="H314" s="7" t="s">
        <v>22</v>
      </c>
      <c r="J314" s="131"/>
      <c r="K314" s="6">
        <f>'9. 2002PILs Proxy Adder Sch'!B$89</f>
        <v>316.59083759703464</v>
      </c>
      <c r="L314" s="77"/>
      <c r="M314" s="77"/>
      <c r="N314" s="109"/>
    </row>
    <row r="315" spans="3:14" ht="12.75">
      <c r="C315" s="7"/>
      <c r="E315" s="110"/>
      <c r="F315" s="77"/>
      <c r="J315" s="131"/>
      <c r="K315" s="77"/>
      <c r="L315" s="77"/>
      <c r="M315" s="77"/>
      <c r="N315" s="109"/>
    </row>
    <row r="316" spans="3:14" ht="12.75">
      <c r="C316" s="5" t="s">
        <v>112</v>
      </c>
      <c r="F316" s="77">
        <f>SUM(F308:F315)</f>
        <v>84589.48</v>
      </c>
      <c r="H316" s="5" t="s">
        <v>112</v>
      </c>
      <c r="K316" s="77">
        <f>SUM(K308:K315)</f>
        <v>85408.55522986618</v>
      </c>
      <c r="L316" s="77"/>
      <c r="M316" s="77">
        <f>K316-F316</f>
        <v>819.0752298661828</v>
      </c>
      <c r="N316" s="109">
        <f>K316/F316-1</f>
        <v>0.009682944378735847</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headerFooter alignWithMargins="0">
    <oddHeader>&amp;C&amp;F</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B10" sqref="B1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Centre Wellington Hydro Ltd.</v>
      </c>
      <c r="C3" s="134"/>
      <c r="E3" s="167" t="s">
        <v>1</v>
      </c>
      <c r="F3" s="1"/>
      <c r="G3" s="135" t="str">
        <f>'1. 2001 Approved Rate Schedule'!F3</f>
        <v>ED-1999-0269</v>
      </c>
    </row>
    <row r="4" spans="1:7" ht="18">
      <c r="A4" s="139" t="s">
        <v>3</v>
      </c>
      <c r="B4" s="133" t="str">
        <f>'1. 2001 Approved Rate Schedule'!B4</f>
        <v>Florence Thiessen</v>
      </c>
      <c r="C4" s="17"/>
      <c r="E4" s="167" t="s">
        <v>4</v>
      </c>
      <c r="F4" s="1"/>
      <c r="G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8"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40647000</v>
      </c>
      <c r="D26" s="79">
        <f>'6. 2001PILs DefAcct Adder Calc'!D26</f>
        <v>4770</v>
      </c>
      <c r="E26" s="80">
        <f>'6. 2001PILs DefAcct Adder Calc'!E26</f>
        <v>1173000</v>
      </c>
      <c r="F26" s="81">
        <f>E26/E35</f>
        <v>0.5343963553530752</v>
      </c>
      <c r="G26" s="82">
        <f>G35*F26</f>
        <v>0</v>
      </c>
      <c r="H26" s="83"/>
    </row>
    <row r="27" spans="1:8" ht="12.75">
      <c r="A27" s="70" t="s">
        <v>148</v>
      </c>
      <c r="B27" s="78" t="s">
        <v>66</v>
      </c>
      <c r="C27" s="57">
        <f>'6. 2001PILs DefAcct Adder Calc'!C27</f>
        <v>22000000</v>
      </c>
      <c r="D27" s="79">
        <f>'6. 2001PILs DefAcct Adder Calc'!D27</f>
        <v>622</v>
      </c>
      <c r="E27" s="80">
        <f>'6. 2001PILs DefAcct Adder Calc'!E27</f>
        <v>416000</v>
      </c>
      <c r="F27" s="81">
        <f>E27/E35</f>
        <v>0.18952164009111616</v>
      </c>
      <c r="G27" s="82">
        <f>G35*F27</f>
        <v>0</v>
      </c>
      <c r="H27" s="83"/>
    </row>
    <row r="28" spans="1:8" ht="12.75">
      <c r="A28" s="70" t="s">
        <v>149</v>
      </c>
      <c r="B28" s="85">
        <f>'6. 2001PILs DefAcct Adder Calc'!B28</f>
        <v>189000</v>
      </c>
      <c r="C28" s="86" t="s">
        <v>66</v>
      </c>
      <c r="D28" s="79">
        <f>'6. 2001PILs DefAcct Adder Calc'!D28</f>
        <v>48</v>
      </c>
      <c r="E28" s="80">
        <f>'6. 2001PILs DefAcct Adder Calc'!E28</f>
        <v>462000</v>
      </c>
      <c r="F28" s="81">
        <f>E28/E35</f>
        <v>0.21047835990888383</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121000</v>
      </c>
      <c r="C30" s="78" t="s">
        <v>66</v>
      </c>
      <c r="D30" s="79">
        <f>'6. 2001PILs DefAcct Adder Calc'!D30</f>
        <v>2</v>
      </c>
      <c r="E30" s="80">
        <f>'6. 2001PILs DefAcct Adder Calc'!E30</f>
        <v>139000</v>
      </c>
      <c r="F30" s="81">
        <f>E30/E35</f>
        <v>0.0633257403189066</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59</v>
      </c>
      <c r="C32" s="86" t="s">
        <v>66</v>
      </c>
      <c r="D32" s="79">
        <f>'6. 2001PILs DefAcct Adder Calc'!D32</f>
        <v>33</v>
      </c>
      <c r="E32" s="80">
        <f>'6. 2001PILs DefAcct Adder Calc'!E32</f>
        <v>0</v>
      </c>
      <c r="F32" s="81">
        <f>E32/E35</f>
        <v>0</v>
      </c>
      <c r="G32" s="82">
        <f>G35*F32</f>
        <v>0</v>
      </c>
      <c r="H32" s="83"/>
    </row>
    <row r="33" spans="1:8" ht="12.75">
      <c r="A33" s="70" t="s">
        <v>63</v>
      </c>
      <c r="B33" s="89">
        <f>'6. 2001PILs DefAcct Adder Calc'!B33</f>
        <v>3000</v>
      </c>
      <c r="C33" s="90" t="s">
        <v>66</v>
      </c>
      <c r="D33" s="91">
        <f>'6. 2001PILs DefAcct Adder Calc'!D33</f>
        <v>1472</v>
      </c>
      <c r="E33" s="165">
        <f>'6. 2001PILs DefAcct Adder Calc'!E33</f>
        <v>5000</v>
      </c>
      <c r="F33" s="93">
        <f>E33/E35</f>
        <v>0.002277904328018223</v>
      </c>
      <c r="G33" s="94">
        <f>G35*F33</f>
        <v>0</v>
      </c>
      <c r="H33" s="95"/>
    </row>
    <row r="34" spans="1:8" ht="12.75">
      <c r="A34" s="70"/>
      <c r="B34" s="96"/>
      <c r="C34" s="97"/>
      <c r="D34" s="98"/>
      <c r="E34" s="96"/>
      <c r="F34" s="96"/>
      <c r="G34" s="82"/>
      <c r="H34" s="77"/>
    </row>
    <row r="35" spans="1:8" ht="12.75">
      <c r="A35" s="70" t="s">
        <v>60</v>
      </c>
      <c r="B35" s="42"/>
      <c r="C35" s="98"/>
      <c r="D35" s="96"/>
      <c r="E35" s="163">
        <f>SUM(E26:E33)</f>
        <v>2195000</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0.38</v>
      </c>
      <c r="C45" s="38">
        <f>1-B45</f>
        <v>0.62</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40647000</v>
      </c>
    </row>
    <row r="52" spans="1:3" ht="12.75">
      <c r="A52" t="s">
        <v>71</v>
      </c>
      <c r="C52" s="40">
        <f>D26</f>
        <v>4770</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6"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0.768</v>
      </c>
      <c r="C69" s="38">
        <f>1-B69</f>
        <v>0.23199999999999998</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22000000</v>
      </c>
    </row>
    <row r="76" spans="1:3" ht="12.75">
      <c r="A76" t="s">
        <v>71</v>
      </c>
      <c r="C76" s="40">
        <f>D27</f>
        <v>622</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6"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0.95</v>
      </c>
      <c r="C93" s="38">
        <f>1-B93</f>
        <v>0.050000000000000044</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189000</v>
      </c>
    </row>
    <row r="100" spans="1:3" ht="12.75">
      <c r="A100" t="s">
        <v>71</v>
      </c>
      <c r="C100" s="40">
        <f>D28</f>
        <v>48</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6"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0.945</v>
      </c>
      <c r="C141" s="38">
        <f>1-B141</f>
        <v>0.05500000000000005</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121000</v>
      </c>
    </row>
    <row r="149" spans="1:3" ht="12.75">
      <c r="A149" t="s">
        <v>71</v>
      </c>
      <c r="C149" s="40">
        <f>D30</f>
        <v>2</v>
      </c>
    </row>
    <row r="151" spans="1:2" ht="12.75">
      <c r="A151" t="s">
        <v>84</v>
      </c>
      <c r="B151" s="101">
        <f>B144/B147</f>
        <v>0</v>
      </c>
    </row>
    <row r="152" ht="12.75">
      <c r="A152" t="s">
        <v>248</v>
      </c>
    </row>
    <row r="153" ht="12.75">
      <c r="A153" t="s">
        <v>245</v>
      </c>
    </row>
    <row r="155" spans="1:3" ht="12.75">
      <c r="A155" t="s">
        <v>74</v>
      </c>
      <c r="C155" s="102">
        <f>C144/C149/12</f>
        <v>0</v>
      </c>
    </row>
    <row r="156" ht="12.75">
      <c r="A156" t="s">
        <v>246</v>
      </c>
    </row>
    <row r="157" ht="12.75">
      <c r="A157" t="s">
        <v>247</v>
      </c>
    </row>
    <row r="158" spans="2:3" ht="12.75">
      <c r="B158" s="13"/>
      <c r="C158" s="13"/>
    </row>
    <row r="160" ht="15.75">
      <c r="A160" s="72" t="s">
        <v>89</v>
      </c>
    </row>
    <row r="161" ht="10.5" customHeight="1">
      <c r="A161" s="72"/>
    </row>
    <row r="162" ht="14.25">
      <c r="A162" s="166"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6"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0.38</v>
      </c>
      <c r="C191" s="38">
        <f>1-B191</f>
        <v>0.62</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59</v>
      </c>
    </row>
    <row r="199" spans="1:3" ht="12.75">
      <c r="A199" t="s">
        <v>71</v>
      </c>
      <c r="C199" s="40">
        <f>D32</f>
        <v>33</v>
      </c>
    </row>
    <row r="201" spans="1:2" ht="12.75">
      <c r="A201" t="s">
        <v>84</v>
      </c>
      <c r="B201" s="101">
        <f>B194/B197</f>
        <v>0</v>
      </c>
    </row>
    <row r="202" ht="12.75">
      <c r="A202" t="s">
        <v>248</v>
      </c>
    </row>
    <row r="203" ht="12.75">
      <c r="A203" t="s">
        <v>245</v>
      </c>
    </row>
    <row r="205" spans="1:3" ht="12.75">
      <c r="A205" t="s">
        <v>74</v>
      </c>
      <c r="C205" s="102">
        <f>C194/C199/12</f>
        <v>0</v>
      </c>
    </row>
    <row r="206" ht="12.75">
      <c r="A206" t="s">
        <v>246</v>
      </c>
    </row>
    <row r="207" ht="12.75">
      <c r="A207" t="s">
        <v>247</v>
      </c>
    </row>
    <row r="210" ht="15.75">
      <c r="A210" s="72" t="s">
        <v>91</v>
      </c>
    </row>
    <row r="211" ht="9.75" customHeight="1">
      <c r="A211" s="72"/>
    </row>
    <row r="212" ht="14.25">
      <c r="A212" s="166"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0.38</v>
      </c>
      <c r="C216" s="38">
        <f>1-B216</f>
        <v>0.62</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3000</v>
      </c>
    </row>
    <row r="224" spans="1:3" ht="12.75">
      <c r="A224" t="s">
        <v>99</v>
      </c>
      <c r="C224" s="40">
        <f>D33</f>
        <v>1472</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5" r:id="rId1"/>
  <headerFooter alignWithMargins="0">
    <oddHeader>&amp;C&amp;F</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A36" sqref="A3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9" t="s">
        <v>0</v>
      </c>
      <c r="B3" s="133" t="str">
        <f>'1. 2001 Approved Rate Schedule'!B3</f>
        <v>Centre Wellington Hydro Ltd.</v>
      </c>
      <c r="C3" s="134"/>
      <c r="E3" s="139" t="s">
        <v>1</v>
      </c>
      <c r="F3" s="135" t="str">
        <f>'1. 2001 Approved Rate Schedule'!F3</f>
        <v>ED-1999-0269</v>
      </c>
    </row>
    <row r="4" spans="1:6" ht="18">
      <c r="A4" s="139" t="s">
        <v>3</v>
      </c>
      <c r="B4" s="133" t="str">
        <f>'1. 2001 Approved Rate Schedule'!B4</f>
        <v>Florence Thiessen</v>
      </c>
      <c r="C4" s="17"/>
      <c r="E4" s="139" t="s">
        <v>4</v>
      </c>
      <c r="F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ht="18">
      <c r="C8" s="17"/>
    </row>
    <row r="9" ht="14.25">
      <c r="A9" s="166" t="s">
        <v>231</v>
      </c>
    </row>
    <row r="10" ht="14.25">
      <c r="A10" s="166" t="s">
        <v>340</v>
      </c>
    </row>
    <row r="11" ht="14.25">
      <c r="A11" s="166" t="s">
        <v>250</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0.01589701696524467</v>
      </c>
      <c r="C16" s="16"/>
      <c r="D16" s="19"/>
      <c r="E16" s="16"/>
      <c r="F16" s="103"/>
      <c r="G16" s="22"/>
      <c r="H16" s="22"/>
    </row>
    <row r="17" spans="2:7" ht="12.75">
      <c r="B17" s="16"/>
      <c r="C17" s="16"/>
      <c r="D17" s="19"/>
      <c r="E17" s="16"/>
      <c r="F17" s="103"/>
      <c r="G17" s="16"/>
    </row>
    <row r="18" spans="1:8" ht="12.75">
      <c r="A18" t="s">
        <v>133</v>
      </c>
      <c r="B18" s="22">
        <f>('9. 2002PILs Proxy Adder Sch'!B18)+('11. Z-Factor Adder Calc'!C58)</f>
        <v>12.85004326074483</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0.01589701696524467</v>
      </c>
      <c r="C26" s="16"/>
      <c r="D26" s="16"/>
      <c r="E26" s="16"/>
      <c r="F26" s="16"/>
      <c r="G26" s="16"/>
    </row>
    <row r="27" spans="2:7" ht="12.75">
      <c r="B27" s="16"/>
      <c r="C27" s="16"/>
      <c r="D27" s="16"/>
      <c r="E27" s="16"/>
      <c r="F27" s="16"/>
      <c r="G27" s="16"/>
    </row>
    <row r="28" spans="1:7" ht="12.75">
      <c r="A28" t="s">
        <v>133</v>
      </c>
      <c r="B28" s="22">
        <f>('9. 2002PILs Proxy Adder Sch'!B28)+('11. Z-Factor Adder Calc'!C58)</f>
        <v>12.85004326074483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0.017881951167543646</v>
      </c>
      <c r="C39" s="16"/>
      <c r="D39" s="19"/>
      <c r="E39" s="16"/>
      <c r="F39" s="23"/>
      <c r="G39" s="23"/>
      <c r="H39" s="22"/>
    </row>
    <row r="40" spans="2:7" ht="12.75">
      <c r="B40" s="16"/>
      <c r="C40" s="16"/>
      <c r="D40" s="19"/>
      <c r="E40" s="16"/>
      <c r="F40" s="23"/>
      <c r="G40" s="23"/>
    </row>
    <row r="41" spans="1:8" ht="12.75">
      <c r="A41" t="s">
        <v>133</v>
      </c>
      <c r="B41" s="22">
        <f>('9. 2002PILs Proxy Adder Sch'!B41)+('11. Z-Factor Adder Calc'!C82)</f>
        <v>12.951672758710751</v>
      </c>
      <c r="C41" s="16"/>
      <c r="D41" s="19"/>
      <c r="E41" s="16"/>
      <c r="F41" s="23"/>
      <c r="G41" s="23"/>
      <c r="H41" s="22"/>
    </row>
    <row r="42" spans="2:7" ht="12.75">
      <c r="B42" s="16"/>
      <c r="C42" s="16"/>
      <c r="D42" s="19"/>
      <c r="E42" s="16"/>
      <c r="F42" s="16"/>
      <c r="G42" s="16"/>
    </row>
    <row r="43" spans="1:7" ht="12.75">
      <c r="A43" t="s">
        <v>9</v>
      </c>
      <c r="B43" s="23">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0.017881951167543646</v>
      </c>
      <c r="C49" s="16"/>
      <c r="D49" s="19"/>
      <c r="E49" s="16"/>
      <c r="F49" s="16"/>
      <c r="G49" s="16"/>
    </row>
    <row r="50" spans="2:7" ht="12.75">
      <c r="B50" s="16"/>
      <c r="C50" s="16"/>
      <c r="D50" s="19"/>
      <c r="E50" s="16"/>
      <c r="F50" s="16"/>
      <c r="G50" s="16"/>
    </row>
    <row r="51" spans="1:7" ht="12.75">
      <c r="A51" t="s">
        <v>133</v>
      </c>
      <c r="B51" s="22">
        <f>('9. 2002PILs Proxy Adder Sch'!B51)+('11. Z-Factor Adder Calc'!C82)</f>
        <v>12.951672758710751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2.785193127704687</v>
      </c>
      <c r="C62" s="16"/>
      <c r="D62" s="19"/>
      <c r="E62" s="16"/>
      <c r="F62" s="16"/>
      <c r="G62" s="16"/>
    </row>
    <row r="63" spans="2:7" ht="12.75">
      <c r="B63" s="16"/>
      <c r="C63" s="16"/>
      <c r="D63" s="19"/>
      <c r="E63" s="16"/>
      <c r="F63" s="16"/>
      <c r="G63" s="16"/>
    </row>
    <row r="64" spans="1:7" ht="12.75">
      <c r="A64" t="s">
        <v>133</v>
      </c>
      <c r="B64" s="22">
        <f>('9. 2002PILs Proxy Adder Sch'!B64)+('11. Z-Factor Adder Calc'!C106)</f>
        <v>31.069993105690738</v>
      </c>
      <c r="C64" s="16"/>
      <c r="D64" s="19"/>
      <c r="E64" s="16"/>
      <c r="F64" s="16"/>
      <c r="G64" s="16"/>
    </row>
    <row r="65" spans="2:7" ht="12.75">
      <c r="B65" s="16"/>
      <c r="C65" s="16"/>
      <c r="D65" s="19"/>
      <c r="E65" s="16"/>
      <c r="F65" s="16"/>
      <c r="G65" s="16"/>
    </row>
    <row r="66" spans="1:7" ht="12.75">
      <c r="A66" t="s">
        <v>23</v>
      </c>
      <c r="B66" s="23">
        <f>'1. 2001 Approved Rate Schedule'!B66</f>
        <v>8.3174</v>
      </c>
      <c r="C66" s="16"/>
      <c r="D66" s="19"/>
      <c r="E66" s="16"/>
      <c r="F66" s="16"/>
      <c r="G66" s="16"/>
    </row>
    <row r="67" spans="2:7" ht="12.75">
      <c r="B67" s="16"/>
      <c r="C67" s="16"/>
      <c r="D67" s="19"/>
      <c r="E67" s="16"/>
      <c r="F67" s="16"/>
      <c r="G67" s="16"/>
    </row>
    <row r="68" spans="1:7" ht="12.75">
      <c r="A68" t="s">
        <v>9</v>
      </c>
      <c r="B68" s="23">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f>('9. 2002PILs Proxy Adder Sch'!B87)+('11. Z-Factor Adder Calc'!B151)</f>
        <v>1.291091098067285</v>
      </c>
      <c r="C87" s="16"/>
      <c r="D87" s="19"/>
      <c r="E87" s="16"/>
      <c r="F87" s="16"/>
      <c r="G87" s="16"/>
    </row>
    <row r="88" spans="2:7" ht="12.75">
      <c r="B88" s="16"/>
      <c r="C88" s="16"/>
      <c r="D88" s="19"/>
      <c r="E88" s="16"/>
      <c r="F88" s="16"/>
      <c r="G88" s="16"/>
    </row>
    <row r="89" spans="1:7" ht="12.75">
      <c r="A89" t="s">
        <v>133</v>
      </c>
      <c r="B89" s="22">
        <f>('9. 2002PILs Proxy Adder Sch'!B89)+('11. Z-Factor Adder Calc'!C155)</f>
        <v>316.59083759703464</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8.0133</v>
      </c>
      <c r="C94" s="125">
        <f>'1. 2001 Approved Rate Schedule'!C94</f>
        <v>6.2869</v>
      </c>
      <c r="D94" s="125">
        <f>'1. 2001 Approved Rate Schedule'!D94</f>
        <v>0.07100000000000001</v>
      </c>
      <c r="E94" s="125">
        <f>'1. 2001 Approved Rate Schedule'!E94</f>
        <v>0.04240000000000001</v>
      </c>
      <c r="F94" s="125">
        <f>'1. 2001 Approved Rate Schedule'!F94</f>
        <v>0.059899999999999995</v>
      </c>
      <c r="G94" s="125">
        <f>'1. 2001 Approved Rate Schedule'!G94</f>
        <v>0.0314</v>
      </c>
    </row>
    <row r="95" spans="2:7" ht="12.75">
      <c r="B95" s="16"/>
      <c r="C95" s="16"/>
      <c r="D95" s="19"/>
      <c r="E95" s="16"/>
      <c r="F95" s="16"/>
      <c r="G95" s="16"/>
    </row>
    <row r="96" spans="2:7" ht="12.75" hidden="1">
      <c r="B96" s="16"/>
      <c r="C96" s="16"/>
      <c r="D96" s="19"/>
      <c r="E96" s="16"/>
      <c r="F96" s="16"/>
      <c r="G96" s="16"/>
    </row>
    <row r="97" spans="2:7" ht="12.75" hidden="1">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hidden="1">
      <c r="A109" s="5"/>
      <c r="B109" s="125"/>
      <c r="C109" s="125"/>
      <c r="D109" s="125"/>
      <c r="E109" s="125"/>
      <c r="F109" s="125"/>
      <c r="G109" s="125"/>
    </row>
    <row r="110" spans="3:7" ht="12.75" hidden="1">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1.2607931451399994</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0.4646479324107414</v>
      </c>
      <c r="C115" s="16"/>
      <c r="D115" s="19"/>
      <c r="E115" s="16"/>
      <c r="F115" s="16"/>
      <c r="G115" s="16"/>
    </row>
    <row r="116" spans="2:7" ht="12.75">
      <c r="B116" s="16"/>
      <c r="C116" s="16"/>
      <c r="D116" s="19"/>
      <c r="E116" s="16"/>
      <c r="F116" s="16"/>
      <c r="G116" s="16"/>
    </row>
    <row r="117" spans="1:7" ht="12.75">
      <c r="A117" t="s">
        <v>23</v>
      </c>
      <c r="B117" s="16">
        <f>'1. 2001 Approved Rate Schedule'!B117</f>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0.037400145139999154</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0.009707932410741409</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hidden="1">
      <c r="A131" s="17"/>
      <c r="B131" s="16"/>
      <c r="C131" s="16"/>
      <c r="D131" s="19"/>
      <c r="E131" s="16"/>
      <c r="F131" s="16"/>
      <c r="G131" s="16"/>
    </row>
    <row r="132" spans="2:7" ht="12.75" hidden="1">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0.2826965953578611</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0.004907473610519073</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0.8683823953578611</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0.16314747361051907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32.0654</v>
      </c>
      <c r="C151" s="125">
        <f>'1. 2001 Approved Rate Schedule'!C151</f>
        <v>12.7337</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headerFooter alignWithMargins="0">
    <oddHeader>&amp;C&amp;F</oddHeader>
    <oddFooter>&amp;C&amp;A&amp;RPage &amp;P</oddFooter>
  </headerFooter>
  <rowBreaks count="1" manualBreakCount="1">
    <brk id="71" max="255"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zoomScalePageLayoutView="0" workbookViewId="0" topLeftCell="A1">
      <selection activeCell="A16" sqref="A16"/>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hidden="1" customWidth="1"/>
    <col min="11" max="11" width="0" style="0" hidden="1" customWidth="1"/>
    <col min="12" max="12" width="10.57421875" style="0" hidden="1" customWidth="1"/>
    <col min="13" max="13" width="0" style="0" hidden="1" customWidth="1"/>
    <col min="14" max="14" width="10.7109375" style="0" hidden="1" customWidth="1"/>
    <col min="15" max="15" width="0" style="0" hidden="1" customWidth="1"/>
    <col min="16" max="16" width="10.7109375" style="0" hidden="1" customWidth="1"/>
    <col min="17" max="17" width="0" style="0" hidden="1" customWidth="1"/>
    <col min="18" max="18" width="10.7109375" style="0" hidden="1" customWidth="1"/>
    <col min="19" max="19" width="0" style="0" hidden="1" customWidth="1"/>
    <col min="20" max="20" width="10.8515625" style="0" hidden="1" customWidth="1"/>
    <col min="21" max="21" width="0" style="0" hidden="1" customWidth="1"/>
    <col min="22" max="22" width="2.7109375" style="0" customWidth="1"/>
    <col min="23" max="23" width="17.140625" style="0" customWidth="1"/>
  </cols>
  <sheetData>
    <row r="1" ht="18">
      <c r="A1" s="17" t="s">
        <v>318</v>
      </c>
    </row>
    <row r="2" ht="18">
      <c r="A2" s="1"/>
    </row>
    <row r="3" spans="1:7" ht="18">
      <c r="A3" s="139" t="s">
        <v>0</v>
      </c>
      <c r="B3" s="133" t="str">
        <f>'1. 2001 Approved Rate Schedule'!B3</f>
        <v>Centre Wellington Hydro Ltd.</v>
      </c>
      <c r="C3" s="134"/>
      <c r="E3" s="167" t="s">
        <v>1</v>
      </c>
      <c r="F3" s="1"/>
      <c r="G3" s="135" t="str">
        <f>'1. 2001 Approved Rate Schedule'!F3</f>
        <v>ED-1999-0269</v>
      </c>
    </row>
    <row r="4" spans="1:7" ht="18">
      <c r="A4" s="139" t="s">
        <v>3</v>
      </c>
      <c r="B4" s="133" t="str">
        <f>'1. 2001 Approved Rate Schedule'!B4</f>
        <v>Florence Thiessen</v>
      </c>
      <c r="C4" s="17"/>
      <c r="E4" s="167" t="s">
        <v>4</v>
      </c>
      <c r="F4" s="1"/>
      <c r="G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spans="1:3" ht="18">
      <c r="A8" s="30"/>
      <c r="C8" s="17"/>
    </row>
    <row r="9" spans="1:3" ht="18">
      <c r="A9" t="s">
        <v>282</v>
      </c>
      <c r="C9" s="17"/>
    </row>
    <row r="10" spans="1:7" ht="12.75">
      <c r="A10" s="207"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0">
        <v>0</v>
      </c>
      <c r="C19" s="5"/>
      <c r="F19" s="5"/>
      <c r="G19" s="5"/>
    </row>
    <row r="20" spans="1:23" ht="18">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279</v>
      </c>
      <c r="B21" s="183">
        <v>1</v>
      </c>
      <c r="C21" s="198" t="s">
        <v>280</v>
      </c>
      <c r="D21" s="183">
        <v>2</v>
      </c>
      <c r="E21" s="198" t="s">
        <v>280</v>
      </c>
      <c r="F21" s="183">
        <v>3</v>
      </c>
      <c r="G21" s="198" t="s">
        <v>280</v>
      </c>
      <c r="H21" s="183">
        <v>4</v>
      </c>
      <c r="I21" s="194" t="s">
        <v>280</v>
      </c>
      <c r="J21" s="183">
        <v>5</v>
      </c>
      <c r="K21" s="194" t="s">
        <v>280</v>
      </c>
      <c r="L21" s="183">
        <v>6</v>
      </c>
      <c r="M21" s="194" t="s">
        <v>280</v>
      </c>
      <c r="N21" s="183">
        <v>7</v>
      </c>
      <c r="O21" s="194" t="s">
        <v>280</v>
      </c>
      <c r="P21" s="183">
        <v>8</v>
      </c>
      <c r="Q21" s="194" t="s">
        <v>280</v>
      </c>
      <c r="R21" s="183">
        <v>9</v>
      </c>
      <c r="S21" s="184" t="s">
        <v>280</v>
      </c>
      <c r="T21" s="196">
        <v>10</v>
      </c>
      <c r="U21" s="194" t="s">
        <v>280</v>
      </c>
      <c r="V21" s="42"/>
      <c r="W21" s="190" t="s">
        <v>281</v>
      </c>
    </row>
    <row r="22" spans="1:23" ht="12.75">
      <c r="A22" s="201" t="s">
        <v>281</v>
      </c>
      <c r="B22" s="189"/>
      <c r="C22" s="56"/>
      <c r="D22" s="189"/>
      <c r="E22" s="56"/>
      <c r="F22" s="189"/>
      <c r="G22" s="56"/>
      <c r="H22" s="189"/>
      <c r="I22" s="56"/>
      <c r="J22" s="189"/>
      <c r="K22" s="56"/>
      <c r="L22" s="189"/>
      <c r="M22" s="56"/>
      <c r="N22" s="189"/>
      <c r="O22" s="56"/>
      <c r="P22" s="189"/>
      <c r="Q22" s="56"/>
      <c r="R22" s="189"/>
      <c r="S22" s="55"/>
      <c r="T22" s="197"/>
      <c r="U22" s="56"/>
      <c r="V22" s="55"/>
      <c r="W22" s="205">
        <f>SUM(B22:V22)</f>
        <v>0</v>
      </c>
    </row>
    <row r="23" spans="1:23" ht="12.75">
      <c r="A23" s="202" t="s">
        <v>61</v>
      </c>
      <c r="B23" s="188">
        <f>B$22*C23</f>
        <v>0</v>
      </c>
      <c r="C23" s="186">
        <f>F42</f>
        <v>0.5343963553530752</v>
      </c>
      <c r="D23" s="188">
        <f>D$22*E23</f>
        <v>0</v>
      </c>
      <c r="E23" s="195">
        <f>F42</f>
        <v>0.5343963553530752</v>
      </c>
      <c r="F23" s="188">
        <f>F$22*G23</f>
        <v>0</v>
      </c>
      <c r="G23" s="195">
        <f>F42</f>
        <v>0.5343963553530752</v>
      </c>
      <c r="H23" s="188">
        <f>H$22*I23</f>
        <v>0</v>
      </c>
      <c r="I23" s="195">
        <f>F42</f>
        <v>0.5343963553530752</v>
      </c>
      <c r="J23" s="188">
        <f>J$22*K23</f>
        <v>0</v>
      </c>
      <c r="K23" s="195">
        <f>F42</f>
        <v>0.5343963553530752</v>
      </c>
      <c r="L23" s="188">
        <f>L$22*M23</f>
        <v>0</v>
      </c>
      <c r="M23" s="195">
        <f>F42</f>
        <v>0.5343963553530752</v>
      </c>
      <c r="N23" s="188">
        <f>N$22*O23</f>
        <v>0</v>
      </c>
      <c r="O23" s="195">
        <f>F42</f>
        <v>0.5343963553530752</v>
      </c>
      <c r="P23" s="188">
        <f>P$22*Q23</f>
        <v>0</v>
      </c>
      <c r="Q23" s="195">
        <f>F42</f>
        <v>0.5343963553530752</v>
      </c>
      <c r="R23" s="188">
        <f>R$22*S23</f>
        <v>0</v>
      </c>
      <c r="S23" s="206">
        <f>F42</f>
        <v>0.5343963553530752</v>
      </c>
      <c r="T23" s="188">
        <f>T$22*U23</f>
        <v>0</v>
      </c>
      <c r="U23" s="195">
        <f>F42</f>
        <v>0.5343963553530752</v>
      </c>
      <c r="V23" s="42"/>
      <c r="W23" s="191">
        <v>0</v>
      </c>
    </row>
    <row r="24" spans="1:23" ht="12.75">
      <c r="A24" s="202" t="s">
        <v>148</v>
      </c>
      <c r="B24" s="188">
        <f aca="true" t="shared" si="0" ref="B24:B30">B$22*C24</f>
        <v>0</v>
      </c>
      <c r="C24" s="186">
        <f aca="true" t="shared" si="1" ref="C24:C30">F43</f>
        <v>0.18952164009111616</v>
      </c>
      <c r="D24" s="188">
        <f aca="true" t="shared" si="2" ref="D24:D30">D$22*E24</f>
        <v>0</v>
      </c>
      <c r="E24" s="195">
        <f aca="true" t="shared" si="3" ref="E24:E30">F43</f>
        <v>0.18952164009111616</v>
      </c>
      <c r="F24" s="188">
        <f aca="true" t="shared" si="4" ref="F24:F30">F$22*G24</f>
        <v>0</v>
      </c>
      <c r="G24" s="195">
        <f aca="true" t="shared" si="5" ref="G24:G30">F43</f>
        <v>0.18952164009111616</v>
      </c>
      <c r="H24" s="188">
        <f aca="true" t="shared" si="6" ref="H24:H30">H$22*I24</f>
        <v>0</v>
      </c>
      <c r="I24" s="195">
        <f aca="true" t="shared" si="7" ref="I24:I30">F43</f>
        <v>0.18952164009111616</v>
      </c>
      <c r="J24" s="188">
        <f aca="true" t="shared" si="8" ref="J24:J30">J$22*K24</f>
        <v>0</v>
      </c>
      <c r="K24" s="195">
        <f aca="true" t="shared" si="9" ref="K24:K30">F43</f>
        <v>0.18952164009111616</v>
      </c>
      <c r="L24" s="188">
        <f aca="true" t="shared" si="10" ref="L24:L30">L$22*M24</f>
        <v>0</v>
      </c>
      <c r="M24" s="195">
        <f aca="true" t="shared" si="11" ref="M24:M30">F43</f>
        <v>0.18952164009111616</v>
      </c>
      <c r="N24" s="188">
        <f aca="true" t="shared" si="12" ref="N24:N30">N$22*O24</f>
        <v>0</v>
      </c>
      <c r="O24" s="195">
        <f aca="true" t="shared" si="13" ref="O24:O30">F43</f>
        <v>0.18952164009111616</v>
      </c>
      <c r="P24" s="188">
        <f aca="true" t="shared" si="14" ref="P24:P30">P$22*Q24</f>
        <v>0</v>
      </c>
      <c r="Q24" s="195">
        <f aca="true" t="shared" si="15" ref="Q24:Q30">F43</f>
        <v>0.18952164009111616</v>
      </c>
      <c r="R24" s="188">
        <f aca="true" t="shared" si="16" ref="R24:R30">R$22*S24</f>
        <v>0</v>
      </c>
      <c r="S24" s="195">
        <f aca="true" t="shared" si="17" ref="S24:S30">F43</f>
        <v>0.18952164009111616</v>
      </c>
      <c r="T24" s="188">
        <f aca="true" t="shared" si="18" ref="T24:T30">T$22*U24</f>
        <v>0</v>
      </c>
      <c r="U24" s="195">
        <f aca="true" t="shared" si="19" ref="U24:U30">F43</f>
        <v>0.18952164009111616</v>
      </c>
      <c r="V24" s="42"/>
      <c r="W24" s="191">
        <v>0</v>
      </c>
    </row>
    <row r="25" spans="1:23" ht="12.75">
      <c r="A25" s="202" t="s">
        <v>149</v>
      </c>
      <c r="B25" s="188">
        <f t="shared" si="0"/>
        <v>0</v>
      </c>
      <c r="C25" s="186">
        <f t="shared" si="1"/>
        <v>0.21047835990888383</v>
      </c>
      <c r="D25" s="188">
        <f t="shared" si="2"/>
        <v>0</v>
      </c>
      <c r="E25" s="195">
        <f t="shared" si="3"/>
        <v>0.21047835990888383</v>
      </c>
      <c r="F25" s="188">
        <f t="shared" si="4"/>
        <v>0</v>
      </c>
      <c r="G25" s="195">
        <f t="shared" si="5"/>
        <v>0.21047835990888383</v>
      </c>
      <c r="H25" s="188">
        <f t="shared" si="6"/>
        <v>0</v>
      </c>
      <c r="I25" s="195">
        <f t="shared" si="7"/>
        <v>0.21047835990888383</v>
      </c>
      <c r="J25" s="188">
        <f t="shared" si="8"/>
        <v>0</v>
      </c>
      <c r="K25" s="195">
        <f t="shared" si="9"/>
        <v>0.21047835990888383</v>
      </c>
      <c r="L25" s="188">
        <f t="shared" si="10"/>
        <v>0</v>
      </c>
      <c r="M25" s="195">
        <f t="shared" si="11"/>
        <v>0.21047835990888383</v>
      </c>
      <c r="N25" s="188">
        <f t="shared" si="12"/>
        <v>0</v>
      </c>
      <c r="O25" s="195">
        <f t="shared" si="13"/>
        <v>0.21047835990888383</v>
      </c>
      <c r="P25" s="188">
        <f t="shared" si="14"/>
        <v>0</v>
      </c>
      <c r="Q25" s="195">
        <f t="shared" si="15"/>
        <v>0.21047835990888383</v>
      </c>
      <c r="R25" s="188">
        <f t="shared" si="16"/>
        <v>0</v>
      </c>
      <c r="S25" s="195">
        <f t="shared" si="17"/>
        <v>0.21047835990888383</v>
      </c>
      <c r="T25" s="188">
        <f t="shared" si="18"/>
        <v>0</v>
      </c>
      <c r="U25" s="195">
        <f t="shared" si="19"/>
        <v>0.21047835990888383</v>
      </c>
      <c r="V25" s="42"/>
      <c r="W25" s="191">
        <v>0</v>
      </c>
    </row>
    <row r="26" spans="1:23" ht="12.75">
      <c r="A26" s="202" t="s">
        <v>116</v>
      </c>
      <c r="B26" s="188">
        <f t="shared" si="0"/>
        <v>0</v>
      </c>
      <c r="C26" s="186">
        <f t="shared" si="1"/>
        <v>0</v>
      </c>
      <c r="D26" s="188">
        <f t="shared" si="2"/>
        <v>0</v>
      </c>
      <c r="E26" s="195">
        <f t="shared" si="3"/>
        <v>0</v>
      </c>
      <c r="F26" s="188">
        <f t="shared" si="4"/>
        <v>0</v>
      </c>
      <c r="G26" s="195">
        <f t="shared" si="5"/>
        <v>0</v>
      </c>
      <c r="H26" s="188">
        <f t="shared" si="6"/>
        <v>0</v>
      </c>
      <c r="I26" s="195">
        <f t="shared" si="7"/>
        <v>0</v>
      </c>
      <c r="J26" s="188">
        <f t="shared" si="8"/>
        <v>0</v>
      </c>
      <c r="K26" s="195">
        <f t="shared" si="9"/>
        <v>0</v>
      </c>
      <c r="L26" s="188">
        <f t="shared" si="10"/>
        <v>0</v>
      </c>
      <c r="M26" s="195">
        <f t="shared" si="11"/>
        <v>0</v>
      </c>
      <c r="N26" s="188">
        <f t="shared" si="12"/>
        <v>0</v>
      </c>
      <c r="O26" s="195">
        <f t="shared" si="13"/>
        <v>0</v>
      </c>
      <c r="P26" s="188">
        <f t="shared" si="14"/>
        <v>0</v>
      </c>
      <c r="Q26" s="195">
        <f t="shared" si="15"/>
        <v>0</v>
      </c>
      <c r="R26" s="188">
        <f t="shared" si="16"/>
        <v>0</v>
      </c>
      <c r="S26" s="195">
        <f t="shared" si="17"/>
        <v>0</v>
      </c>
      <c r="T26" s="188">
        <f t="shared" si="18"/>
        <v>0</v>
      </c>
      <c r="U26" s="195">
        <f t="shared" si="19"/>
        <v>0</v>
      </c>
      <c r="V26" s="42"/>
      <c r="W26" s="191">
        <v>0</v>
      </c>
    </row>
    <row r="27" spans="1:23" ht="12.75">
      <c r="A27" s="202" t="s">
        <v>5</v>
      </c>
      <c r="B27" s="188">
        <f t="shared" si="0"/>
        <v>0</v>
      </c>
      <c r="C27" s="186">
        <f t="shared" si="1"/>
        <v>0.0633257403189066</v>
      </c>
      <c r="D27" s="188">
        <f t="shared" si="2"/>
        <v>0</v>
      </c>
      <c r="E27" s="195">
        <f t="shared" si="3"/>
        <v>0.0633257403189066</v>
      </c>
      <c r="F27" s="188">
        <f t="shared" si="4"/>
        <v>0</v>
      </c>
      <c r="G27" s="195">
        <f t="shared" si="5"/>
        <v>0.0633257403189066</v>
      </c>
      <c r="H27" s="188">
        <f t="shared" si="6"/>
        <v>0</v>
      </c>
      <c r="I27" s="195">
        <f t="shared" si="7"/>
        <v>0.0633257403189066</v>
      </c>
      <c r="J27" s="188">
        <f t="shared" si="8"/>
        <v>0</v>
      </c>
      <c r="K27" s="195">
        <f t="shared" si="9"/>
        <v>0.0633257403189066</v>
      </c>
      <c r="L27" s="188">
        <f t="shared" si="10"/>
        <v>0</v>
      </c>
      <c r="M27" s="195">
        <f t="shared" si="11"/>
        <v>0.0633257403189066</v>
      </c>
      <c r="N27" s="188">
        <f t="shared" si="12"/>
        <v>0</v>
      </c>
      <c r="O27" s="195">
        <f t="shared" si="13"/>
        <v>0.0633257403189066</v>
      </c>
      <c r="P27" s="188">
        <f t="shared" si="14"/>
        <v>0</v>
      </c>
      <c r="Q27" s="195">
        <f t="shared" si="15"/>
        <v>0.0633257403189066</v>
      </c>
      <c r="R27" s="188">
        <f t="shared" si="16"/>
        <v>0</v>
      </c>
      <c r="S27" s="195">
        <f t="shared" si="17"/>
        <v>0.0633257403189066</v>
      </c>
      <c r="T27" s="188">
        <f t="shared" si="18"/>
        <v>0</v>
      </c>
      <c r="U27" s="195">
        <f t="shared" si="19"/>
        <v>0.0633257403189066</v>
      </c>
      <c r="V27" s="42"/>
      <c r="W27" s="191">
        <v>0</v>
      </c>
    </row>
    <row r="28" spans="1:23" ht="12.75">
      <c r="A28" s="202" t="s">
        <v>64</v>
      </c>
      <c r="B28" s="188">
        <f t="shared" si="0"/>
        <v>0</v>
      </c>
      <c r="C28" s="186">
        <f t="shared" si="1"/>
        <v>0</v>
      </c>
      <c r="D28" s="188">
        <f t="shared" si="2"/>
        <v>0</v>
      </c>
      <c r="E28" s="195">
        <f t="shared" si="3"/>
        <v>0</v>
      </c>
      <c r="F28" s="188">
        <f t="shared" si="4"/>
        <v>0</v>
      </c>
      <c r="G28" s="195">
        <f t="shared" si="5"/>
        <v>0</v>
      </c>
      <c r="H28" s="188">
        <f t="shared" si="6"/>
        <v>0</v>
      </c>
      <c r="I28" s="195">
        <f t="shared" si="7"/>
        <v>0</v>
      </c>
      <c r="J28" s="188">
        <f t="shared" si="8"/>
        <v>0</v>
      </c>
      <c r="K28" s="195">
        <f t="shared" si="9"/>
        <v>0</v>
      </c>
      <c r="L28" s="188">
        <f t="shared" si="10"/>
        <v>0</v>
      </c>
      <c r="M28" s="195">
        <f t="shared" si="11"/>
        <v>0</v>
      </c>
      <c r="N28" s="188">
        <f t="shared" si="12"/>
        <v>0</v>
      </c>
      <c r="O28" s="195">
        <f t="shared" si="13"/>
        <v>0</v>
      </c>
      <c r="P28" s="188">
        <f t="shared" si="14"/>
        <v>0</v>
      </c>
      <c r="Q28" s="195">
        <f t="shared" si="15"/>
        <v>0</v>
      </c>
      <c r="R28" s="188">
        <f t="shared" si="16"/>
        <v>0</v>
      </c>
      <c r="S28" s="195">
        <f t="shared" si="17"/>
        <v>0</v>
      </c>
      <c r="T28" s="188">
        <f t="shared" si="18"/>
        <v>0</v>
      </c>
      <c r="U28" s="195">
        <f t="shared" si="19"/>
        <v>0</v>
      </c>
      <c r="V28" s="42"/>
      <c r="W28" s="191">
        <v>0</v>
      </c>
    </row>
    <row r="29" spans="1:23" ht="12.75">
      <c r="A29" s="202" t="s">
        <v>62</v>
      </c>
      <c r="B29" s="188">
        <f t="shared" si="0"/>
        <v>0</v>
      </c>
      <c r="C29" s="186">
        <f t="shared" si="1"/>
        <v>0</v>
      </c>
      <c r="D29" s="188">
        <f t="shared" si="2"/>
        <v>0</v>
      </c>
      <c r="E29" s="195">
        <f t="shared" si="3"/>
        <v>0</v>
      </c>
      <c r="F29" s="188">
        <f t="shared" si="4"/>
        <v>0</v>
      </c>
      <c r="G29" s="195">
        <f t="shared" si="5"/>
        <v>0</v>
      </c>
      <c r="H29" s="188">
        <f t="shared" si="6"/>
        <v>0</v>
      </c>
      <c r="I29" s="195">
        <f t="shared" si="7"/>
        <v>0</v>
      </c>
      <c r="J29" s="188">
        <f t="shared" si="8"/>
        <v>0</v>
      </c>
      <c r="K29" s="195">
        <f t="shared" si="9"/>
        <v>0</v>
      </c>
      <c r="L29" s="188">
        <f t="shared" si="10"/>
        <v>0</v>
      </c>
      <c r="M29" s="195">
        <f t="shared" si="11"/>
        <v>0</v>
      </c>
      <c r="N29" s="188">
        <f t="shared" si="12"/>
        <v>0</v>
      </c>
      <c r="O29" s="195">
        <f t="shared" si="13"/>
        <v>0</v>
      </c>
      <c r="P29" s="188">
        <f t="shared" si="14"/>
        <v>0</v>
      </c>
      <c r="Q29" s="195">
        <f t="shared" si="15"/>
        <v>0</v>
      </c>
      <c r="R29" s="188">
        <f t="shared" si="16"/>
        <v>0</v>
      </c>
      <c r="S29" s="195">
        <f t="shared" si="17"/>
        <v>0</v>
      </c>
      <c r="T29" s="188">
        <f t="shared" si="18"/>
        <v>0</v>
      </c>
      <c r="U29" s="195">
        <f t="shared" si="19"/>
        <v>0</v>
      </c>
      <c r="V29" s="42"/>
      <c r="W29" s="191">
        <v>0</v>
      </c>
    </row>
    <row r="30" spans="1:23" ht="12.75">
      <c r="A30" s="202" t="s">
        <v>63</v>
      </c>
      <c r="B30" s="188">
        <f t="shared" si="0"/>
        <v>0</v>
      </c>
      <c r="C30" s="186">
        <f t="shared" si="1"/>
        <v>0.002277904328018223</v>
      </c>
      <c r="D30" s="188">
        <f t="shared" si="2"/>
        <v>0</v>
      </c>
      <c r="E30" s="195">
        <f t="shared" si="3"/>
        <v>0.002277904328018223</v>
      </c>
      <c r="F30" s="188">
        <f t="shared" si="4"/>
        <v>0</v>
      </c>
      <c r="G30" s="195">
        <f t="shared" si="5"/>
        <v>0.002277904328018223</v>
      </c>
      <c r="H30" s="188">
        <f t="shared" si="6"/>
        <v>0</v>
      </c>
      <c r="I30" s="195">
        <f t="shared" si="7"/>
        <v>0.002277904328018223</v>
      </c>
      <c r="J30" s="188">
        <f t="shared" si="8"/>
        <v>0</v>
      </c>
      <c r="K30" s="195">
        <f t="shared" si="9"/>
        <v>0.002277904328018223</v>
      </c>
      <c r="L30" s="188">
        <f t="shared" si="10"/>
        <v>0</v>
      </c>
      <c r="M30" s="195">
        <f t="shared" si="11"/>
        <v>0.002277904328018223</v>
      </c>
      <c r="N30" s="188">
        <f t="shared" si="12"/>
        <v>0</v>
      </c>
      <c r="O30" s="195">
        <f t="shared" si="13"/>
        <v>0.002277904328018223</v>
      </c>
      <c r="P30" s="188">
        <f t="shared" si="14"/>
        <v>0</v>
      </c>
      <c r="Q30" s="195">
        <f t="shared" si="15"/>
        <v>0.002277904328018223</v>
      </c>
      <c r="R30" s="188">
        <f t="shared" si="16"/>
        <v>0</v>
      </c>
      <c r="S30" s="195">
        <f t="shared" si="17"/>
        <v>0.002277904328018223</v>
      </c>
      <c r="T30" s="188">
        <f t="shared" si="18"/>
        <v>0</v>
      </c>
      <c r="U30" s="195">
        <f t="shared" si="19"/>
        <v>0.002277904328018223</v>
      </c>
      <c r="V30" s="42"/>
      <c r="W30" s="191">
        <v>0</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60</v>
      </c>
      <c r="B32" s="42"/>
      <c r="C32" s="186">
        <f>SUM(C23:C31)</f>
        <v>1</v>
      </c>
      <c r="D32" s="42"/>
      <c r="E32" s="186">
        <f>SUM(E23:E31)</f>
        <v>1</v>
      </c>
      <c r="F32" s="42"/>
      <c r="G32" s="186">
        <f>SUM(G23:G31)</f>
        <v>1</v>
      </c>
      <c r="H32" s="42"/>
      <c r="I32" s="186">
        <f>SUM(I23:I31)</f>
        <v>1</v>
      </c>
      <c r="J32" s="42"/>
      <c r="K32" s="186">
        <f>SUM(K23:K31)</f>
        <v>1</v>
      </c>
      <c r="L32" s="42"/>
      <c r="M32" s="186">
        <f>SUM(M23:M31)</f>
        <v>1</v>
      </c>
      <c r="N32" s="42"/>
      <c r="O32" s="186">
        <f>SUM(O23:O31)</f>
        <v>1</v>
      </c>
      <c r="P32" s="42"/>
      <c r="Q32" s="186">
        <f>SUM(Q23:Q31)</f>
        <v>1</v>
      </c>
      <c r="R32" s="42"/>
      <c r="S32" s="185">
        <f>SUM(S23:S31)</f>
        <v>1</v>
      </c>
      <c r="T32" s="41"/>
      <c r="U32" s="186">
        <f>SUM(U23:U31)</f>
        <v>1</v>
      </c>
      <c r="V32" s="42"/>
      <c r="W32" s="204"/>
    </row>
    <row r="33" spans="1:23" ht="18">
      <c r="A33" s="203"/>
      <c r="B33" s="42"/>
      <c r="C33" s="199"/>
      <c r="D33" s="42"/>
      <c r="E33" s="44"/>
      <c r="F33" s="42"/>
      <c r="G33" s="44"/>
      <c r="H33" s="42"/>
      <c r="I33" s="44"/>
      <c r="J33" s="42"/>
      <c r="K33" s="44"/>
      <c r="L33" s="42"/>
      <c r="M33" s="44"/>
      <c r="N33" s="42"/>
      <c r="O33" s="44"/>
      <c r="P33" s="42"/>
      <c r="Q33" s="44"/>
      <c r="R33" s="42"/>
      <c r="S33" s="42"/>
      <c r="T33" s="41"/>
      <c r="U33" s="44"/>
      <c r="V33" s="42"/>
      <c r="W33" s="191">
        <f>SUM(W23:W32)</f>
        <v>0</v>
      </c>
    </row>
    <row r="34" spans="1:23" ht="18">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6" ht="12.75" hidden="1"/>
    <row r="37" spans="2:3" ht="12.75" hidden="1">
      <c r="B37" s="10"/>
      <c r="C37" s="77"/>
    </row>
    <row r="38" ht="12.75" hidden="1"/>
    <row r="40" spans="1:8" ht="51">
      <c r="A40" s="168"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40647000</v>
      </c>
      <c r="D42" s="79">
        <f>'6. 2001PILs DefAcct Adder Calc'!D26</f>
        <v>4770</v>
      </c>
      <c r="E42" s="80">
        <f>'6. 2001PILs DefAcct Adder Calc'!E26</f>
        <v>1173000</v>
      </c>
      <c r="F42" s="81">
        <f>E42/E51</f>
        <v>0.5343963553530752</v>
      </c>
      <c r="G42" s="82">
        <f aca="true" t="shared" si="20" ref="G42:G49">W23</f>
        <v>0</v>
      </c>
      <c r="H42" s="83"/>
    </row>
    <row r="43" spans="1:8" ht="12.75">
      <c r="A43" s="70" t="s">
        <v>148</v>
      </c>
      <c r="B43" s="78" t="s">
        <v>66</v>
      </c>
      <c r="C43" s="57">
        <f>'6. 2001PILs DefAcct Adder Calc'!C27</f>
        <v>22000000</v>
      </c>
      <c r="D43" s="79">
        <f>'6. 2001PILs DefAcct Adder Calc'!D27</f>
        <v>622</v>
      </c>
      <c r="E43" s="80">
        <f>'6. 2001PILs DefAcct Adder Calc'!E27</f>
        <v>416000</v>
      </c>
      <c r="F43" s="81">
        <f>E43/E51</f>
        <v>0.18952164009111616</v>
      </c>
      <c r="G43" s="82">
        <f t="shared" si="20"/>
        <v>0</v>
      </c>
      <c r="H43" s="83"/>
    </row>
    <row r="44" spans="1:8" ht="12.75">
      <c r="A44" s="70" t="s">
        <v>149</v>
      </c>
      <c r="B44" s="85">
        <f>'6. 2001PILs DefAcct Adder Calc'!B28</f>
        <v>189000</v>
      </c>
      <c r="C44" s="86" t="s">
        <v>66</v>
      </c>
      <c r="D44" s="79">
        <f>'6. 2001PILs DefAcct Adder Calc'!D28</f>
        <v>48</v>
      </c>
      <c r="E44" s="80">
        <f>'6. 2001PILs DefAcct Adder Calc'!E28</f>
        <v>462000</v>
      </c>
      <c r="F44" s="81">
        <f>E44/E51</f>
        <v>0.21047835990888383</v>
      </c>
      <c r="G44" s="82">
        <f t="shared" si="20"/>
        <v>0</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0"/>
        <v>0</v>
      </c>
      <c r="H45" s="87"/>
    </row>
    <row r="46" spans="1:8" ht="12.75">
      <c r="A46" s="70" t="s">
        <v>5</v>
      </c>
      <c r="B46" s="85">
        <f>'6. 2001PILs DefAcct Adder Calc'!B30</f>
        <v>121000</v>
      </c>
      <c r="C46" s="78" t="s">
        <v>66</v>
      </c>
      <c r="D46" s="79">
        <f>'6. 2001PILs DefAcct Adder Calc'!D30</f>
        <v>2</v>
      </c>
      <c r="E46" s="80">
        <f>'6. 2001PILs DefAcct Adder Calc'!E30</f>
        <v>139000</v>
      </c>
      <c r="F46" s="81">
        <f>E46/E51</f>
        <v>0.0633257403189066</v>
      </c>
      <c r="G46" s="82">
        <f t="shared" si="20"/>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0"/>
        <v>0</v>
      </c>
      <c r="H47" s="87"/>
    </row>
    <row r="48" spans="1:8" ht="12.75">
      <c r="A48" s="70" t="s">
        <v>62</v>
      </c>
      <c r="B48" s="85">
        <f>'6. 2001PILs DefAcct Adder Calc'!B32</f>
        <v>59</v>
      </c>
      <c r="C48" s="86" t="s">
        <v>66</v>
      </c>
      <c r="D48" s="79">
        <f>'6. 2001PILs DefAcct Adder Calc'!D32</f>
        <v>33</v>
      </c>
      <c r="E48" s="80">
        <f>'6. 2001PILs DefAcct Adder Calc'!E32</f>
        <v>0</v>
      </c>
      <c r="F48" s="81">
        <f>E48/E51</f>
        <v>0</v>
      </c>
      <c r="G48" s="82">
        <f t="shared" si="20"/>
        <v>0</v>
      </c>
      <c r="H48" s="83"/>
    </row>
    <row r="49" spans="1:8" ht="12.75">
      <c r="A49" s="70" t="s">
        <v>63</v>
      </c>
      <c r="B49" s="89">
        <f>'6. 2001PILs DefAcct Adder Calc'!B33</f>
        <v>3000</v>
      </c>
      <c r="C49" s="90" t="s">
        <v>66</v>
      </c>
      <c r="D49" s="91">
        <f>'6. 2001PILs DefAcct Adder Calc'!D33</f>
        <v>1472</v>
      </c>
      <c r="E49" s="165">
        <f>'6. 2001PILs DefAcct Adder Calc'!E33</f>
        <v>5000</v>
      </c>
      <c r="F49" s="93">
        <f>E49/E51</f>
        <v>0.002277904328018223</v>
      </c>
      <c r="G49" s="94">
        <f t="shared" si="20"/>
        <v>0</v>
      </c>
      <c r="H49" s="95"/>
    </row>
    <row r="50" spans="1:8" ht="12.75">
      <c r="A50" s="70"/>
      <c r="B50" s="96"/>
      <c r="C50" s="97"/>
      <c r="D50" s="98"/>
      <c r="E50" s="96"/>
      <c r="F50" s="96"/>
      <c r="G50" s="82"/>
      <c r="H50" s="77"/>
    </row>
    <row r="51" spans="1:8" ht="12.75">
      <c r="A51" s="70" t="s">
        <v>60</v>
      </c>
      <c r="B51" s="42"/>
      <c r="C51" s="98"/>
      <c r="D51" s="96"/>
      <c r="E51" s="163">
        <f>SUM(E42:E49)</f>
        <v>2195000</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75</v>
      </c>
    </row>
    <row r="56" ht="10.5" customHeight="1">
      <c r="A56" s="30"/>
    </row>
    <row r="57" ht="14.25">
      <c r="A57" s="166" t="s">
        <v>212</v>
      </c>
    </row>
    <row r="58" ht="9" customHeight="1">
      <c r="A58" s="36"/>
    </row>
    <row r="59" spans="1:4" ht="51.75" customHeight="1">
      <c r="A59" s="36"/>
      <c r="B59" s="27" t="s">
        <v>68</v>
      </c>
      <c r="C59" s="27" t="s">
        <v>69</v>
      </c>
      <c r="D59" s="212" t="s">
        <v>294</v>
      </c>
    </row>
    <row r="60" spans="1:3" ht="15">
      <c r="A60" s="36"/>
      <c r="B60" s="37" t="s">
        <v>67</v>
      </c>
      <c r="C60" s="37" t="s">
        <v>67</v>
      </c>
    </row>
    <row r="61" spans="1:4" ht="15">
      <c r="A61" s="36"/>
      <c r="B61" s="38">
        <f>'3. 1999 Data &amp; add 2002 MARR'!B45</f>
        <v>0.38</v>
      </c>
      <c r="C61" s="38">
        <f>1-B61</f>
        <v>0.62</v>
      </c>
      <c r="D61" s="39">
        <f>B61+C61</f>
        <v>1</v>
      </c>
    </row>
    <row r="62" spans="2:4" ht="13.5" customHeight="1">
      <c r="B62" s="27"/>
      <c r="C62" s="27"/>
      <c r="D62" s="27"/>
    </row>
    <row r="63" spans="1:4" ht="12.75">
      <c r="A63" t="s">
        <v>302</v>
      </c>
      <c r="B63" s="77">
        <f>D63*B61</f>
        <v>0</v>
      </c>
      <c r="C63" s="77">
        <f>D63*C61</f>
        <v>0</v>
      </c>
      <c r="D63" s="77">
        <f>G42</f>
        <v>0</v>
      </c>
    </row>
    <row r="64" spans="1:4" ht="12.75">
      <c r="A64" t="s">
        <v>303</v>
      </c>
      <c r="B64" s="77"/>
      <c r="C64" s="77"/>
      <c r="D64" s="77"/>
    </row>
    <row r="65" spans="2:4" ht="12.75">
      <c r="B65" s="77"/>
      <c r="C65" s="77"/>
      <c r="D65" s="77"/>
    </row>
    <row r="66" spans="1:2" ht="12.75">
      <c r="A66" t="s">
        <v>70</v>
      </c>
      <c r="B66" s="14">
        <f>C42</f>
        <v>40647000</v>
      </c>
    </row>
    <row r="68" spans="1:3" ht="12.75">
      <c r="A68" t="s">
        <v>71</v>
      </c>
      <c r="C68" s="40">
        <f>D42</f>
        <v>4770</v>
      </c>
    </row>
    <row r="70" spans="1:2" ht="12.75">
      <c r="A70" t="s">
        <v>72</v>
      </c>
      <c r="B70" s="101">
        <f>B63/B66</f>
        <v>0</v>
      </c>
    </row>
    <row r="71" ht="12.75">
      <c r="A71" t="s">
        <v>304</v>
      </c>
    </row>
    <row r="72" ht="12.75">
      <c r="A72" t="s">
        <v>322</v>
      </c>
    </row>
    <row r="74" spans="1:3" ht="12.75">
      <c r="A74" t="s">
        <v>74</v>
      </c>
      <c r="C74" s="102">
        <f>C63/C68/12</f>
        <v>0</v>
      </c>
    </row>
    <row r="75" ht="12.75">
      <c r="A75" t="s">
        <v>305</v>
      </c>
    </row>
    <row r="76" ht="12.75">
      <c r="A76" t="s">
        <v>323</v>
      </c>
    </row>
    <row r="79" ht="15.75">
      <c r="A79" s="72" t="s">
        <v>76</v>
      </c>
    </row>
    <row r="80" ht="7.5" customHeight="1">
      <c r="A80" s="72"/>
    </row>
    <row r="81" ht="14.25">
      <c r="A81" s="166" t="s">
        <v>212</v>
      </c>
    </row>
    <row r="82" ht="8.25" customHeight="1">
      <c r="A82" s="36"/>
    </row>
    <row r="83" spans="1:4" ht="38.25">
      <c r="A83" s="36"/>
      <c r="B83" s="27" t="s">
        <v>68</v>
      </c>
      <c r="C83" s="27" t="s">
        <v>69</v>
      </c>
      <c r="D83" s="212" t="s">
        <v>294</v>
      </c>
    </row>
    <row r="84" spans="1:3" ht="13.5" customHeight="1">
      <c r="A84" s="36"/>
      <c r="B84" s="37" t="s">
        <v>67</v>
      </c>
      <c r="C84" s="37" t="s">
        <v>67</v>
      </c>
    </row>
    <row r="85" spans="1:4" ht="15">
      <c r="A85" s="36"/>
      <c r="B85" s="38">
        <f>'3. 1999 Data &amp; add 2002 MARR'!B69</f>
        <v>0.768</v>
      </c>
      <c r="C85" s="38">
        <f>1-B85</f>
        <v>0.23199999999999998</v>
      </c>
      <c r="D85" s="39">
        <f>B85+C85</f>
        <v>1</v>
      </c>
    </row>
    <row r="86" spans="2:4" ht="12.75">
      <c r="B86" s="27"/>
      <c r="C86" s="27"/>
      <c r="D86" s="27"/>
    </row>
    <row r="87" spans="1:4" ht="12.75">
      <c r="A87" t="s">
        <v>302</v>
      </c>
      <c r="B87" s="77">
        <f>D87*B85</f>
        <v>0</v>
      </c>
      <c r="C87" s="77">
        <f>D87*C85</f>
        <v>0</v>
      </c>
      <c r="D87" s="77">
        <f>G43</f>
        <v>0</v>
      </c>
    </row>
    <row r="88" spans="1:4" ht="12.75">
      <c r="A88" t="s">
        <v>312</v>
      </c>
      <c r="B88" s="77"/>
      <c r="C88" s="77"/>
      <c r="D88" s="77"/>
    </row>
    <row r="89" spans="2:4" ht="12.75">
      <c r="B89" s="77"/>
      <c r="C89" s="77"/>
      <c r="D89" s="77"/>
    </row>
    <row r="90" spans="1:2" ht="12.75">
      <c r="A90" t="s">
        <v>70</v>
      </c>
      <c r="B90" s="14">
        <f>C43</f>
        <v>22000000</v>
      </c>
    </row>
    <row r="92" spans="1:3" ht="12.75">
      <c r="A92" t="s">
        <v>71</v>
      </c>
      <c r="C92" s="40">
        <f>D43</f>
        <v>622</v>
      </c>
    </row>
    <row r="94" spans="1:2" ht="12.75">
      <c r="A94" t="s">
        <v>72</v>
      </c>
      <c r="B94" s="101">
        <f>B87/B90</f>
        <v>0</v>
      </c>
    </row>
    <row r="95" ht="12.75">
      <c r="A95" t="s">
        <v>304</v>
      </c>
    </row>
    <row r="96" ht="12.75">
      <c r="A96" t="s">
        <v>322</v>
      </c>
    </row>
    <row r="98" spans="1:3" ht="12.75">
      <c r="A98" t="s">
        <v>74</v>
      </c>
      <c r="C98" s="102">
        <f>C87/C92/12</f>
        <v>0</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6" t="s">
        <v>212</v>
      </c>
    </row>
    <row r="106" ht="9" customHeight="1">
      <c r="A106" s="36"/>
    </row>
    <row r="107" spans="1:4" ht="38.25">
      <c r="A107" s="36"/>
      <c r="B107" s="27" t="s">
        <v>68</v>
      </c>
      <c r="C107" s="27" t="s">
        <v>69</v>
      </c>
      <c r="D107" s="212" t="s">
        <v>294</v>
      </c>
    </row>
    <row r="108" spans="1:3" ht="15">
      <c r="A108" s="36"/>
      <c r="B108" s="37" t="s">
        <v>67</v>
      </c>
      <c r="C108" s="37" t="s">
        <v>67</v>
      </c>
    </row>
    <row r="109" spans="1:4" ht="15">
      <c r="A109" s="36"/>
      <c r="B109" s="38">
        <f>'3. 1999 Data &amp; add 2002 MARR'!B93</f>
        <v>0.95</v>
      </c>
      <c r="C109" s="38">
        <f>1-B109</f>
        <v>0.050000000000000044</v>
      </c>
      <c r="D109" s="39">
        <f>B109+C109</f>
        <v>1</v>
      </c>
    </row>
    <row r="110" spans="2:4" ht="12.75">
      <c r="B110" s="27"/>
      <c r="C110" s="27"/>
      <c r="D110" s="27"/>
    </row>
    <row r="111" spans="1:4" ht="12.75">
      <c r="A111" t="s">
        <v>302</v>
      </c>
      <c r="B111" s="77">
        <f>D111*B109</f>
        <v>0</v>
      </c>
      <c r="C111" s="77">
        <f>D111*C109</f>
        <v>0</v>
      </c>
      <c r="D111" s="77">
        <f>G44</f>
        <v>0</v>
      </c>
    </row>
    <row r="112" spans="1:4" ht="12.75">
      <c r="A112" t="s">
        <v>311</v>
      </c>
      <c r="B112" s="77"/>
      <c r="C112" s="77"/>
      <c r="D112" s="77"/>
    </row>
    <row r="113" spans="2:4" ht="12.75">
      <c r="B113" s="77"/>
      <c r="C113" s="77"/>
      <c r="D113" s="77"/>
    </row>
    <row r="114" spans="1:2" ht="12.75">
      <c r="A114" t="s">
        <v>83</v>
      </c>
      <c r="B114" s="14">
        <f>B44</f>
        <v>189000</v>
      </c>
    </row>
    <row r="116" spans="1:3" ht="12.75">
      <c r="A116" t="s">
        <v>71</v>
      </c>
      <c r="C116" s="40">
        <f>D44</f>
        <v>48</v>
      </c>
    </row>
    <row r="118" spans="1:2" ht="12.75">
      <c r="A118" t="s">
        <v>84</v>
      </c>
      <c r="B118" s="101">
        <f>B111/B114</f>
        <v>0</v>
      </c>
    </row>
    <row r="119" ht="12.75">
      <c r="A119" t="s">
        <v>313</v>
      </c>
    </row>
    <row r="120" ht="12.75">
      <c r="A120" t="s">
        <v>322</v>
      </c>
    </row>
    <row r="122" spans="1:3" ht="12.75">
      <c r="A122" t="s">
        <v>74</v>
      </c>
      <c r="C122" s="102">
        <f>C111/C116/12</f>
        <v>0</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6" t="s">
        <v>212</v>
      </c>
    </row>
    <row r="130" ht="6" customHeight="1">
      <c r="A130" s="36"/>
    </row>
    <row r="131" spans="1:4" ht="38.25">
      <c r="A131" s="36"/>
      <c r="B131" s="27" t="s">
        <v>68</v>
      </c>
      <c r="C131" s="27" t="s">
        <v>69</v>
      </c>
      <c r="D131" s="212"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75">
      <c r="A151" s="72" t="s">
        <v>87</v>
      </c>
    </row>
    <row r="152" ht="10.5" customHeight="1">
      <c r="A152" s="72"/>
    </row>
    <row r="153" ht="14.25">
      <c r="A153" s="166" t="s">
        <v>212</v>
      </c>
    </row>
    <row r="154" ht="6" customHeight="1">
      <c r="A154" s="36"/>
    </row>
    <row r="155" spans="1:4" ht="38.25">
      <c r="A155" s="36"/>
      <c r="B155" s="27" t="s">
        <v>68</v>
      </c>
      <c r="C155" s="27" t="s">
        <v>69</v>
      </c>
      <c r="D155" s="212" t="s">
        <v>294</v>
      </c>
    </row>
    <row r="156" spans="1:3" ht="15">
      <c r="A156" s="36"/>
      <c r="B156" s="37" t="s">
        <v>67</v>
      </c>
      <c r="C156" s="37" t="s">
        <v>67</v>
      </c>
    </row>
    <row r="157" spans="1:4" ht="15">
      <c r="A157" s="36"/>
      <c r="B157" s="38">
        <f>'3. 1999 Data &amp; add 2002 MARR'!B141</f>
        <v>0.945</v>
      </c>
      <c r="C157" s="38">
        <f>1-B157</f>
        <v>0.05500000000000005</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121000</v>
      </c>
    </row>
    <row r="165" spans="1:3" ht="12.75">
      <c r="A165" t="s">
        <v>71</v>
      </c>
      <c r="C165" s="40">
        <f>D46</f>
        <v>2</v>
      </c>
    </row>
    <row r="167" spans="1:2" ht="12.75">
      <c r="A167" t="s">
        <v>84</v>
      </c>
      <c r="B167" s="101">
        <f>B160/B163</f>
        <v>0</v>
      </c>
    </row>
    <row r="168" ht="12.75">
      <c r="A168" t="s">
        <v>313</v>
      </c>
    </row>
    <row r="169" ht="12.75">
      <c r="A169" t="s">
        <v>322</v>
      </c>
    </row>
    <row r="171" spans="1:3" ht="12.75">
      <c r="A171" t="s">
        <v>74</v>
      </c>
      <c r="C171" s="102">
        <f>C160/C165/12</f>
        <v>0</v>
      </c>
    </row>
    <row r="172" ht="12.75">
      <c r="A172" t="s">
        <v>305</v>
      </c>
    </row>
    <row r="173" ht="12.75">
      <c r="A173" t="s">
        <v>323</v>
      </c>
    </row>
    <row r="174" spans="2:3" ht="12.75">
      <c r="B174" s="13"/>
      <c r="C174" s="13"/>
    </row>
    <row r="176" ht="15.75">
      <c r="A176" s="72" t="s">
        <v>89</v>
      </c>
    </row>
    <row r="177" ht="10.5" customHeight="1">
      <c r="A177" s="72"/>
    </row>
    <row r="178" ht="14.25">
      <c r="A178" s="166" t="s">
        <v>212</v>
      </c>
    </row>
    <row r="179" ht="9" customHeight="1">
      <c r="A179" s="36"/>
    </row>
    <row r="180" spans="1:4" ht="38.25">
      <c r="A180" s="36"/>
      <c r="B180" s="27" t="s">
        <v>68</v>
      </c>
      <c r="C180" s="27" t="s">
        <v>69</v>
      </c>
      <c r="D180" s="212"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75">
      <c r="A201" s="72" t="s">
        <v>98</v>
      </c>
    </row>
    <row r="202" ht="6.75" customHeight="1">
      <c r="A202" s="72"/>
    </row>
    <row r="203" ht="14.25">
      <c r="A203" s="166" t="s">
        <v>212</v>
      </c>
    </row>
    <row r="204" ht="6.75" customHeight="1">
      <c r="A204" s="36"/>
    </row>
    <row r="205" spans="1:4" ht="38.25">
      <c r="A205" s="36"/>
      <c r="B205" s="27" t="s">
        <v>68</v>
      </c>
      <c r="C205" s="27" t="s">
        <v>69</v>
      </c>
      <c r="D205" s="212" t="s">
        <v>294</v>
      </c>
    </row>
    <row r="206" spans="1:3" ht="15">
      <c r="A206" s="36"/>
      <c r="B206" s="37" t="s">
        <v>67</v>
      </c>
      <c r="C206" s="37" t="s">
        <v>67</v>
      </c>
    </row>
    <row r="207" spans="1:4" ht="15">
      <c r="A207" s="36"/>
      <c r="B207" s="38">
        <f>'3. 1999 Data &amp; add 2002 MARR'!B191</f>
        <v>0.38</v>
      </c>
      <c r="C207" s="38">
        <f>1-B207</f>
        <v>0.62</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59</v>
      </c>
    </row>
    <row r="215" spans="1:3" ht="12.75">
      <c r="A215" t="s">
        <v>71</v>
      </c>
      <c r="C215" s="40">
        <f>D48</f>
        <v>33</v>
      </c>
    </row>
    <row r="217" spans="1:2" ht="12.75">
      <c r="A217" t="s">
        <v>84</v>
      </c>
      <c r="B217" s="101">
        <f>B210/B213</f>
        <v>0</v>
      </c>
    </row>
    <row r="218" ht="12.75">
      <c r="A218" t="s">
        <v>313</v>
      </c>
    </row>
    <row r="219" ht="12.75">
      <c r="A219" t="s">
        <v>322</v>
      </c>
    </row>
    <row r="221" spans="1:3" ht="12.75">
      <c r="A221" t="s">
        <v>74</v>
      </c>
      <c r="C221" s="102">
        <f>C210/C215/12</f>
        <v>0</v>
      </c>
    </row>
    <row r="222" ht="12.75">
      <c r="A222" t="s">
        <v>305</v>
      </c>
    </row>
    <row r="223" ht="12.75">
      <c r="A223" t="s">
        <v>323</v>
      </c>
    </row>
    <row r="226" ht="15.75">
      <c r="A226" s="72" t="s">
        <v>91</v>
      </c>
    </row>
    <row r="227" ht="9.75" customHeight="1">
      <c r="A227" s="72"/>
    </row>
    <row r="228" ht="14.25">
      <c r="A228" s="166" t="s">
        <v>212</v>
      </c>
    </row>
    <row r="229" ht="9" customHeight="1">
      <c r="A229" s="36"/>
    </row>
    <row r="230" spans="1:4" ht="38.25">
      <c r="A230" s="36"/>
      <c r="B230" s="27" t="s">
        <v>68</v>
      </c>
      <c r="C230" s="27" t="s">
        <v>69</v>
      </c>
      <c r="D230" s="212" t="s">
        <v>294</v>
      </c>
    </row>
    <row r="231" spans="1:3" ht="15">
      <c r="A231" s="36"/>
      <c r="B231" s="37" t="s">
        <v>67</v>
      </c>
      <c r="C231" s="37" t="s">
        <v>67</v>
      </c>
    </row>
    <row r="232" spans="1:4" ht="15">
      <c r="A232" s="36"/>
      <c r="B232" s="38">
        <f>'3. 1999 Data &amp; add 2002 MARR'!B216</f>
        <v>0.38</v>
      </c>
      <c r="C232" s="38">
        <f>1-B232</f>
        <v>0.62</v>
      </c>
      <c r="D232" s="39">
        <f>B232+C232</f>
        <v>1</v>
      </c>
    </row>
    <row r="233" spans="2:4" ht="12.75">
      <c r="B233" s="27"/>
      <c r="C233" s="27"/>
      <c r="D233" s="27"/>
    </row>
    <row r="234" spans="2:4" ht="12.75">
      <c r="B234" s="27"/>
      <c r="C234" s="27"/>
      <c r="D234" s="27"/>
    </row>
    <row r="235" spans="1:4" ht="12.75">
      <c r="A235" t="s">
        <v>302</v>
      </c>
      <c r="B235" s="77">
        <f>D235*B232</f>
        <v>0</v>
      </c>
      <c r="C235" s="77">
        <f>D235*C232</f>
        <v>0</v>
      </c>
      <c r="D235" s="77">
        <f>G49</f>
        <v>0</v>
      </c>
    </row>
    <row r="236" spans="1:4" ht="12.75">
      <c r="A236" t="s">
        <v>306</v>
      </c>
      <c r="B236" s="77"/>
      <c r="C236" s="77"/>
      <c r="D236" s="77"/>
    </row>
    <row r="237" spans="2:4" ht="12.75">
      <c r="B237" s="77"/>
      <c r="C237" s="77"/>
      <c r="D237" s="77"/>
    </row>
    <row r="238" spans="1:2" ht="12.75">
      <c r="A238" t="s">
        <v>83</v>
      </c>
      <c r="B238" s="14">
        <f>B49</f>
        <v>3000</v>
      </c>
    </row>
    <row r="240" spans="1:3" ht="12.75">
      <c r="A240" t="s">
        <v>99</v>
      </c>
      <c r="C240" s="40">
        <f>D49</f>
        <v>1472</v>
      </c>
    </row>
    <row r="242" spans="1:2" ht="12.75">
      <c r="A242" t="s">
        <v>84</v>
      </c>
      <c r="B242" s="101">
        <f>B235/B238</f>
        <v>0</v>
      </c>
    </row>
    <row r="243" ht="12.75">
      <c r="A243" t="s">
        <v>313</v>
      </c>
    </row>
    <row r="244" ht="12.75">
      <c r="A244" t="s">
        <v>322</v>
      </c>
    </row>
    <row r="246" spans="1:3" ht="12.75">
      <c r="A246" t="s">
        <v>74</v>
      </c>
      <c r="C246" s="102">
        <f>C235/C240/12</f>
        <v>0</v>
      </c>
    </row>
    <row r="247" ht="12.75">
      <c r="A247" t="s">
        <v>305</v>
      </c>
    </row>
    <row r="248" ht="12.75">
      <c r="A248" t="s">
        <v>323</v>
      </c>
    </row>
  </sheetData>
  <sheetProtection/>
  <printOptions/>
  <pageMargins left="0.31" right="0.17" top="0.45" bottom="0.5" header="0.28" footer="0.23"/>
  <pageSetup fitToHeight="5" horizontalDpi="600" verticalDpi="600" orientation="portrait" scale="56" r:id="rId1"/>
  <headerFooter alignWithMargins="0">
    <oddHeader>&amp;C&amp;F</oddHeader>
    <oddFooter>&amp;C&amp;A&amp;RPage &amp;P</oddFooter>
  </headerFooter>
  <rowBreaks count="2" manualBreakCount="2">
    <brk id="78" max="255" man="1"/>
    <brk id="173" max="255" man="1"/>
  </rowBreaks>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A36" sqref="A3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39" t="s">
        <v>0</v>
      </c>
      <c r="B3" s="133" t="str">
        <f>'1. 2001 Approved Rate Schedule'!B3</f>
        <v>Centre Wellington Hydro Ltd.</v>
      </c>
      <c r="C3" s="134"/>
      <c r="E3" s="139" t="s">
        <v>1</v>
      </c>
      <c r="F3" s="135" t="str">
        <f>'1. 2001 Approved Rate Schedule'!F3</f>
        <v>ED-1999-0269</v>
      </c>
    </row>
    <row r="4" spans="1:6" ht="18">
      <c r="A4" s="139" t="s">
        <v>3</v>
      </c>
      <c r="B4" s="133" t="str">
        <f>'1. 2001 Approved Rate Schedule'!B4</f>
        <v>Florence Thiessen</v>
      </c>
      <c r="C4" s="17"/>
      <c r="E4" s="139" t="s">
        <v>4</v>
      </c>
      <c r="F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ht="18">
      <c r="C8" s="17"/>
    </row>
    <row r="9" ht="14.25">
      <c r="A9" s="166" t="s">
        <v>231</v>
      </c>
    </row>
    <row r="10" ht="14.25">
      <c r="A10" s="166" t="s">
        <v>249</v>
      </c>
    </row>
    <row r="11" ht="14.25">
      <c r="A11" s="166" t="s">
        <v>320</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0.01589701696524467</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12.85004326074483</v>
      </c>
      <c r="C18" s="16"/>
      <c r="D18" s="19"/>
      <c r="E18" s="16"/>
      <c r="F18" s="103"/>
      <c r="G18" s="102"/>
      <c r="H18" s="22"/>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0.01589701696524467</v>
      </c>
      <c r="C26" s="16"/>
      <c r="D26" s="16"/>
      <c r="E26" s="16"/>
      <c r="F26" s="16"/>
      <c r="G26" s="16"/>
    </row>
    <row r="27" spans="2:7" ht="12.75">
      <c r="B27" s="16"/>
      <c r="C27" s="16"/>
      <c r="D27" s="16"/>
      <c r="E27" s="16"/>
      <c r="F27" s="16"/>
      <c r="G27" s="16"/>
    </row>
    <row r="28" spans="1:7" ht="12.75">
      <c r="A28" t="s">
        <v>133</v>
      </c>
      <c r="B28" s="16">
        <f>('12. Z-Factor Adder Sch'!B28)+('13. Transition Cost Adder Calc'!C74)</f>
        <v>12.85004326074483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0.017881951167543646</v>
      </c>
      <c r="C39" s="16"/>
      <c r="D39" s="19"/>
      <c r="E39" s="16"/>
      <c r="F39" s="23"/>
      <c r="G39" s="23"/>
      <c r="H39" s="22"/>
    </row>
    <row r="40" spans="2:7" ht="12.75">
      <c r="B40" s="16"/>
      <c r="C40" s="16"/>
      <c r="D40" s="19"/>
      <c r="E40" s="16"/>
      <c r="F40" s="23"/>
      <c r="G40" s="23"/>
    </row>
    <row r="41" spans="1:8" ht="12.75">
      <c r="A41" t="s">
        <v>133</v>
      </c>
      <c r="B41" s="16">
        <f>('12. Z-Factor Adder Sch'!B41)+('13. Transition Cost Adder Calc'!C98)</f>
        <v>12.951672758710751</v>
      </c>
      <c r="C41" s="16"/>
      <c r="D41" s="19"/>
      <c r="E41" s="16"/>
      <c r="F41" s="23"/>
      <c r="G41" s="23"/>
      <c r="H41" s="22"/>
    </row>
    <row r="42" spans="2:7" ht="12.75">
      <c r="B42" s="16"/>
      <c r="C42" s="16"/>
      <c r="D42" s="19"/>
      <c r="E42" s="16"/>
      <c r="F42" s="16"/>
      <c r="G42" s="16"/>
    </row>
    <row r="43" spans="1:7" ht="12.75">
      <c r="A43" t="s">
        <v>9</v>
      </c>
      <c r="B43" s="23">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0.017881951167543646</v>
      </c>
      <c r="C49" s="16"/>
      <c r="D49" s="19"/>
      <c r="E49" s="16"/>
      <c r="F49" s="16"/>
      <c r="G49" s="16"/>
    </row>
    <row r="50" spans="2:7" ht="12.75">
      <c r="B50" s="16"/>
      <c r="C50" s="16"/>
      <c r="D50" s="19"/>
      <c r="E50" s="16"/>
      <c r="F50" s="16"/>
      <c r="G50" s="16"/>
    </row>
    <row r="51" spans="1:7" ht="12.75">
      <c r="A51" t="s">
        <v>133</v>
      </c>
      <c r="B51" s="16">
        <f>('12. Z-Factor Adder Sch'!B51)+('13. Transition Cost Adder Calc'!C98)</f>
        <v>12.951672758710751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2.785193127704687</v>
      </c>
      <c r="C62" s="16"/>
      <c r="D62" s="19"/>
      <c r="E62" s="16"/>
      <c r="F62" s="16"/>
      <c r="G62" s="16"/>
    </row>
    <row r="63" spans="2:7" ht="12.75">
      <c r="B63" s="16"/>
      <c r="C63" s="16"/>
      <c r="D63" s="19"/>
      <c r="E63" s="16"/>
      <c r="F63" s="16"/>
      <c r="G63" s="16"/>
    </row>
    <row r="64" spans="1:7" ht="12.75">
      <c r="A64" t="s">
        <v>133</v>
      </c>
      <c r="B64" s="16">
        <f>('12. Z-Factor Adder Sch'!B64)+('13. Transition Cost Adder Calc'!C122)</f>
        <v>31.069993105690738</v>
      </c>
      <c r="C64" s="16"/>
      <c r="D64" s="19"/>
      <c r="E64" s="16"/>
      <c r="F64" s="16"/>
      <c r="G64" s="16"/>
    </row>
    <row r="65" spans="2:7" ht="12.75">
      <c r="B65" s="16"/>
      <c r="C65" s="16"/>
      <c r="D65" s="19"/>
      <c r="E65" s="16"/>
      <c r="F65" s="16"/>
      <c r="G65" s="16"/>
    </row>
    <row r="66" spans="1:7" ht="12.75">
      <c r="A66" t="s">
        <v>23</v>
      </c>
      <c r="B66" s="23">
        <f>'1. 2001 Approved Rate Schedule'!B66</f>
        <v>8.3174</v>
      </c>
      <c r="C66" s="16"/>
      <c r="D66" s="19"/>
      <c r="E66" s="16"/>
      <c r="F66" s="16"/>
      <c r="G66" s="16"/>
    </row>
    <row r="67" spans="2:7" ht="12.75">
      <c r="B67" s="16"/>
      <c r="C67" s="16"/>
      <c r="D67" s="19"/>
      <c r="E67" s="16"/>
      <c r="F67" s="16"/>
      <c r="G67" s="16"/>
    </row>
    <row r="68" spans="1:7" ht="12.75">
      <c r="A68" t="s">
        <v>9</v>
      </c>
      <c r="B68" s="23">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f>('12. Z-Factor Adder Sch'!B87)+('13. Transition Cost Adder Calc'!B167)</f>
        <v>1.291091098067285</v>
      </c>
      <c r="C87" s="16"/>
      <c r="D87" s="19"/>
      <c r="E87" s="16"/>
      <c r="F87" s="16"/>
      <c r="G87" s="16"/>
    </row>
    <row r="88" spans="2:7" ht="12.75">
      <c r="B88" s="16"/>
      <c r="C88" s="16"/>
      <c r="D88" s="19"/>
      <c r="E88" s="16"/>
      <c r="F88" s="16"/>
      <c r="G88" s="16"/>
    </row>
    <row r="89" spans="1:7" ht="12.75">
      <c r="A89" t="s">
        <v>133</v>
      </c>
      <c r="B89" s="16">
        <f>('12. Z-Factor Adder Sch'!B89)+('13. Transition Cost Adder Calc'!C171)</f>
        <v>316.59083759703464</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8.0133</v>
      </c>
      <c r="C94" s="125">
        <f>'1. 2001 Approved Rate Schedule'!C94</f>
        <v>6.2869</v>
      </c>
      <c r="D94" s="125">
        <f>'1. 2001 Approved Rate Schedule'!D94</f>
        <v>0.07100000000000001</v>
      </c>
      <c r="E94" s="125">
        <f>'1. 2001 Approved Rate Schedule'!E94</f>
        <v>0.04240000000000001</v>
      </c>
      <c r="F94" s="125">
        <f>'1. 2001 Approved Rate Schedule'!F94</f>
        <v>0.059899999999999995</v>
      </c>
      <c r="G94" s="125">
        <f>'1. 2001 Approved Rate Schedule'!G94</f>
        <v>0.0314</v>
      </c>
    </row>
    <row r="95" spans="2:7" ht="12.75">
      <c r="B95" s="16"/>
      <c r="C95" s="16"/>
      <c r="D95" s="19"/>
      <c r="E95" s="16"/>
      <c r="F95" s="16"/>
      <c r="G95" s="16"/>
    </row>
    <row r="96" spans="2:7" ht="12.75" hidden="1">
      <c r="B96" s="16"/>
      <c r="C96" s="16"/>
      <c r="D96" s="19"/>
      <c r="E96" s="16"/>
      <c r="F96" s="16"/>
      <c r="G96" s="16"/>
    </row>
    <row r="97" spans="2:7" ht="12.75" hidden="1">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hidden="1">
      <c r="A109" s="5"/>
      <c r="B109" s="125"/>
      <c r="C109" s="125"/>
      <c r="D109" s="125"/>
      <c r="E109" s="125"/>
      <c r="F109" s="125"/>
      <c r="G109" s="125"/>
    </row>
    <row r="110" spans="3:7" ht="12.75" hidden="1">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1.2607931451399994</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Calc'!C222)</f>
        <v>0.4646479324107414</v>
      </c>
      <c r="C115" s="16"/>
      <c r="D115" s="19"/>
      <c r="E115" s="16"/>
      <c r="F115" s="16"/>
      <c r="G115" s="16"/>
    </row>
    <row r="116" spans="2:7" ht="12.75">
      <c r="B116" s="16"/>
      <c r="C116" s="16"/>
      <c r="D116" s="19"/>
      <c r="E116" s="16"/>
      <c r="F116" s="16"/>
      <c r="G116" s="16"/>
    </row>
    <row r="117" spans="1:7" ht="12.75">
      <c r="A117" t="s">
        <v>23</v>
      </c>
      <c r="B117" s="16">
        <f>'1. 2001 Approved Rate Schedule'!B117</f>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0.037400145139999154</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0.009707932410741409</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hidden="1">
      <c r="A131" s="17"/>
      <c r="B131" s="16"/>
      <c r="C131" s="16"/>
      <c r="D131" s="19"/>
      <c r="E131" s="16"/>
      <c r="F131" s="16"/>
      <c r="G131" s="16"/>
    </row>
    <row r="132" spans="2:7" ht="12.75" hidden="1">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0.2826965953578611</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0.004907473610519073</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0.8683823953578611</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0.16314747361051907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32.0654</v>
      </c>
      <c r="C151" s="125">
        <f>'1. 2001 Approved Rate Schedule'!C151</f>
        <v>12.7337</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headerFooter alignWithMargins="0">
    <oddHeader>&amp;C&amp;F</oddHeader>
    <oddFooter>&amp;C&amp;A&amp;RPage &amp;P</oddFoot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9" t="s">
        <v>0</v>
      </c>
      <c r="B3" s="1"/>
      <c r="C3" s="133" t="str">
        <f>'1. 2001 Approved Rate Schedule'!B3</f>
        <v>Centre Wellington Hydro Ltd.</v>
      </c>
      <c r="D3" s="134"/>
      <c r="F3" s="139" t="s">
        <v>1</v>
      </c>
      <c r="H3" s="144" t="str">
        <f>'1. 2001 Approved Rate Schedule'!F3</f>
        <v>ED-1999-0269</v>
      </c>
    </row>
    <row r="4" spans="1:8" ht="18">
      <c r="A4" s="139" t="s">
        <v>3</v>
      </c>
      <c r="B4" s="1"/>
      <c r="C4" s="133" t="str">
        <f>'1. 2001 Approved Rate Schedule'!B4</f>
        <v>Florence Thiessen</v>
      </c>
      <c r="D4" s="17"/>
      <c r="F4" s="139" t="s">
        <v>4</v>
      </c>
      <c r="H4" s="144" t="str">
        <f>'1. 2001 Approved Rate Schedule'!F4</f>
        <v>519-843-2900</v>
      </c>
    </row>
    <row r="5" spans="1:4" ht="18">
      <c r="A5" s="30" t="s">
        <v>51</v>
      </c>
      <c r="B5" s="17"/>
      <c r="C5" s="133" t="str">
        <f>'1. 2001 Approved Rate Schedule'!B5</f>
        <v>thiessen@cwhydro.ca</v>
      </c>
      <c r="D5" s="17"/>
    </row>
    <row r="6" spans="1:4" ht="18">
      <c r="A6" s="139" t="s">
        <v>2</v>
      </c>
      <c r="B6" s="1"/>
      <c r="C6" s="133" t="str">
        <f>'1. 2001 Approved Rate Schedule'!B6</f>
        <v>1.0</v>
      </c>
      <c r="D6" s="17"/>
    </row>
    <row r="7" spans="1:4" ht="18">
      <c r="A7" s="30" t="s">
        <v>52</v>
      </c>
      <c r="B7" s="17"/>
      <c r="C7" s="136">
        <f>'1. 2001 Approved Rate Schedule'!B7</f>
        <v>37276</v>
      </c>
      <c r="D7" s="17"/>
    </row>
    <row r="8" ht="18">
      <c r="D8" s="17"/>
    </row>
    <row r="9" ht="14.25">
      <c r="A9" s="166" t="s">
        <v>233</v>
      </c>
    </row>
    <row r="10" ht="14.25">
      <c r="A10" s="166" t="s">
        <v>251</v>
      </c>
    </row>
    <row r="11" ht="14.25">
      <c r="A11" s="166" t="s">
        <v>321</v>
      </c>
    </row>
    <row r="13" spans="1:11" ht="18">
      <c r="A13" s="123" t="s">
        <v>317</v>
      </c>
      <c r="B13" s="17"/>
      <c r="K13" s="105"/>
    </row>
    <row r="14" spans="1:11" ht="18">
      <c r="A14" s="104"/>
      <c r="B14" s="104"/>
      <c r="F14" s="17" t="s">
        <v>316</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325</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12.61</v>
      </c>
      <c r="H23" s="27" t="s">
        <v>22</v>
      </c>
      <c r="I23" s="37" t="s">
        <v>125</v>
      </c>
      <c r="J23" s="37" t="s">
        <v>125</v>
      </c>
      <c r="K23" s="77">
        <f>'14. Transition Cost Adder Sch'!B$18</f>
        <v>12.85004326074483</v>
      </c>
      <c r="L23" s="77"/>
      <c r="M23" s="77"/>
    </row>
    <row r="24" spans="3:13" ht="25.5">
      <c r="C24" s="27" t="s">
        <v>111</v>
      </c>
      <c r="D24">
        <v>100</v>
      </c>
      <c r="E24" s="108">
        <f>'1. 2001 Approved Rate Schedule'!B$16</f>
        <v>0.0111</v>
      </c>
      <c r="F24" s="77">
        <f>D24*E24</f>
        <v>1.11</v>
      </c>
      <c r="H24" s="27" t="s">
        <v>111</v>
      </c>
      <c r="I24">
        <f>D24</f>
        <v>100</v>
      </c>
      <c r="J24" s="130">
        <f>'14. Transition Cost Adder Sch'!B$16</f>
        <v>0.01589701696524467</v>
      </c>
      <c r="K24" s="77">
        <f>I24*J24</f>
        <v>1.5897016965244668</v>
      </c>
      <c r="L24" s="77"/>
      <c r="M24" s="77"/>
    </row>
    <row r="25" spans="3:13" ht="38.25">
      <c r="C25" s="27" t="s">
        <v>123</v>
      </c>
      <c r="D25">
        <v>100</v>
      </c>
      <c r="E25" s="108">
        <f>'1. 2001 Approved Rate Schedule'!B$20</f>
        <v>0.0736</v>
      </c>
      <c r="F25" s="77">
        <f>D25*E25</f>
        <v>7.359999999999999</v>
      </c>
      <c r="H25" s="27" t="s">
        <v>123</v>
      </c>
      <c r="I25">
        <f>D25</f>
        <v>100</v>
      </c>
      <c r="J25" s="131">
        <f>E25</f>
        <v>0.0736</v>
      </c>
      <c r="K25" s="77">
        <f>I25*J25</f>
        <v>7.359999999999999</v>
      </c>
      <c r="L25" s="77"/>
      <c r="M25" s="77"/>
    </row>
    <row r="26" spans="3:10" ht="12.75">
      <c r="C26" s="7"/>
      <c r="H26" s="7"/>
      <c r="J26" s="131"/>
    </row>
    <row r="27" spans="3:14" ht="12.75">
      <c r="C27" t="s">
        <v>121</v>
      </c>
      <c r="F27" s="132">
        <f>SUM(F23:F25)</f>
        <v>21.08</v>
      </c>
      <c r="H27" t="s">
        <v>124</v>
      </c>
      <c r="K27" s="132">
        <f>SUM(K23:K25)</f>
        <v>21.799744957269297</v>
      </c>
      <c r="L27" s="77"/>
      <c r="M27" s="77">
        <f>K27-F27</f>
        <v>0.7197449572692989</v>
      </c>
      <c r="N27" s="112">
        <f>K27/F27-1</f>
        <v>0.03414349892169355</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12.61</v>
      </c>
      <c r="H32" s="27" t="s">
        <v>22</v>
      </c>
      <c r="I32" s="37" t="s">
        <v>125</v>
      </c>
      <c r="J32" s="37" t="s">
        <v>125</v>
      </c>
      <c r="K32" s="77">
        <f>'14. Transition Cost Adder Sch'!B$18</f>
        <v>12.85004326074483</v>
      </c>
      <c r="L32" s="77"/>
      <c r="M32" s="77"/>
    </row>
    <row r="33" spans="3:13" ht="25.5">
      <c r="C33" s="27" t="s">
        <v>111</v>
      </c>
      <c r="D33">
        <v>250</v>
      </c>
      <c r="E33" s="108">
        <f>'1. 2001 Approved Rate Schedule'!B$16</f>
        <v>0.0111</v>
      </c>
      <c r="F33" s="77">
        <f>D33*E33</f>
        <v>2.775</v>
      </c>
      <c r="H33" s="27" t="s">
        <v>111</v>
      </c>
      <c r="I33">
        <f>D33</f>
        <v>250</v>
      </c>
      <c r="J33" s="130">
        <f>'14. Transition Cost Adder Sch'!B$16</f>
        <v>0.01589701696524467</v>
      </c>
      <c r="K33" s="77">
        <f>I33*J33</f>
        <v>3.9742542413111672</v>
      </c>
      <c r="L33" s="77"/>
      <c r="M33" s="77"/>
    </row>
    <row r="34" spans="3:13" ht="38.25">
      <c r="C34" s="27" t="s">
        <v>123</v>
      </c>
      <c r="D34">
        <v>250</v>
      </c>
      <c r="E34" s="108">
        <f>'1. 2001 Approved Rate Schedule'!B$20</f>
        <v>0.0736</v>
      </c>
      <c r="F34" s="77">
        <f>D34*E34</f>
        <v>18.4</v>
      </c>
      <c r="H34" s="27" t="s">
        <v>123</v>
      </c>
      <c r="I34">
        <f>D34</f>
        <v>250</v>
      </c>
      <c r="J34" s="131">
        <f>E34</f>
        <v>0.0736</v>
      </c>
      <c r="K34" s="77">
        <f>I34*J34</f>
        <v>18.4</v>
      </c>
      <c r="L34" s="77"/>
      <c r="M34" s="77"/>
    </row>
    <row r="35" spans="3:10" ht="12.75">
      <c r="C35" s="7"/>
      <c r="H35" s="7"/>
      <c r="J35" s="131"/>
    </row>
    <row r="36" spans="3:14" ht="12.75">
      <c r="C36" t="s">
        <v>121</v>
      </c>
      <c r="F36" s="132">
        <f>SUM(F32:F34)</f>
        <v>33.785</v>
      </c>
      <c r="H36" t="s">
        <v>124</v>
      </c>
      <c r="K36" s="132">
        <f>SUM(K32:K34)</f>
        <v>35.224297502056</v>
      </c>
      <c r="L36" s="77"/>
      <c r="M36" s="77">
        <f>K36-F36</f>
        <v>1.4392975020560002</v>
      </c>
      <c r="N36" s="112">
        <f>K36/F36-1</f>
        <v>0.04260167240065127</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12.61</v>
      </c>
      <c r="H41" s="27" t="s">
        <v>22</v>
      </c>
      <c r="I41" s="37" t="s">
        <v>125</v>
      </c>
      <c r="J41" s="37" t="s">
        <v>125</v>
      </c>
      <c r="K41" s="77">
        <f>'14. Transition Cost Adder Sch'!B$18</f>
        <v>12.85004326074483</v>
      </c>
      <c r="L41" s="77"/>
      <c r="M41" s="77"/>
    </row>
    <row r="42" spans="3:13" ht="25.5">
      <c r="C42" s="27" t="s">
        <v>111</v>
      </c>
      <c r="D42">
        <v>500</v>
      </c>
      <c r="E42" s="108">
        <f>'1. 2001 Approved Rate Schedule'!B$16</f>
        <v>0.0111</v>
      </c>
      <c r="F42" s="77">
        <f>D42*E42</f>
        <v>5.55</v>
      </c>
      <c r="H42" s="27" t="s">
        <v>111</v>
      </c>
      <c r="I42">
        <f>D42</f>
        <v>500</v>
      </c>
      <c r="J42" s="130">
        <f>'14. Transition Cost Adder Sch'!B$16</f>
        <v>0.01589701696524467</v>
      </c>
      <c r="K42" s="77">
        <f>I42*J42</f>
        <v>7.9485084826223344</v>
      </c>
      <c r="L42" s="77"/>
      <c r="M42" s="77"/>
    </row>
    <row r="43" spans="3:13" ht="38.25">
      <c r="C43" s="27" t="s">
        <v>123</v>
      </c>
      <c r="D43">
        <f>D42</f>
        <v>500</v>
      </c>
      <c r="E43" s="108">
        <f>'1. 2001 Approved Rate Schedule'!B$20</f>
        <v>0.0736</v>
      </c>
      <c r="F43" s="77">
        <f>D43*E43</f>
        <v>36.8</v>
      </c>
      <c r="H43" s="27" t="s">
        <v>123</v>
      </c>
      <c r="I43">
        <f>D43</f>
        <v>500</v>
      </c>
      <c r="J43" s="131">
        <f>E43</f>
        <v>0.0736</v>
      </c>
      <c r="K43" s="77">
        <f>I43*J43</f>
        <v>36.8</v>
      </c>
      <c r="L43" s="77"/>
      <c r="M43" s="77"/>
    </row>
    <row r="44" spans="3:10" ht="12.75">
      <c r="C44" s="7"/>
      <c r="H44" s="7"/>
      <c r="J44" s="131"/>
    </row>
    <row r="45" spans="3:14" ht="12.75">
      <c r="C45" t="s">
        <v>121</v>
      </c>
      <c r="F45" s="132">
        <f>SUM(F41:F43)</f>
        <v>54.959999999999994</v>
      </c>
      <c r="H45" t="s">
        <v>124</v>
      </c>
      <c r="K45" s="132">
        <f>SUM(K41:K43)</f>
        <v>57.59855174336716</v>
      </c>
      <c r="L45" s="77"/>
      <c r="M45" s="77">
        <f>K45-F45</f>
        <v>2.6385517433671666</v>
      </c>
      <c r="N45" s="112">
        <f>K45/F45-1</f>
        <v>0.048008583394599125</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12.61</v>
      </c>
      <c r="H50" s="27" t="s">
        <v>22</v>
      </c>
      <c r="I50" s="37" t="s">
        <v>125</v>
      </c>
      <c r="J50" s="37" t="s">
        <v>125</v>
      </c>
      <c r="K50" s="77">
        <f>'14. Transition Cost Adder Sch'!B$18</f>
        <v>12.85004326074483</v>
      </c>
      <c r="L50" s="77"/>
      <c r="M50" s="77"/>
    </row>
    <row r="51" spans="3:13" ht="25.5">
      <c r="C51" s="27" t="s">
        <v>111</v>
      </c>
      <c r="D51">
        <v>750</v>
      </c>
      <c r="E51" s="108">
        <f>'1. 2001 Approved Rate Schedule'!B$16</f>
        <v>0.0111</v>
      </c>
      <c r="F51" s="77">
        <f>D51*E51</f>
        <v>8.325000000000001</v>
      </c>
      <c r="H51" s="27" t="s">
        <v>111</v>
      </c>
      <c r="I51">
        <f>D51</f>
        <v>750</v>
      </c>
      <c r="J51" s="130">
        <f>'14. Transition Cost Adder Sch'!B$16</f>
        <v>0.01589701696524467</v>
      </c>
      <c r="K51" s="77">
        <f>I51*J51</f>
        <v>11.922762723933502</v>
      </c>
      <c r="L51" s="77"/>
      <c r="M51" s="77"/>
    </row>
    <row r="52" spans="3:13" ht="38.25">
      <c r="C52" s="27" t="s">
        <v>123</v>
      </c>
      <c r="D52">
        <f>D51</f>
        <v>750</v>
      </c>
      <c r="E52" s="108">
        <f>'1. 2001 Approved Rate Schedule'!B$20</f>
        <v>0.0736</v>
      </c>
      <c r="F52" s="77">
        <f>D52*E52</f>
        <v>55.199999999999996</v>
      </c>
      <c r="H52" s="27" t="s">
        <v>123</v>
      </c>
      <c r="I52">
        <f>D52</f>
        <v>750</v>
      </c>
      <c r="J52" s="131">
        <f>E52</f>
        <v>0.0736</v>
      </c>
      <c r="K52" s="77">
        <f>I52*J52</f>
        <v>55.199999999999996</v>
      </c>
      <c r="L52" s="77"/>
      <c r="M52" s="77"/>
    </row>
    <row r="53" spans="3:10" ht="12.75">
      <c r="C53" s="7"/>
      <c r="H53" s="7"/>
      <c r="J53" s="131"/>
    </row>
    <row r="54" spans="3:14" ht="12.75">
      <c r="C54" t="s">
        <v>121</v>
      </c>
      <c r="F54" s="132">
        <f>SUM(F50:F52)</f>
        <v>76.13499999999999</v>
      </c>
      <c r="H54" t="s">
        <v>124</v>
      </c>
      <c r="K54" s="132">
        <f>SUM(K50:K52)</f>
        <v>79.97280598467833</v>
      </c>
      <c r="L54" s="77"/>
      <c r="M54" s="77">
        <f>K54-F54</f>
        <v>3.83780598467834</v>
      </c>
      <c r="N54" s="112">
        <f>K54/F54-1</f>
        <v>0.05040790680604634</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12.61</v>
      </c>
      <c r="H59" s="27" t="s">
        <v>22</v>
      </c>
      <c r="I59" s="37" t="s">
        <v>125</v>
      </c>
      <c r="J59" s="37" t="s">
        <v>125</v>
      </c>
      <c r="K59" s="77">
        <f>'14. Transition Cost Adder Sch'!B$18</f>
        <v>12.85004326074483</v>
      </c>
      <c r="L59" s="77"/>
      <c r="M59" s="77"/>
    </row>
    <row r="60" spans="3:13" ht="25.5">
      <c r="C60" s="27" t="s">
        <v>111</v>
      </c>
      <c r="D60">
        <v>1000</v>
      </c>
      <c r="E60" s="108">
        <f>'1. 2001 Approved Rate Schedule'!B$16</f>
        <v>0.0111</v>
      </c>
      <c r="F60" s="77">
        <f>D60*E60</f>
        <v>11.1</v>
      </c>
      <c r="H60" s="27" t="s">
        <v>111</v>
      </c>
      <c r="I60">
        <f>D60</f>
        <v>1000</v>
      </c>
      <c r="J60" s="130">
        <f>'14. Transition Cost Adder Sch'!B$16</f>
        <v>0.01589701696524467</v>
      </c>
      <c r="K60" s="77">
        <f>I60*J60</f>
        <v>15.897016965244669</v>
      </c>
      <c r="L60" s="77"/>
      <c r="M60" s="77"/>
    </row>
    <row r="61" spans="3:13" ht="38.25">
      <c r="C61" s="27" t="s">
        <v>123</v>
      </c>
      <c r="D61">
        <f>D60</f>
        <v>1000</v>
      </c>
      <c r="E61" s="108">
        <f>'1. 2001 Approved Rate Schedule'!B$20</f>
        <v>0.0736</v>
      </c>
      <c r="F61" s="77">
        <f>D61*E61</f>
        <v>73.6</v>
      </c>
      <c r="H61" s="27" t="s">
        <v>123</v>
      </c>
      <c r="I61">
        <f>D61</f>
        <v>1000</v>
      </c>
      <c r="J61" s="131">
        <f>E61</f>
        <v>0.0736</v>
      </c>
      <c r="K61" s="77">
        <f>I61*J61</f>
        <v>73.6</v>
      </c>
      <c r="L61" s="77"/>
      <c r="M61" s="77"/>
    </row>
    <row r="62" spans="3:10" ht="12.75">
      <c r="C62" s="7"/>
      <c r="H62" s="7"/>
      <c r="J62" s="131"/>
    </row>
    <row r="63" spans="3:14" ht="12.75">
      <c r="C63" t="s">
        <v>121</v>
      </c>
      <c r="F63" s="132">
        <f>SUM(F59:F61)</f>
        <v>97.31</v>
      </c>
      <c r="H63" t="s">
        <v>124</v>
      </c>
      <c r="K63" s="132">
        <f>SUM(K59:K61)</f>
        <v>102.3470602259895</v>
      </c>
      <c r="L63" s="77"/>
      <c r="M63" s="77">
        <f>K63-F63</f>
        <v>5.037060225989492</v>
      </c>
      <c r="N63" s="112">
        <f>K63/F63-1</f>
        <v>0.05176302770516372</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12.61</v>
      </c>
      <c r="H68" s="27" t="s">
        <v>22</v>
      </c>
      <c r="I68" s="37" t="s">
        <v>125</v>
      </c>
      <c r="J68" s="37" t="s">
        <v>125</v>
      </c>
      <c r="K68" s="77">
        <f>'14. Transition Cost Adder Sch'!B$18</f>
        <v>12.85004326074483</v>
      </c>
      <c r="L68" s="77"/>
      <c r="M68" s="77"/>
    </row>
    <row r="69" spans="3:13" ht="25.5">
      <c r="C69" s="27" t="s">
        <v>111</v>
      </c>
      <c r="D69">
        <v>1500</v>
      </c>
      <c r="E69" s="108">
        <f>'1. 2001 Approved Rate Schedule'!B$16</f>
        <v>0.0111</v>
      </c>
      <c r="F69" s="77">
        <f>D69*E69</f>
        <v>16.650000000000002</v>
      </c>
      <c r="H69" s="27" t="s">
        <v>111</v>
      </c>
      <c r="I69">
        <f>D69</f>
        <v>1500</v>
      </c>
      <c r="J69" s="130">
        <f>'14. Transition Cost Adder Sch'!B$16</f>
        <v>0.01589701696524467</v>
      </c>
      <c r="K69" s="77">
        <f>I69*J69</f>
        <v>23.845525447867004</v>
      </c>
      <c r="L69" s="77"/>
      <c r="M69" s="77"/>
    </row>
    <row r="70" spans="3:13" ht="38.25">
      <c r="C70" s="27" t="s">
        <v>123</v>
      </c>
      <c r="D70">
        <f>D69</f>
        <v>1500</v>
      </c>
      <c r="E70" s="108">
        <f>'1. 2001 Approved Rate Schedule'!B$20</f>
        <v>0.0736</v>
      </c>
      <c r="F70" s="77">
        <f>D70*E70</f>
        <v>110.39999999999999</v>
      </c>
      <c r="H70" s="27" t="s">
        <v>123</v>
      </c>
      <c r="I70">
        <f>D70</f>
        <v>1500</v>
      </c>
      <c r="J70" s="131">
        <f>E70</f>
        <v>0.0736</v>
      </c>
      <c r="K70" s="77">
        <f>I70*J70</f>
        <v>110.39999999999999</v>
      </c>
      <c r="L70" s="77"/>
      <c r="M70" s="77"/>
    </row>
    <row r="71" spans="3:10" ht="12.75">
      <c r="C71" s="7"/>
      <c r="H71" s="7"/>
      <c r="J71" s="131"/>
    </row>
    <row r="72" spans="3:14" ht="12.75">
      <c r="C72" t="s">
        <v>121</v>
      </c>
      <c r="F72" s="132">
        <f>SUM(F68:F70)</f>
        <v>139.66</v>
      </c>
      <c r="H72" t="s">
        <v>124</v>
      </c>
      <c r="K72" s="132">
        <f>SUM(K68:K70)</f>
        <v>147.09556870861184</v>
      </c>
      <c r="L72" s="77"/>
      <c r="M72" s="77">
        <f>K72-F72</f>
        <v>7.435568708611839</v>
      </c>
      <c r="N72" s="112">
        <f>K72/F72-1</f>
        <v>0.053240503426978725</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12.61</v>
      </c>
      <c r="H77" s="27" t="s">
        <v>22</v>
      </c>
      <c r="I77" s="37" t="s">
        <v>125</v>
      </c>
      <c r="J77" s="37" t="s">
        <v>125</v>
      </c>
      <c r="K77" s="77">
        <f>'14. Transition Cost Adder Sch'!B$18</f>
        <v>12.85004326074483</v>
      </c>
      <c r="L77" s="77"/>
      <c r="M77" s="77"/>
    </row>
    <row r="78" spans="3:13" ht="25.5">
      <c r="C78" s="27" t="s">
        <v>111</v>
      </c>
      <c r="D78">
        <v>2000</v>
      </c>
      <c r="E78" s="108">
        <f>'1. 2001 Approved Rate Schedule'!B$16</f>
        <v>0.0111</v>
      </c>
      <c r="F78" s="77">
        <f>D78*E78</f>
        <v>22.2</v>
      </c>
      <c r="H78" s="27" t="s">
        <v>111</v>
      </c>
      <c r="I78">
        <f>D78</f>
        <v>2000</v>
      </c>
      <c r="J78" s="130">
        <f>'14. Transition Cost Adder Sch'!B$16</f>
        <v>0.01589701696524467</v>
      </c>
      <c r="K78" s="77">
        <f>I78*J78</f>
        <v>31.794033930489338</v>
      </c>
      <c r="L78" s="77"/>
      <c r="M78" s="77"/>
    </row>
    <row r="79" spans="3:13" ht="38.25">
      <c r="C79" s="27" t="s">
        <v>123</v>
      </c>
      <c r="D79">
        <f>D78</f>
        <v>2000</v>
      </c>
      <c r="E79" s="108">
        <f>'1. 2001 Approved Rate Schedule'!B$20</f>
        <v>0.0736</v>
      </c>
      <c r="F79" s="77">
        <f>D79*E79</f>
        <v>147.2</v>
      </c>
      <c r="H79" s="27" t="s">
        <v>123</v>
      </c>
      <c r="I79">
        <f>D79</f>
        <v>2000</v>
      </c>
      <c r="J79" s="131">
        <f>E79</f>
        <v>0.0736</v>
      </c>
      <c r="K79" s="77">
        <f>I79*J79</f>
        <v>147.2</v>
      </c>
      <c r="L79" s="77"/>
      <c r="M79" s="77"/>
    </row>
    <row r="80" spans="3:10" ht="12.75">
      <c r="C80" s="7"/>
      <c r="H80" s="7"/>
      <c r="J80" s="131"/>
    </row>
    <row r="81" spans="3:14" ht="12.75">
      <c r="C81" t="s">
        <v>121</v>
      </c>
      <c r="F81" s="132">
        <f>SUM(F77:F79)</f>
        <v>182.01</v>
      </c>
      <c r="H81" t="s">
        <v>124</v>
      </c>
      <c r="K81" s="132">
        <f>SUM(K77:K79)</f>
        <v>191.84407719123416</v>
      </c>
      <c r="L81" s="77"/>
      <c r="M81" s="77">
        <f>K81-F81</f>
        <v>9.834077191234172</v>
      </c>
      <c r="N81" s="112">
        <f>K81/F81-1</f>
        <v>0.054030422456096794</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325</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12.71</v>
      </c>
      <c r="H91" s="27" t="s">
        <v>22</v>
      </c>
      <c r="I91" s="37" t="s">
        <v>125</v>
      </c>
      <c r="J91" s="37" t="s">
        <v>125</v>
      </c>
      <c r="K91" s="77">
        <f>'14. Transition Cost Adder Sch'!B$41</f>
        <v>12.951672758710751</v>
      </c>
      <c r="L91" s="77"/>
      <c r="M91" s="77"/>
    </row>
    <row r="92" spans="3:13" ht="25.5">
      <c r="C92" s="27" t="s">
        <v>111</v>
      </c>
      <c r="D92">
        <v>1000</v>
      </c>
      <c r="E92" s="108">
        <f>'1. 2001 Approved Rate Schedule'!B$39</f>
        <v>0.0146</v>
      </c>
      <c r="F92" s="77">
        <f>D92*E92</f>
        <v>14.6</v>
      </c>
      <c r="H92" s="27" t="s">
        <v>111</v>
      </c>
      <c r="I92">
        <f>D92</f>
        <v>1000</v>
      </c>
      <c r="J92" s="130">
        <f>'14. Transition Cost Adder Sch'!B$39</f>
        <v>0.017881951167543646</v>
      </c>
      <c r="K92" s="77">
        <f>I92*J92</f>
        <v>17.881951167543647</v>
      </c>
      <c r="L92" s="77"/>
      <c r="M92" s="77"/>
    </row>
    <row r="93" spans="3:13" ht="38.25">
      <c r="C93" s="27" t="s">
        <v>123</v>
      </c>
      <c r="D93">
        <f>D92</f>
        <v>1000</v>
      </c>
      <c r="E93" s="108">
        <f>'1. 2001 Approved Rate Schedule'!B$43</f>
        <v>0.07250000000000001</v>
      </c>
      <c r="F93" s="77">
        <f>D93*E93</f>
        <v>72.50000000000001</v>
      </c>
      <c r="H93" s="27" t="s">
        <v>123</v>
      </c>
      <c r="I93">
        <f>D93</f>
        <v>1000</v>
      </c>
      <c r="J93" s="131">
        <f>E93</f>
        <v>0.07250000000000001</v>
      </c>
      <c r="K93" s="77">
        <f>I93*J93</f>
        <v>72.50000000000001</v>
      </c>
      <c r="L93" s="77"/>
      <c r="M93" s="77"/>
    </row>
    <row r="94" spans="3:10" ht="12.75">
      <c r="C94" s="7"/>
      <c r="H94" s="7"/>
      <c r="J94" s="131"/>
    </row>
    <row r="95" spans="3:14" ht="12.75">
      <c r="C95" t="s">
        <v>121</v>
      </c>
      <c r="F95" s="132">
        <f>SUM(F91:F93)</f>
        <v>99.81000000000002</v>
      </c>
      <c r="H95" t="s">
        <v>124</v>
      </c>
      <c r="K95" s="132">
        <f>SUM(K91:K93)</f>
        <v>103.3336239262544</v>
      </c>
      <c r="L95" s="77"/>
      <c r="M95" s="77">
        <f>K95-F95</f>
        <v>3.5236239262543876</v>
      </c>
      <c r="N95" s="112">
        <f>K95/F95-1</f>
        <v>0.03530331556211186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12.71</v>
      </c>
      <c r="H100" s="27" t="s">
        <v>22</v>
      </c>
      <c r="I100" s="37" t="s">
        <v>125</v>
      </c>
      <c r="J100" s="37" t="s">
        <v>125</v>
      </c>
      <c r="K100" s="77">
        <f>'14. Transition Cost Adder Sch'!B$41</f>
        <v>12.951672758710751</v>
      </c>
      <c r="L100" s="77"/>
      <c r="M100" s="77"/>
    </row>
    <row r="101" spans="3:13" ht="25.5">
      <c r="C101" s="27" t="s">
        <v>111</v>
      </c>
      <c r="D101">
        <v>2000</v>
      </c>
      <c r="E101" s="108">
        <f>'1. 2001 Approved Rate Schedule'!B$39</f>
        <v>0.0146</v>
      </c>
      <c r="F101" s="77">
        <f>D101*E101</f>
        <v>29.2</v>
      </c>
      <c r="H101" s="27" t="s">
        <v>111</v>
      </c>
      <c r="I101">
        <f>D101</f>
        <v>2000</v>
      </c>
      <c r="J101" s="130">
        <f>'14. Transition Cost Adder Sch'!B$39</f>
        <v>0.017881951167543646</v>
      </c>
      <c r="K101" s="77">
        <f>I101*J101</f>
        <v>35.763902335087295</v>
      </c>
      <c r="L101" s="77"/>
      <c r="M101" s="77"/>
    </row>
    <row r="102" spans="3:13" ht="38.25">
      <c r="C102" s="27" t="s">
        <v>123</v>
      </c>
      <c r="D102">
        <f>D101</f>
        <v>2000</v>
      </c>
      <c r="E102" s="108">
        <f>'1. 2001 Approved Rate Schedule'!B$43</f>
        <v>0.07250000000000001</v>
      </c>
      <c r="F102" s="77">
        <f>D102*E102</f>
        <v>145.00000000000003</v>
      </c>
      <c r="H102" s="27" t="s">
        <v>123</v>
      </c>
      <c r="I102">
        <f>D102</f>
        <v>2000</v>
      </c>
      <c r="J102" s="131">
        <f>E102</f>
        <v>0.07250000000000001</v>
      </c>
      <c r="K102" s="77">
        <f>I102*J102</f>
        <v>145.00000000000003</v>
      </c>
      <c r="L102" s="77"/>
      <c r="M102" s="77"/>
    </row>
    <row r="103" spans="3:10" ht="12.75">
      <c r="C103" s="7"/>
      <c r="H103" s="7"/>
      <c r="J103" s="131"/>
    </row>
    <row r="104" spans="3:14" ht="12.75">
      <c r="C104" t="s">
        <v>121</v>
      </c>
      <c r="F104" s="132">
        <f>SUM(F100:F102)</f>
        <v>186.91000000000003</v>
      </c>
      <c r="H104" t="s">
        <v>124</v>
      </c>
      <c r="K104" s="132">
        <f>SUM(K100:K102)</f>
        <v>193.71557509379807</v>
      </c>
      <c r="L104" s="77"/>
      <c r="M104" s="77">
        <f>K104-F104</f>
        <v>6.805575093798041</v>
      </c>
      <c r="N104" s="112">
        <f>K104/F104-1</f>
        <v>0.03641097369749091</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12.71</v>
      </c>
      <c r="H109" s="27" t="s">
        <v>22</v>
      </c>
      <c r="I109" s="37" t="s">
        <v>125</v>
      </c>
      <c r="J109" s="37" t="s">
        <v>125</v>
      </c>
      <c r="K109" s="77">
        <f>'14. Transition Cost Adder Sch'!B$41</f>
        <v>12.951672758710751</v>
      </c>
      <c r="L109" s="77"/>
      <c r="M109" s="77"/>
    </row>
    <row r="110" spans="3:13" ht="25.5">
      <c r="C110" s="27" t="s">
        <v>111</v>
      </c>
      <c r="D110">
        <v>5000</v>
      </c>
      <c r="E110" s="108">
        <f>'1. 2001 Approved Rate Schedule'!B$39</f>
        <v>0.0146</v>
      </c>
      <c r="F110" s="77">
        <f>D110*E110</f>
        <v>73</v>
      </c>
      <c r="H110" s="27" t="s">
        <v>111</v>
      </c>
      <c r="I110">
        <f>D110</f>
        <v>5000</v>
      </c>
      <c r="J110" s="130">
        <f>'14. Transition Cost Adder Sch'!B$39</f>
        <v>0.017881951167543646</v>
      </c>
      <c r="K110" s="77">
        <f>I110*J110</f>
        <v>89.40975583771822</v>
      </c>
      <c r="L110" s="77"/>
      <c r="M110" s="77"/>
    </row>
    <row r="111" spans="3:13" ht="38.25">
      <c r="C111" s="27" t="s">
        <v>123</v>
      </c>
      <c r="D111">
        <f>D110</f>
        <v>5000</v>
      </c>
      <c r="E111" s="108">
        <f>'1. 2001 Approved Rate Schedule'!B$43</f>
        <v>0.07250000000000001</v>
      </c>
      <c r="F111" s="77">
        <f>D111*E111</f>
        <v>362.50000000000006</v>
      </c>
      <c r="H111" s="27" t="s">
        <v>123</v>
      </c>
      <c r="I111">
        <f>D111</f>
        <v>5000</v>
      </c>
      <c r="J111" s="131">
        <f>E111</f>
        <v>0.07250000000000001</v>
      </c>
      <c r="K111" s="77">
        <f>I111*J111</f>
        <v>362.50000000000006</v>
      </c>
      <c r="L111" s="77"/>
      <c r="M111" s="77"/>
    </row>
    <row r="112" spans="3:10" ht="12.75">
      <c r="C112" s="7"/>
      <c r="H112" s="7"/>
      <c r="J112" s="131"/>
    </row>
    <row r="113" spans="3:14" ht="12.75">
      <c r="C113" t="s">
        <v>121</v>
      </c>
      <c r="F113" s="132">
        <f>SUM(F109:F111)</f>
        <v>448.21000000000004</v>
      </c>
      <c r="H113" t="s">
        <v>124</v>
      </c>
      <c r="K113" s="132">
        <f>SUM(K109:K111)</f>
        <v>464.86142859642905</v>
      </c>
      <c r="L113" s="77"/>
      <c r="M113" s="77">
        <f>K113-F113</f>
        <v>16.651428596429014</v>
      </c>
      <c r="N113" s="112">
        <f>K113/F113-1</f>
        <v>0.03715095289357451</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12.71</v>
      </c>
      <c r="H118" s="27" t="s">
        <v>22</v>
      </c>
      <c r="I118" s="37" t="s">
        <v>125</v>
      </c>
      <c r="J118" s="37" t="s">
        <v>125</v>
      </c>
      <c r="K118" s="77">
        <f>'14. Transition Cost Adder Sch'!B$41</f>
        <v>12.951672758710751</v>
      </c>
      <c r="L118" s="77"/>
      <c r="M118" s="77"/>
    </row>
    <row r="119" spans="3:13" ht="25.5">
      <c r="C119" s="27" t="s">
        <v>111</v>
      </c>
      <c r="D119">
        <v>10000</v>
      </c>
      <c r="E119" s="108">
        <f>'1. 2001 Approved Rate Schedule'!B$39</f>
        <v>0.0146</v>
      </c>
      <c r="F119" s="77">
        <f>D119*E119</f>
        <v>146</v>
      </c>
      <c r="H119" s="27" t="s">
        <v>111</v>
      </c>
      <c r="I119">
        <f>D119</f>
        <v>10000</v>
      </c>
      <c r="J119" s="130">
        <f>'14. Transition Cost Adder Sch'!B$39</f>
        <v>0.017881951167543646</v>
      </c>
      <c r="K119" s="77">
        <f>I119*J119</f>
        <v>178.81951167543644</v>
      </c>
      <c r="L119" s="77"/>
      <c r="M119" s="77"/>
    </row>
    <row r="120" spans="3:13" ht="38.25">
      <c r="C120" s="27" t="s">
        <v>123</v>
      </c>
      <c r="D120">
        <f>D119</f>
        <v>10000</v>
      </c>
      <c r="E120" s="108">
        <f>'1. 2001 Approved Rate Schedule'!B$43</f>
        <v>0.07250000000000001</v>
      </c>
      <c r="F120" s="77">
        <f>D120*E120</f>
        <v>725.0000000000001</v>
      </c>
      <c r="H120" s="27" t="s">
        <v>123</v>
      </c>
      <c r="I120">
        <f>D120</f>
        <v>10000</v>
      </c>
      <c r="J120" s="131">
        <f>E120</f>
        <v>0.07250000000000001</v>
      </c>
      <c r="K120" s="77">
        <f>I120*J120</f>
        <v>725.0000000000001</v>
      </c>
      <c r="L120" s="77"/>
      <c r="M120" s="77"/>
    </row>
    <row r="121" spans="3:10" ht="12.75">
      <c r="C121" s="7"/>
      <c r="H121" s="7"/>
      <c r="J121" s="131"/>
    </row>
    <row r="122" spans="3:14" ht="12.75">
      <c r="C122" t="s">
        <v>121</v>
      </c>
      <c r="F122" s="132">
        <f>SUM(F118:F120)</f>
        <v>883.7100000000002</v>
      </c>
      <c r="H122" t="s">
        <v>124</v>
      </c>
      <c r="K122" s="132">
        <f>SUM(K118:K120)</f>
        <v>916.7711844341472</v>
      </c>
      <c r="L122" s="77"/>
      <c r="M122" s="77">
        <f>K122-F122</f>
        <v>33.061184434147094</v>
      </c>
      <c r="N122" s="112">
        <f>K122/F122-1</f>
        <v>0.03741180300567737</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12.71</v>
      </c>
      <c r="H127" s="27" t="s">
        <v>22</v>
      </c>
      <c r="I127" s="37" t="s">
        <v>125</v>
      </c>
      <c r="J127" s="37" t="s">
        <v>125</v>
      </c>
      <c r="K127" s="77">
        <f>'14. Transition Cost Adder Sch'!B$41</f>
        <v>12.951672758710751</v>
      </c>
      <c r="L127" s="77"/>
      <c r="M127" s="77"/>
    </row>
    <row r="128" spans="3:13" ht="25.5">
      <c r="C128" s="27" t="s">
        <v>111</v>
      </c>
      <c r="D128">
        <v>20000</v>
      </c>
      <c r="E128" s="108">
        <f>'1. 2001 Approved Rate Schedule'!B$39</f>
        <v>0.0146</v>
      </c>
      <c r="F128" s="77">
        <f>D128*E128</f>
        <v>292</v>
      </c>
      <c r="H128" s="27" t="s">
        <v>111</v>
      </c>
      <c r="I128">
        <f>D128</f>
        <v>20000</v>
      </c>
      <c r="J128" s="130">
        <f>'14. Transition Cost Adder Sch'!B$39</f>
        <v>0.017881951167543646</v>
      </c>
      <c r="K128" s="77">
        <f>I128*J128</f>
        <v>357.6390233508729</v>
      </c>
      <c r="L128" s="77"/>
      <c r="M128" s="77"/>
    </row>
    <row r="129" spans="3:13" ht="38.25">
      <c r="C129" s="27" t="s">
        <v>123</v>
      </c>
      <c r="D129">
        <f>D128</f>
        <v>20000</v>
      </c>
      <c r="E129" s="108">
        <f>'1. 2001 Approved Rate Schedule'!B$43</f>
        <v>0.07250000000000001</v>
      </c>
      <c r="F129" s="77">
        <f>D129*E129</f>
        <v>1450.0000000000002</v>
      </c>
      <c r="H129" s="27" t="s">
        <v>123</v>
      </c>
      <c r="I129">
        <f>D129</f>
        <v>20000</v>
      </c>
      <c r="J129" s="131">
        <f>E129</f>
        <v>0.07250000000000001</v>
      </c>
      <c r="K129" s="77">
        <f>I129*J129</f>
        <v>1450.0000000000002</v>
      </c>
      <c r="L129" s="77"/>
      <c r="M129" s="77"/>
    </row>
    <row r="130" spans="3:10" ht="12.75">
      <c r="C130" s="7"/>
      <c r="H130" s="7"/>
      <c r="J130" s="131"/>
    </row>
    <row r="131" spans="3:14" ht="12.75">
      <c r="C131" t="s">
        <v>121</v>
      </c>
      <c r="F131" s="132">
        <f>SUM(F127:F129)</f>
        <v>1754.7100000000003</v>
      </c>
      <c r="H131" t="s">
        <v>124</v>
      </c>
      <c r="K131" s="132">
        <f>SUM(K127:K129)</f>
        <v>1820.5906961095839</v>
      </c>
      <c r="L131" s="77"/>
      <c r="M131" s="77">
        <f>K131-F131</f>
        <v>65.8806961095836</v>
      </c>
      <c r="N131" s="112">
        <f>K131/F131-1</f>
        <v>0.037545062209472624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325</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30.49</v>
      </c>
      <c r="H142" s="27" t="s">
        <v>22</v>
      </c>
      <c r="I142" s="37" t="s">
        <v>125</v>
      </c>
      <c r="J142" s="37" t="s">
        <v>125</v>
      </c>
      <c r="K142" s="77">
        <f>'14. Transition Cost Adder Sch'!B$64</f>
        <v>31.069993105690738</v>
      </c>
      <c r="L142" s="77"/>
      <c r="M142" s="77"/>
    </row>
    <row r="143" spans="3:13" ht="25.5">
      <c r="C143" s="27" t="s">
        <v>114</v>
      </c>
      <c r="D143">
        <v>0</v>
      </c>
      <c r="E143" s="108">
        <f>'1. 2001 Approved Rate Schedule'!B$62</f>
        <v>2.3519</v>
      </c>
      <c r="F143" s="77">
        <f>D143*E143</f>
        <v>0</v>
      </c>
      <c r="H143" s="27" t="s">
        <v>114</v>
      </c>
      <c r="I143">
        <f>D143</f>
        <v>0</v>
      </c>
      <c r="J143" s="130">
        <f>'14. Transition Cost Adder Sch'!B$62</f>
        <v>2.785193127704687</v>
      </c>
      <c r="K143" s="77">
        <f>I143*J143</f>
        <v>0</v>
      </c>
      <c r="L143" s="77"/>
      <c r="M143" s="77"/>
    </row>
    <row r="144" spans="3:13" ht="25.5">
      <c r="C144" s="27" t="s">
        <v>127</v>
      </c>
      <c r="D144">
        <f>D143</f>
        <v>0</v>
      </c>
      <c r="E144" s="108">
        <f>'1. 2001 Approved Rate Schedule'!B$66</f>
        <v>8.3174</v>
      </c>
      <c r="F144" s="77">
        <f>D144*E144</f>
        <v>0</v>
      </c>
      <c r="H144" s="27" t="s">
        <v>127</v>
      </c>
      <c r="I144">
        <f>D144</f>
        <v>0</v>
      </c>
      <c r="J144" s="131">
        <f>E144</f>
        <v>8.3174</v>
      </c>
      <c r="K144" s="77">
        <f>I144*J144</f>
        <v>0</v>
      </c>
      <c r="L144" s="77"/>
      <c r="M144" s="77"/>
    </row>
    <row r="145" spans="3:11" ht="25.5">
      <c r="C145" s="27" t="s">
        <v>128</v>
      </c>
      <c r="D145">
        <v>0</v>
      </c>
      <c r="E145" s="108">
        <f>'1. 2001 Approved Rate Schedule'!B$68</f>
        <v>0.052099999999999994</v>
      </c>
      <c r="F145" s="77">
        <f>D145*E145</f>
        <v>0</v>
      </c>
      <c r="H145" s="27" t="s">
        <v>128</v>
      </c>
      <c r="I145">
        <f>D145</f>
        <v>0</v>
      </c>
      <c r="J145" s="131">
        <f>E145</f>
        <v>0.052099999999999994</v>
      </c>
      <c r="K145" s="77">
        <f>I145*J145</f>
        <v>0</v>
      </c>
    </row>
    <row r="146" spans="3:11" ht="12.75">
      <c r="C146" s="7"/>
      <c r="H146" s="7"/>
      <c r="J146" s="131"/>
      <c r="K146" s="77"/>
    </row>
    <row r="147" spans="3:14" ht="12.75">
      <c r="C147" t="s">
        <v>121</v>
      </c>
      <c r="F147" s="132">
        <f>SUM(F142:F145)</f>
        <v>30.49</v>
      </c>
      <c r="H147" t="s">
        <v>124</v>
      </c>
      <c r="K147" s="132">
        <f>SUM(K142:K145)</f>
        <v>31.069993105690738</v>
      </c>
      <c r="L147" s="77"/>
      <c r="M147" s="77">
        <f>K147-F147</f>
        <v>0.5799931056907397</v>
      </c>
      <c r="N147" s="112">
        <f>K147/F147-1</f>
        <v>0.019022404253550063</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30.49</v>
      </c>
      <c r="H152" s="27" t="s">
        <v>22</v>
      </c>
      <c r="I152" s="37" t="s">
        <v>125</v>
      </c>
      <c r="J152" s="37" t="s">
        <v>125</v>
      </c>
      <c r="K152" s="77">
        <f>'14. Transition Cost Adder Sch'!B$64</f>
        <v>31.069993105690738</v>
      </c>
      <c r="L152" s="77"/>
      <c r="M152" s="77"/>
    </row>
    <row r="153" spans="3:13" ht="25.5">
      <c r="C153" s="27" t="s">
        <v>114</v>
      </c>
      <c r="D153">
        <v>100</v>
      </c>
      <c r="E153" s="108">
        <f>'1. 2001 Approved Rate Schedule'!B$62</f>
        <v>2.3519</v>
      </c>
      <c r="F153" s="77">
        <f>D153*E153</f>
        <v>235.19</v>
      </c>
      <c r="H153" s="27" t="s">
        <v>114</v>
      </c>
      <c r="I153">
        <f>D153</f>
        <v>100</v>
      </c>
      <c r="J153" s="130">
        <f>'14. Transition Cost Adder Sch'!B$62</f>
        <v>2.785193127704687</v>
      </c>
      <c r="K153" s="77">
        <f>I153*J153</f>
        <v>278.5193127704687</v>
      </c>
      <c r="L153" s="77"/>
      <c r="M153" s="77"/>
    </row>
    <row r="154" spans="3:13" ht="25.5">
      <c r="C154" s="27" t="s">
        <v>127</v>
      </c>
      <c r="D154">
        <f>D153</f>
        <v>100</v>
      </c>
      <c r="E154" s="108">
        <f>'1. 2001 Approved Rate Schedule'!B$66</f>
        <v>8.3174</v>
      </c>
      <c r="F154" s="77">
        <f>D154*E154</f>
        <v>831.7399999999999</v>
      </c>
      <c r="H154" s="27" t="s">
        <v>127</v>
      </c>
      <c r="I154">
        <f>D154</f>
        <v>100</v>
      </c>
      <c r="J154" s="131">
        <f>E154</f>
        <v>8.3174</v>
      </c>
      <c r="K154" s="77">
        <f>I154*J154</f>
        <v>831.7399999999999</v>
      </c>
      <c r="L154" s="77"/>
      <c r="M154" s="77"/>
    </row>
    <row r="155" spans="3:11" ht="25.5">
      <c r="C155" s="27" t="s">
        <v>128</v>
      </c>
      <c r="D155" s="171">
        <v>30000</v>
      </c>
      <c r="E155" s="108">
        <f>'1. 2001 Approved Rate Schedule'!B$68</f>
        <v>0.052099999999999994</v>
      </c>
      <c r="F155" s="77">
        <f>D155*E155</f>
        <v>1562.9999999999998</v>
      </c>
      <c r="H155" s="27" t="s">
        <v>128</v>
      </c>
      <c r="I155" s="171">
        <f>D155</f>
        <v>30000</v>
      </c>
      <c r="J155" s="131">
        <f>E155</f>
        <v>0.052099999999999994</v>
      </c>
      <c r="K155" s="77">
        <f>I155*J155</f>
        <v>1562.9999999999998</v>
      </c>
    </row>
    <row r="156" spans="3:11" ht="12.75">
      <c r="C156" s="7"/>
      <c r="H156" s="7"/>
      <c r="J156" s="131"/>
      <c r="K156" s="77"/>
    </row>
    <row r="157" spans="3:14" ht="12.75">
      <c r="C157" t="s">
        <v>121</v>
      </c>
      <c r="F157" s="132">
        <f>SUM(F152:F155)</f>
        <v>2660.4199999999996</v>
      </c>
      <c r="H157" t="s">
        <v>124</v>
      </c>
      <c r="K157" s="132">
        <f>SUM(K152:K155)</f>
        <v>2704.329305876159</v>
      </c>
      <c r="L157" s="77"/>
      <c r="M157" s="77">
        <f>K157-F157</f>
        <v>43.90930587615958</v>
      </c>
      <c r="N157" s="112">
        <f>K157/F157-1</f>
        <v>0.016504651850519636</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30.49</v>
      </c>
      <c r="H163" s="27" t="s">
        <v>22</v>
      </c>
      <c r="I163" s="37" t="s">
        <v>125</v>
      </c>
      <c r="J163" s="37" t="s">
        <v>125</v>
      </c>
      <c r="K163" s="77">
        <f>'14. Transition Cost Adder Sch'!B$64</f>
        <v>31.069993105690738</v>
      </c>
      <c r="L163" s="77"/>
      <c r="M163" s="77"/>
    </row>
    <row r="164" spans="3:13" ht="25.5">
      <c r="C164" s="27" t="s">
        <v>114</v>
      </c>
      <c r="D164">
        <v>100</v>
      </c>
      <c r="E164" s="108">
        <f>'1. 2001 Approved Rate Schedule'!B$62</f>
        <v>2.3519</v>
      </c>
      <c r="F164" s="77">
        <f>D164*E164</f>
        <v>235.19</v>
      </c>
      <c r="H164" s="27" t="s">
        <v>114</v>
      </c>
      <c r="I164">
        <f>D164</f>
        <v>100</v>
      </c>
      <c r="J164" s="130">
        <f>'14. Transition Cost Adder Sch'!B$62</f>
        <v>2.785193127704687</v>
      </c>
      <c r="K164" s="77">
        <f>I164*J164</f>
        <v>278.5193127704687</v>
      </c>
      <c r="L164" s="77"/>
      <c r="M164" s="77"/>
    </row>
    <row r="165" spans="3:13" ht="25.5">
      <c r="C165" s="27" t="s">
        <v>127</v>
      </c>
      <c r="D165">
        <f>D164</f>
        <v>100</v>
      </c>
      <c r="E165" s="108">
        <f>'1. 2001 Approved Rate Schedule'!B$66</f>
        <v>8.3174</v>
      </c>
      <c r="F165" s="77">
        <f>D165*E165</f>
        <v>831.7399999999999</v>
      </c>
      <c r="H165" s="27" t="s">
        <v>127</v>
      </c>
      <c r="I165">
        <f>D165</f>
        <v>100</v>
      </c>
      <c r="J165" s="131">
        <f>E165</f>
        <v>8.3174</v>
      </c>
      <c r="K165" s="77">
        <f>I165*J165</f>
        <v>831.7399999999999</v>
      </c>
      <c r="L165" s="77"/>
      <c r="M165" s="77"/>
    </row>
    <row r="166" spans="3:11" ht="25.5">
      <c r="C166" s="27" t="s">
        <v>128</v>
      </c>
      <c r="D166" s="171">
        <v>40000</v>
      </c>
      <c r="E166" s="108">
        <f>'1. 2001 Approved Rate Schedule'!B$68</f>
        <v>0.052099999999999994</v>
      </c>
      <c r="F166" s="77">
        <f>D166*E166</f>
        <v>2083.9999999999995</v>
      </c>
      <c r="H166" s="27" t="s">
        <v>128</v>
      </c>
      <c r="I166" s="171">
        <f>D166</f>
        <v>40000</v>
      </c>
      <c r="J166" s="131">
        <f>E166</f>
        <v>0.052099999999999994</v>
      </c>
      <c r="K166" s="77">
        <f>I166*J166</f>
        <v>2083.9999999999995</v>
      </c>
    </row>
    <row r="167" spans="3:11" ht="12.75">
      <c r="C167" s="7"/>
      <c r="H167" s="7"/>
      <c r="J167" s="131"/>
      <c r="K167" s="77"/>
    </row>
    <row r="168" spans="3:14" ht="12.75">
      <c r="C168" t="s">
        <v>121</v>
      </c>
      <c r="F168" s="132">
        <f>SUM(F163:F166)</f>
        <v>3181.419999999999</v>
      </c>
      <c r="H168" t="s">
        <v>124</v>
      </c>
      <c r="K168" s="132">
        <f>SUM(K163:K166)</f>
        <v>3225.3293058761587</v>
      </c>
      <c r="L168" s="77"/>
      <c r="M168" s="77">
        <f>K168-F168</f>
        <v>43.90930587615958</v>
      </c>
      <c r="N168" s="112">
        <f>K168/F168-1</f>
        <v>0.013801794757108299</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30.49</v>
      </c>
      <c r="H174" s="27" t="s">
        <v>22</v>
      </c>
      <c r="I174" s="37" t="s">
        <v>125</v>
      </c>
      <c r="J174" s="37" t="s">
        <v>125</v>
      </c>
      <c r="K174" s="77">
        <f>'14. Transition Cost Adder Sch'!B$64</f>
        <v>31.069993105690738</v>
      </c>
      <c r="L174" s="77"/>
      <c r="M174" s="77"/>
    </row>
    <row r="175" spans="3:13" ht="25.5">
      <c r="C175" s="27" t="s">
        <v>114</v>
      </c>
      <c r="D175">
        <v>500</v>
      </c>
      <c r="E175" s="108">
        <f>'1. 2001 Approved Rate Schedule'!B$62</f>
        <v>2.3519</v>
      </c>
      <c r="F175" s="77">
        <f>D175*E175</f>
        <v>1175.95</v>
      </c>
      <c r="H175" s="27" t="s">
        <v>114</v>
      </c>
      <c r="I175">
        <f>D175</f>
        <v>500</v>
      </c>
      <c r="J175" s="130">
        <f>'14. Transition Cost Adder Sch'!B$62</f>
        <v>2.785193127704687</v>
      </c>
      <c r="K175" s="77">
        <f>I175*J175</f>
        <v>1392.5965638523435</v>
      </c>
      <c r="L175" s="77"/>
      <c r="M175" s="77"/>
    </row>
    <row r="176" spans="3:13" ht="25.5">
      <c r="C176" s="27" t="s">
        <v>127</v>
      </c>
      <c r="D176">
        <f>D175</f>
        <v>500</v>
      </c>
      <c r="E176" s="108">
        <f>'1. 2001 Approved Rate Schedule'!B$66</f>
        <v>8.3174</v>
      </c>
      <c r="F176" s="77">
        <f>D176*E176</f>
        <v>4158.7</v>
      </c>
      <c r="H176" s="27" t="s">
        <v>127</v>
      </c>
      <c r="I176">
        <f>D176</f>
        <v>500</v>
      </c>
      <c r="J176" s="131">
        <f>E176</f>
        <v>8.3174</v>
      </c>
      <c r="K176" s="77">
        <f>I176*J176</f>
        <v>4158.7</v>
      </c>
      <c r="L176" s="77"/>
      <c r="M176" s="77"/>
    </row>
    <row r="177" spans="3:11" ht="25.5">
      <c r="C177" s="27" t="s">
        <v>128</v>
      </c>
      <c r="D177" s="171">
        <v>100000</v>
      </c>
      <c r="E177" s="108">
        <f>'1. 2001 Approved Rate Schedule'!B$68</f>
        <v>0.052099999999999994</v>
      </c>
      <c r="F177" s="77">
        <f>D177*E177</f>
        <v>5209.999999999999</v>
      </c>
      <c r="H177" s="27" t="s">
        <v>128</v>
      </c>
      <c r="I177" s="171">
        <f>D177</f>
        <v>100000</v>
      </c>
      <c r="J177" s="131">
        <f>E177</f>
        <v>0.052099999999999994</v>
      </c>
      <c r="K177" s="77">
        <f>I177*J177</f>
        <v>5209.999999999999</v>
      </c>
    </row>
    <row r="178" spans="3:11" ht="12.75">
      <c r="C178" s="7"/>
      <c r="H178" s="7"/>
      <c r="J178" s="131"/>
      <c r="K178" s="77"/>
    </row>
    <row r="179" spans="3:14" ht="12.75">
      <c r="C179" t="s">
        <v>121</v>
      </c>
      <c r="F179" s="132">
        <f>SUM(F174:F177)</f>
        <v>10575.14</v>
      </c>
      <c r="H179" t="s">
        <v>124</v>
      </c>
      <c r="K179" s="132">
        <f>SUM(K174:K177)</f>
        <v>10792.366556958033</v>
      </c>
      <c r="L179" s="77"/>
      <c r="M179" s="77">
        <f>K179-F179</f>
        <v>217.22655695803405</v>
      </c>
      <c r="N179" s="112">
        <f>K179/F179-1</f>
        <v>0.020541246447615347</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30.49</v>
      </c>
      <c r="H184" s="27" t="s">
        <v>22</v>
      </c>
      <c r="I184" s="37" t="s">
        <v>125</v>
      </c>
      <c r="J184" s="37" t="s">
        <v>125</v>
      </c>
      <c r="K184" s="77">
        <f>'14. Transition Cost Adder Sch'!B$64</f>
        <v>31.069993105690738</v>
      </c>
      <c r="L184" s="77"/>
      <c r="M184" s="77"/>
    </row>
    <row r="185" spans="3:13" ht="25.5">
      <c r="C185" s="27" t="s">
        <v>114</v>
      </c>
      <c r="D185">
        <v>500</v>
      </c>
      <c r="E185" s="108">
        <f>'1. 2001 Approved Rate Schedule'!B$62</f>
        <v>2.3519</v>
      </c>
      <c r="F185" s="77">
        <f>D185*E185</f>
        <v>1175.95</v>
      </c>
      <c r="H185" s="27" t="s">
        <v>114</v>
      </c>
      <c r="I185">
        <f>D185</f>
        <v>500</v>
      </c>
      <c r="J185" s="130">
        <f>'14. Transition Cost Adder Sch'!B$62</f>
        <v>2.785193127704687</v>
      </c>
      <c r="K185" s="77">
        <f>I185*J185</f>
        <v>1392.5965638523435</v>
      </c>
      <c r="L185" s="77"/>
      <c r="M185" s="77"/>
    </row>
    <row r="186" spans="3:13" ht="25.5">
      <c r="C186" s="27" t="s">
        <v>127</v>
      </c>
      <c r="D186">
        <f>D185</f>
        <v>500</v>
      </c>
      <c r="E186" s="108">
        <f>'1. 2001 Approved Rate Schedule'!B$66</f>
        <v>8.3174</v>
      </c>
      <c r="F186" s="77">
        <f>D186*E186</f>
        <v>4158.7</v>
      </c>
      <c r="H186" s="27" t="s">
        <v>127</v>
      </c>
      <c r="I186">
        <f>D186</f>
        <v>500</v>
      </c>
      <c r="J186" s="131">
        <f>E186</f>
        <v>8.3174</v>
      </c>
      <c r="K186" s="77">
        <f>I186*J186</f>
        <v>4158.7</v>
      </c>
      <c r="L186" s="77"/>
      <c r="M186" s="77"/>
    </row>
    <row r="187" spans="3:11" ht="25.5">
      <c r="C187" s="27" t="s">
        <v>128</v>
      </c>
      <c r="D187" s="171">
        <v>250000</v>
      </c>
      <c r="E187" s="108">
        <f>'1. 2001 Approved Rate Schedule'!B$68</f>
        <v>0.052099999999999994</v>
      </c>
      <c r="F187" s="77">
        <f>D187*E187</f>
        <v>13024.999999999998</v>
      </c>
      <c r="H187" s="27" t="s">
        <v>128</v>
      </c>
      <c r="I187" s="171">
        <f>D187</f>
        <v>250000</v>
      </c>
      <c r="J187" s="131">
        <f>E187</f>
        <v>0.052099999999999994</v>
      </c>
      <c r="K187" s="77">
        <f>I187*J187</f>
        <v>13024.999999999998</v>
      </c>
    </row>
    <row r="188" spans="3:11" ht="12.75">
      <c r="C188" s="7"/>
      <c r="H188" s="7"/>
      <c r="J188" s="131"/>
      <c r="K188" s="77"/>
    </row>
    <row r="189" spans="3:14" ht="12.75">
      <c r="C189" t="s">
        <v>121</v>
      </c>
      <c r="F189" s="132">
        <f>SUM(F184:F187)</f>
        <v>18390.14</v>
      </c>
      <c r="H189" t="s">
        <v>124</v>
      </c>
      <c r="K189" s="132">
        <f>SUM(K184:K187)</f>
        <v>18607.366556958033</v>
      </c>
      <c r="L189" s="77"/>
      <c r="M189" s="77">
        <f>K189-F189</f>
        <v>217.22655695803405</v>
      </c>
      <c r="N189" s="112">
        <f>K189/F189-1</f>
        <v>0.011812120895111855</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30.49</v>
      </c>
      <c r="H194" s="27" t="s">
        <v>22</v>
      </c>
      <c r="I194" s="37" t="s">
        <v>125</v>
      </c>
      <c r="J194" s="37" t="s">
        <v>125</v>
      </c>
      <c r="K194" s="77">
        <f>'14. Transition Cost Adder Sch'!B$64</f>
        <v>31.069993105690738</v>
      </c>
      <c r="L194" s="77"/>
      <c r="M194" s="77"/>
    </row>
    <row r="195" spans="3:13" ht="25.5">
      <c r="C195" s="27" t="s">
        <v>114</v>
      </c>
      <c r="D195">
        <v>1000</v>
      </c>
      <c r="E195" s="108">
        <f>'1. 2001 Approved Rate Schedule'!B$62</f>
        <v>2.3519</v>
      </c>
      <c r="F195" s="77">
        <f>D195*E195</f>
        <v>2351.9</v>
      </c>
      <c r="H195" s="27" t="s">
        <v>114</v>
      </c>
      <c r="I195">
        <f>D195</f>
        <v>1000</v>
      </c>
      <c r="J195" s="130">
        <f>'14. Transition Cost Adder Sch'!B$62</f>
        <v>2.785193127704687</v>
      </c>
      <c r="K195" s="77">
        <f>I195*J195</f>
        <v>2785.193127704687</v>
      </c>
      <c r="L195" s="77"/>
      <c r="M195" s="77"/>
    </row>
    <row r="196" spans="3:13" ht="25.5">
      <c r="C196" s="27" t="s">
        <v>127</v>
      </c>
      <c r="D196">
        <f>D195</f>
        <v>1000</v>
      </c>
      <c r="E196" s="108">
        <f>'1. 2001 Approved Rate Schedule'!B$66</f>
        <v>8.3174</v>
      </c>
      <c r="F196" s="77">
        <f>D196*E196</f>
        <v>8317.4</v>
      </c>
      <c r="H196" s="27" t="s">
        <v>127</v>
      </c>
      <c r="I196">
        <f>D196</f>
        <v>1000</v>
      </c>
      <c r="J196" s="131">
        <f>E196</f>
        <v>8.3174</v>
      </c>
      <c r="K196" s="77">
        <f>I196*J196</f>
        <v>8317.4</v>
      </c>
      <c r="L196" s="77"/>
      <c r="M196" s="77"/>
    </row>
    <row r="197" spans="3:11" ht="25.5">
      <c r="C197" s="27" t="s">
        <v>128</v>
      </c>
      <c r="D197" s="171">
        <v>400000</v>
      </c>
      <c r="E197" s="108">
        <f>'1. 2001 Approved Rate Schedule'!B$68</f>
        <v>0.052099999999999994</v>
      </c>
      <c r="F197" s="77">
        <f>D197*E197</f>
        <v>20839.999999999996</v>
      </c>
      <c r="H197" s="27" t="s">
        <v>128</v>
      </c>
      <c r="I197" s="171">
        <f>D197</f>
        <v>400000</v>
      </c>
      <c r="J197" s="131">
        <f>E197</f>
        <v>0.052099999999999994</v>
      </c>
      <c r="K197" s="77">
        <f>I197*J197</f>
        <v>20839.999999999996</v>
      </c>
    </row>
    <row r="198" spans="3:11" ht="12.75">
      <c r="C198" s="7"/>
      <c r="H198" s="7"/>
      <c r="J198" s="131"/>
      <c r="K198" s="77"/>
    </row>
    <row r="199" spans="3:14" ht="12.75">
      <c r="C199" t="s">
        <v>121</v>
      </c>
      <c r="F199" s="132">
        <f>SUM(F194:F197)</f>
        <v>31539.789999999994</v>
      </c>
      <c r="H199" t="s">
        <v>124</v>
      </c>
      <c r="K199" s="132">
        <f>SUM(K194:K197)</f>
        <v>31973.66312081037</v>
      </c>
      <c r="L199" s="77"/>
      <c r="M199" s="77">
        <f>K199-F199</f>
        <v>433.87312081037817</v>
      </c>
      <c r="N199" s="112">
        <f>K199/F199-1</f>
        <v>0.013756373165781266</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30.49</v>
      </c>
      <c r="H204" s="27" t="s">
        <v>22</v>
      </c>
      <c r="I204" s="37" t="s">
        <v>125</v>
      </c>
      <c r="J204" s="37" t="s">
        <v>125</v>
      </c>
      <c r="K204" s="77">
        <f>'14. Transition Cost Adder Sch'!B$64</f>
        <v>31.069993105690738</v>
      </c>
      <c r="L204" s="77"/>
      <c r="M204" s="77"/>
    </row>
    <row r="205" spans="3:13" ht="25.5">
      <c r="C205" s="27" t="s">
        <v>114</v>
      </c>
      <c r="D205">
        <v>1000</v>
      </c>
      <c r="E205" s="108">
        <f>'1. 2001 Approved Rate Schedule'!B$62</f>
        <v>2.3519</v>
      </c>
      <c r="F205" s="77">
        <f>D205*E205</f>
        <v>2351.9</v>
      </c>
      <c r="H205" s="27" t="s">
        <v>114</v>
      </c>
      <c r="I205">
        <f>D205</f>
        <v>1000</v>
      </c>
      <c r="J205" s="130">
        <f>'14. Transition Cost Adder Sch'!B$62</f>
        <v>2.785193127704687</v>
      </c>
      <c r="K205" s="77">
        <f>I205*J205</f>
        <v>2785.193127704687</v>
      </c>
      <c r="L205" s="77"/>
      <c r="M205" s="77"/>
    </row>
    <row r="206" spans="3:13" ht="25.5">
      <c r="C206" s="27" t="s">
        <v>127</v>
      </c>
      <c r="D206">
        <f>D205</f>
        <v>1000</v>
      </c>
      <c r="E206" s="108">
        <f>'1. 2001 Approved Rate Schedule'!B$66</f>
        <v>8.3174</v>
      </c>
      <c r="F206" s="77">
        <f>D206*E206</f>
        <v>8317.4</v>
      </c>
      <c r="H206" s="27" t="s">
        <v>127</v>
      </c>
      <c r="I206">
        <f>D206</f>
        <v>1000</v>
      </c>
      <c r="J206" s="131">
        <f>E206</f>
        <v>8.3174</v>
      </c>
      <c r="K206" s="77">
        <f>I206*J206</f>
        <v>8317.4</v>
      </c>
      <c r="L206" s="77"/>
      <c r="M206" s="77"/>
    </row>
    <row r="207" spans="3:11" ht="25.5">
      <c r="C207" s="27" t="s">
        <v>128</v>
      </c>
      <c r="D207" s="171">
        <v>500000</v>
      </c>
      <c r="E207" s="108">
        <f>'1. 2001 Approved Rate Schedule'!B$68</f>
        <v>0.052099999999999994</v>
      </c>
      <c r="F207" s="77">
        <f>D207*E207</f>
        <v>26049.999999999996</v>
      </c>
      <c r="H207" s="27" t="s">
        <v>128</v>
      </c>
      <c r="I207" s="171">
        <f>D207</f>
        <v>500000</v>
      </c>
      <c r="J207" s="131">
        <f>E207</f>
        <v>0.052099999999999994</v>
      </c>
      <c r="K207" s="77">
        <f>I207*J207</f>
        <v>26049.999999999996</v>
      </c>
    </row>
    <row r="208" spans="3:11" ht="12.75">
      <c r="C208" s="7"/>
      <c r="H208" s="7"/>
      <c r="J208" s="131"/>
      <c r="K208" s="77"/>
    </row>
    <row r="209" spans="3:14" ht="12.75">
      <c r="C209" t="s">
        <v>121</v>
      </c>
      <c r="F209" s="132">
        <f>SUM(F204:F207)</f>
        <v>36749.78999999999</v>
      </c>
      <c r="H209" t="s">
        <v>124</v>
      </c>
      <c r="K209" s="132">
        <f>SUM(K204:K207)</f>
        <v>37183.66312081037</v>
      </c>
      <c r="L209" s="77"/>
      <c r="M209" s="77">
        <f>K209-F209</f>
        <v>433.87312081037817</v>
      </c>
      <c r="N209" s="112">
        <f>K209/F209-1</f>
        <v>0.011806138778218234</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30.49</v>
      </c>
      <c r="H214" s="27" t="s">
        <v>22</v>
      </c>
      <c r="I214" s="37" t="s">
        <v>125</v>
      </c>
      <c r="J214" s="37" t="s">
        <v>125</v>
      </c>
      <c r="K214" s="77">
        <f>'14. Transition Cost Adder Sch'!B$64</f>
        <v>31.069993105690738</v>
      </c>
      <c r="L214" s="77"/>
      <c r="M214" s="77"/>
    </row>
    <row r="215" spans="3:13" ht="25.5">
      <c r="C215" s="27" t="s">
        <v>114</v>
      </c>
      <c r="D215">
        <v>3000</v>
      </c>
      <c r="E215" s="108">
        <f>'1. 2001 Approved Rate Schedule'!B$62</f>
        <v>2.3519</v>
      </c>
      <c r="F215" s="77">
        <f>D215*E215</f>
        <v>7055.700000000001</v>
      </c>
      <c r="H215" s="27" t="s">
        <v>114</v>
      </c>
      <c r="I215">
        <f>D215</f>
        <v>3000</v>
      </c>
      <c r="J215" s="130">
        <f>'14. Transition Cost Adder Sch'!B$62</f>
        <v>2.785193127704687</v>
      </c>
      <c r="K215" s="77">
        <f>I215*J215</f>
        <v>8355.57938311406</v>
      </c>
      <c r="L215" s="77"/>
      <c r="M215" s="77"/>
    </row>
    <row r="216" spans="3:13" ht="25.5">
      <c r="C216" s="27" t="s">
        <v>127</v>
      </c>
      <c r="D216">
        <f>D215</f>
        <v>3000</v>
      </c>
      <c r="E216" s="108">
        <f>'1. 2001 Approved Rate Schedule'!B$66</f>
        <v>8.3174</v>
      </c>
      <c r="F216" s="77">
        <f>D216*E216</f>
        <v>24952.199999999997</v>
      </c>
      <c r="H216" s="27" t="s">
        <v>127</v>
      </c>
      <c r="I216">
        <f>D216</f>
        <v>3000</v>
      </c>
      <c r="J216" s="131">
        <f>E216</f>
        <v>8.3174</v>
      </c>
      <c r="K216" s="77">
        <f>I216*J216</f>
        <v>24952.199999999997</v>
      </c>
      <c r="L216" s="77"/>
      <c r="M216" s="77"/>
    </row>
    <row r="217" spans="3:11" ht="25.5">
      <c r="C217" s="27" t="s">
        <v>128</v>
      </c>
      <c r="D217" s="14">
        <v>1000000</v>
      </c>
      <c r="E217" s="108">
        <f>'1. 2001 Approved Rate Schedule'!B$68</f>
        <v>0.052099999999999994</v>
      </c>
      <c r="F217" s="77">
        <f>D217*E217</f>
        <v>52099.99999999999</v>
      </c>
      <c r="H217" s="27" t="s">
        <v>128</v>
      </c>
      <c r="I217" s="171">
        <f>D217</f>
        <v>1000000</v>
      </c>
      <c r="J217" s="131">
        <f>E217</f>
        <v>0.052099999999999994</v>
      </c>
      <c r="K217" s="77">
        <f>I217*J217</f>
        <v>52099.99999999999</v>
      </c>
    </row>
    <row r="218" spans="3:11" ht="12.75">
      <c r="C218" s="7"/>
      <c r="H218" s="7"/>
      <c r="J218" s="131"/>
      <c r="K218" s="77"/>
    </row>
    <row r="219" spans="3:14" ht="12.75">
      <c r="C219" t="s">
        <v>121</v>
      </c>
      <c r="F219" s="132">
        <f>SUM(F214:F217)</f>
        <v>84138.38999999998</v>
      </c>
      <c r="H219" t="s">
        <v>124</v>
      </c>
      <c r="K219" s="132">
        <f>SUM(K214:K217)</f>
        <v>85438.84937621973</v>
      </c>
      <c r="L219" s="77"/>
      <c r="M219" s="77">
        <f>K219-F219</f>
        <v>1300.4593762197474</v>
      </c>
      <c r="N219" s="112">
        <f>K219/F219-1</f>
        <v>0.015456195159186503</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30.49</v>
      </c>
      <c r="H224" s="27" t="s">
        <v>22</v>
      </c>
      <c r="I224" s="37" t="s">
        <v>125</v>
      </c>
      <c r="J224" s="37" t="s">
        <v>125</v>
      </c>
      <c r="K224" s="77">
        <f>'14. Transition Cost Adder Sch'!B$64</f>
        <v>31.069993105690738</v>
      </c>
      <c r="L224" s="77"/>
      <c r="M224" s="77"/>
    </row>
    <row r="225" spans="3:13" ht="25.5">
      <c r="C225" s="27" t="s">
        <v>114</v>
      </c>
      <c r="D225">
        <v>3000</v>
      </c>
      <c r="E225" s="108">
        <f>'1. 2001 Approved Rate Schedule'!B$62</f>
        <v>2.3519</v>
      </c>
      <c r="F225" s="77">
        <f>D225*E225</f>
        <v>7055.700000000001</v>
      </c>
      <c r="H225" s="27" t="s">
        <v>114</v>
      </c>
      <c r="I225">
        <f>D225</f>
        <v>3000</v>
      </c>
      <c r="J225" s="130">
        <f>'14. Transition Cost Adder Sch'!B$62</f>
        <v>2.785193127704687</v>
      </c>
      <c r="K225" s="77">
        <f>I225*J225</f>
        <v>8355.57938311406</v>
      </c>
      <c r="L225" s="77"/>
      <c r="M225" s="77"/>
    </row>
    <row r="226" spans="3:13" ht="25.5">
      <c r="C226" s="27" t="s">
        <v>127</v>
      </c>
      <c r="D226">
        <f>D225</f>
        <v>3000</v>
      </c>
      <c r="E226" s="108">
        <f>'1. 2001 Approved Rate Schedule'!B$66</f>
        <v>8.3174</v>
      </c>
      <c r="F226" s="77">
        <f>D226*E226</f>
        <v>24952.199999999997</v>
      </c>
      <c r="H226" s="27" t="s">
        <v>127</v>
      </c>
      <c r="I226">
        <f>D226</f>
        <v>3000</v>
      </c>
      <c r="J226" s="131">
        <f>E226</f>
        <v>8.3174</v>
      </c>
      <c r="K226" s="77">
        <f>I226*J226</f>
        <v>24952.199999999997</v>
      </c>
      <c r="L226" s="77"/>
      <c r="M226" s="77"/>
    </row>
    <row r="227" spans="3:11" ht="25.5">
      <c r="C227" s="27" t="s">
        <v>128</v>
      </c>
      <c r="D227" s="14">
        <v>1500000</v>
      </c>
      <c r="E227" s="108">
        <f>'1. 2001 Approved Rate Schedule'!B$68</f>
        <v>0.052099999999999994</v>
      </c>
      <c r="F227" s="77">
        <f>D227*E227</f>
        <v>78149.99999999999</v>
      </c>
      <c r="H227" s="27" t="s">
        <v>128</v>
      </c>
      <c r="I227" s="171">
        <f>D227</f>
        <v>1500000</v>
      </c>
      <c r="J227" s="131">
        <f>E227</f>
        <v>0.052099999999999994</v>
      </c>
      <c r="K227" s="77">
        <f>I227*J227</f>
        <v>78149.99999999999</v>
      </c>
    </row>
    <row r="228" spans="3:11" ht="12.75">
      <c r="C228" s="7"/>
      <c r="H228" s="7"/>
      <c r="J228" s="131"/>
      <c r="K228" s="77"/>
    </row>
    <row r="229" spans="3:14" ht="12.75">
      <c r="C229" t="s">
        <v>121</v>
      </c>
      <c r="F229" s="132">
        <f>SUM(F224:F227)</f>
        <v>110188.38999999998</v>
      </c>
      <c r="H229" t="s">
        <v>124</v>
      </c>
      <c r="K229" s="132">
        <f>SUM(K224:K227)</f>
        <v>111488.84937621973</v>
      </c>
      <c r="L229" s="77"/>
      <c r="M229" s="77">
        <f>K229-F229</f>
        <v>1300.4593762197474</v>
      </c>
      <c r="N229" s="112">
        <f>K229/F229-1</f>
        <v>0.011802145182625345</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30.49</v>
      </c>
      <c r="H234" s="27" t="s">
        <v>22</v>
      </c>
      <c r="I234" s="37" t="s">
        <v>125</v>
      </c>
      <c r="J234" s="37" t="s">
        <v>125</v>
      </c>
      <c r="K234" s="77">
        <f>'14. Transition Cost Adder Sch'!B$64</f>
        <v>31.069993105690738</v>
      </c>
      <c r="L234" s="77"/>
      <c r="M234" s="77"/>
    </row>
    <row r="235" spans="3:13" ht="25.5">
      <c r="C235" s="27" t="s">
        <v>114</v>
      </c>
      <c r="D235">
        <v>4000</v>
      </c>
      <c r="E235" s="108">
        <f>'1. 2001 Approved Rate Schedule'!B$62</f>
        <v>2.3519</v>
      </c>
      <c r="F235" s="77">
        <f>D235*E235</f>
        <v>9407.6</v>
      </c>
      <c r="H235" s="27" t="s">
        <v>114</v>
      </c>
      <c r="I235">
        <f>D235</f>
        <v>4000</v>
      </c>
      <c r="J235" s="130">
        <f>'14. Transition Cost Adder Sch'!B$62</f>
        <v>2.785193127704687</v>
      </c>
      <c r="K235" s="77">
        <f>I235*J235</f>
        <v>11140.772510818748</v>
      </c>
      <c r="L235" s="77"/>
      <c r="M235" s="77"/>
    </row>
    <row r="236" spans="3:13" ht="25.5">
      <c r="C236" s="27" t="s">
        <v>127</v>
      </c>
      <c r="D236">
        <f>D235</f>
        <v>4000</v>
      </c>
      <c r="E236" s="108">
        <f>'1. 2001 Approved Rate Schedule'!B$66</f>
        <v>8.3174</v>
      </c>
      <c r="F236" s="77">
        <f>D236*E236</f>
        <v>33269.6</v>
      </c>
      <c r="H236" s="27" t="s">
        <v>127</v>
      </c>
      <c r="I236">
        <f>D236</f>
        <v>4000</v>
      </c>
      <c r="J236" s="131">
        <f>E236</f>
        <v>8.3174</v>
      </c>
      <c r="K236" s="77">
        <f>I236*J236</f>
        <v>33269.6</v>
      </c>
      <c r="L236" s="77"/>
      <c r="M236" s="77"/>
    </row>
    <row r="237" spans="3:11" ht="25.5">
      <c r="C237" s="27" t="s">
        <v>128</v>
      </c>
      <c r="D237" s="14">
        <v>1200000</v>
      </c>
      <c r="E237" s="108">
        <f>'1. 2001 Approved Rate Schedule'!B$68</f>
        <v>0.052099999999999994</v>
      </c>
      <c r="F237" s="77">
        <f>D237*E237</f>
        <v>62519.99999999999</v>
      </c>
      <c r="H237" s="27" t="s">
        <v>128</v>
      </c>
      <c r="I237" s="171">
        <f>D237</f>
        <v>1200000</v>
      </c>
      <c r="J237" s="131">
        <f>E237</f>
        <v>0.052099999999999994</v>
      </c>
      <c r="K237" s="77">
        <f>I237*J237</f>
        <v>62519.99999999999</v>
      </c>
    </row>
    <row r="238" spans="3:11" ht="12.75">
      <c r="C238" s="7"/>
      <c r="H238" s="7"/>
      <c r="J238" s="131"/>
      <c r="K238" s="77"/>
    </row>
    <row r="239" spans="3:14" ht="12.75">
      <c r="C239" t="s">
        <v>121</v>
      </c>
      <c r="F239" s="132">
        <f>SUM(F234:F237)</f>
        <v>105227.69</v>
      </c>
      <c r="H239" t="s">
        <v>124</v>
      </c>
      <c r="K239" s="132">
        <f>SUM(K234:K237)</f>
        <v>106961.44250392442</v>
      </c>
      <c r="L239" s="77"/>
      <c r="M239" s="77">
        <f>K239-F239</f>
        <v>1733.752503924421</v>
      </c>
      <c r="N239" s="112">
        <f>K239/F239-1</f>
        <v>0.01647620036061248</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30.49</v>
      </c>
      <c r="H244" s="27" t="s">
        <v>22</v>
      </c>
      <c r="I244" s="37" t="s">
        <v>125</v>
      </c>
      <c r="J244" s="37" t="s">
        <v>125</v>
      </c>
      <c r="K244" s="77">
        <f>'14. Transition Cost Adder Sch'!B$64</f>
        <v>31.069993105690738</v>
      </c>
      <c r="L244" s="77"/>
      <c r="M244" s="77"/>
    </row>
    <row r="245" spans="3:13" ht="25.5">
      <c r="C245" s="27" t="s">
        <v>114</v>
      </c>
      <c r="D245">
        <v>4000</v>
      </c>
      <c r="E245" s="108">
        <f>'1. 2001 Approved Rate Schedule'!B$62</f>
        <v>2.3519</v>
      </c>
      <c r="F245" s="77">
        <f>D245*E245</f>
        <v>9407.6</v>
      </c>
      <c r="H245" s="27" t="s">
        <v>114</v>
      </c>
      <c r="I245">
        <f>D245</f>
        <v>4000</v>
      </c>
      <c r="J245" s="130">
        <f>'14. Transition Cost Adder Sch'!B$62</f>
        <v>2.785193127704687</v>
      </c>
      <c r="K245" s="77">
        <f>I245*J245</f>
        <v>11140.772510818748</v>
      </c>
      <c r="L245" s="77"/>
      <c r="M245" s="77"/>
    </row>
    <row r="246" spans="3:13" ht="25.5">
      <c r="C246" s="27" t="s">
        <v>127</v>
      </c>
      <c r="D246">
        <f>D245</f>
        <v>4000</v>
      </c>
      <c r="E246" s="108">
        <f>'1. 2001 Approved Rate Schedule'!B$66</f>
        <v>8.3174</v>
      </c>
      <c r="F246" s="77">
        <f>D246*E246</f>
        <v>33269.6</v>
      </c>
      <c r="H246" s="27" t="s">
        <v>127</v>
      </c>
      <c r="I246">
        <f>D246</f>
        <v>4000</v>
      </c>
      <c r="J246" s="131">
        <f>E246</f>
        <v>8.3174</v>
      </c>
      <c r="K246" s="77">
        <f>I246*J246</f>
        <v>33269.6</v>
      </c>
      <c r="L246" s="77"/>
      <c r="M246" s="77"/>
    </row>
    <row r="247" spans="3:11" ht="25.5">
      <c r="C247" s="27" t="s">
        <v>128</v>
      </c>
      <c r="D247" s="14">
        <v>1800000</v>
      </c>
      <c r="E247" s="108">
        <f>'1. 2001 Approved Rate Schedule'!B$68</f>
        <v>0.052099999999999994</v>
      </c>
      <c r="F247" s="77">
        <f>D247*E247</f>
        <v>93779.99999999999</v>
      </c>
      <c r="H247" s="27" t="s">
        <v>128</v>
      </c>
      <c r="I247" s="171">
        <f>D247</f>
        <v>1800000</v>
      </c>
      <c r="J247" s="131">
        <f>E247</f>
        <v>0.052099999999999994</v>
      </c>
      <c r="K247" s="77">
        <f>I247*J247</f>
        <v>93779.99999999999</v>
      </c>
    </row>
    <row r="248" spans="3:11" ht="12.75">
      <c r="C248" s="7"/>
      <c r="H248" s="7"/>
      <c r="J248" s="131"/>
      <c r="K248" s="77"/>
    </row>
    <row r="249" spans="3:14" ht="12.75">
      <c r="C249" t="s">
        <v>121</v>
      </c>
      <c r="F249" s="132">
        <f>SUM(F244:F247)</f>
        <v>136487.69</v>
      </c>
      <c r="H249" t="s">
        <v>124</v>
      </c>
      <c r="K249" s="132">
        <f>SUM(K244:K247)</f>
        <v>138221.44250392442</v>
      </c>
      <c r="L249" s="77"/>
      <c r="M249" s="77">
        <f>K249-F249</f>
        <v>1733.752503924421</v>
      </c>
      <c r="N249" s="112">
        <f>K249/F249-1</f>
        <v>0.012702629108342522</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325</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325</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1.0878</v>
      </c>
      <c r="F294" s="77">
        <f>D294*E294</f>
        <v>4351.200000000001</v>
      </c>
      <c r="H294" s="7" t="s">
        <v>179</v>
      </c>
      <c r="I294">
        <f>D294</f>
        <v>4000</v>
      </c>
      <c r="J294" s="110">
        <f>'14. Transition Cost Adder Sch'!B$87</f>
        <v>1.291091098067285</v>
      </c>
      <c r="K294" s="77">
        <f>I294*J294</f>
        <v>5164.36439226914</v>
      </c>
      <c r="L294" s="77"/>
      <c r="M294" s="77"/>
    </row>
    <row r="295" spans="3:14" ht="38.25">
      <c r="C295" s="7" t="s">
        <v>178</v>
      </c>
      <c r="D295">
        <v>4000</v>
      </c>
      <c r="E295" s="108">
        <f>'1. 2001 Approved Rate Schedule'!B$94</f>
        <v>8.0133</v>
      </c>
      <c r="F295" s="77">
        <f>D295*E295</f>
        <v>32053.199999999997</v>
      </c>
      <c r="H295" s="7" t="s">
        <v>178</v>
      </c>
      <c r="I295">
        <f>D295</f>
        <v>4000</v>
      </c>
      <c r="J295" s="131">
        <f>E295</f>
        <v>8.0133</v>
      </c>
      <c r="K295" s="77">
        <f>I295*J295</f>
        <v>32053.199999999997</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0.07100000000000001</v>
      </c>
      <c r="F298" s="77">
        <f>D298*E298</f>
        <v>42600.00000000001</v>
      </c>
      <c r="H298" t="s">
        <v>12</v>
      </c>
      <c r="I298" s="171">
        <f>D298</f>
        <v>600000</v>
      </c>
      <c r="J298" s="110">
        <f>E298</f>
        <v>0.07100000000000001</v>
      </c>
      <c r="K298" s="77">
        <f>I298*J298</f>
        <v>42600.00000000001</v>
      </c>
      <c r="L298" s="77"/>
      <c r="M298" s="77"/>
      <c r="N298" s="109"/>
    </row>
    <row r="299" spans="3:14" ht="25.5">
      <c r="C299" s="7" t="s">
        <v>118</v>
      </c>
      <c r="D299" s="14">
        <v>600000</v>
      </c>
      <c r="E299" s="108">
        <f>'1. 2001 Approved Rate Schedule'!E$94</f>
        <v>0.04240000000000001</v>
      </c>
      <c r="F299" s="77">
        <f>D299*E299</f>
        <v>25440.000000000004</v>
      </c>
      <c r="H299" s="7" t="s">
        <v>118</v>
      </c>
      <c r="I299" s="14">
        <f>D299</f>
        <v>600000</v>
      </c>
      <c r="J299" s="110">
        <f>E299</f>
        <v>0.04240000000000001</v>
      </c>
      <c r="K299" s="77">
        <f>I299*J299</f>
        <v>25440.000000000004</v>
      </c>
      <c r="L299" s="77"/>
      <c r="M299" s="77"/>
      <c r="N299" s="109"/>
    </row>
    <row r="300" spans="3:14" ht="38.25">
      <c r="C300" s="7" t="s">
        <v>22</v>
      </c>
      <c r="E300" s="131"/>
      <c r="F300" s="77">
        <f>'1. 2001 Approved Rate Schedule'!B$89</f>
        <v>310.68</v>
      </c>
      <c r="H300" s="7" t="s">
        <v>22</v>
      </c>
      <c r="J300" s="131"/>
      <c r="K300" s="77">
        <f>'14. Transition Cost Adder Sch'!B$89</f>
        <v>316.59083759703464</v>
      </c>
      <c r="L300" s="77"/>
      <c r="M300" s="77"/>
      <c r="N300" s="109"/>
    </row>
    <row r="301" spans="3:14" ht="12.75">
      <c r="C301" s="7"/>
      <c r="E301" s="110"/>
      <c r="F301" s="77"/>
      <c r="J301" s="131"/>
      <c r="K301" s="77"/>
      <c r="L301" s="77"/>
      <c r="M301" s="77"/>
      <c r="N301" s="109"/>
    </row>
    <row r="302" spans="3:14" ht="12.75">
      <c r="C302" s="5" t="s">
        <v>112</v>
      </c>
      <c r="F302" s="77">
        <f>SUM(F294:F301)</f>
        <v>104755.07999999999</v>
      </c>
      <c r="H302" s="5" t="s">
        <v>112</v>
      </c>
      <c r="K302" s="77">
        <f>SUM(K294:K301)</f>
        <v>105574.15522986618</v>
      </c>
      <c r="L302" s="77"/>
      <c r="M302" s="77">
        <f>K302-F302</f>
        <v>819.0752298661973</v>
      </c>
      <c r="N302" s="109">
        <f>K302/F302-1</f>
        <v>0.007818954745356432</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1.0878</v>
      </c>
      <c r="F308" s="77">
        <f>D308*E308</f>
        <v>4351.200000000001</v>
      </c>
      <c r="H308" s="7" t="s">
        <v>179</v>
      </c>
      <c r="I308">
        <f>D308</f>
        <v>4000</v>
      </c>
      <c r="J308" s="110">
        <f>'14. Transition Cost Adder Sch'!B$87</f>
        <v>1.291091098067285</v>
      </c>
      <c r="K308" s="77">
        <f>I308*J308</f>
        <v>5164.36439226914</v>
      </c>
      <c r="L308" s="77"/>
      <c r="M308" s="77"/>
    </row>
    <row r="309" spans="3:14" ht="38.25">
      <c r="C309" s="7" t="s">
        <v>178</v>
      </c>
      <c r="D309">
        <v>4000</v>
      </c>
      <c r="E309" s="108">
        <f>'1. 2001 Approved Rate Schedule'!C$94</f>
        <v>6.2869</v>
      </c>
      <c r="F309" s="77">
        <f>D309*E309</f>
        <v>25147.600000000002</v>
      </c>
      <c r="H309" s="7" t="s">
        <v>178</v>
      </c>
      <c r="I309">
        <f>D309</f>
        <v>4000</v>
      </c>
      <c r="J309" s="131">
        <f>E309</f>
        <v>6.2869</v>
      </c>
      <c r="K309" s="77">
        <f>I309*J309</f>
        <v>25147.600000000002</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0.059899999999999995</v>
      </c>
      <c r="F312" s="77">
        <f>D312*E312</f>
        <v>35940</v>
      </c>
      <c r="H312" t="s">
        <v>14</v>
      </c>
      <c r="I312" s="171">
        <f>D312</f>
        <v>600000</v>
      </c>
      <c r="J312" s="110">
        <f>E312</f>
        <v>0.059899999999999995</v>
      </c>
      <c r="K312" s="77">
        <f>I312*J312</f>
        <v>35940</v>
      </c>
      <c r="L312" s="77"/>
      <c r="M312" s="77"/>
      <c r="N312" s="109"/>
    </row>
    <row r="313" spans="3:14" ht="25.5">
      <c r="C313" s="7" t="s">
        <v>119</v>
      </c>
      <c r="D313" s="14">
        <v>600000</v>
      </c>
      <c r="E313" s="108">
        <f>'1. 2001 Approved Rate Schedule'!G$94</f>
        <v>0.0314</v>
      </c>
      <c r="F313" s="77">
        <f>D313*E313</f>
        <v>18840</v>
      </c>
      <c r="H313" s="7" t="s">
        <v>119</v>
      </c>
      <c r="I313" s="14">
        <f>D313</f>
        <v>600000</v>
      </c>
      <c r="J313" s="110">
        <f>E313</f>
        <v>0.0314</v>
      </c>
      <c r="K313" s="77">
        <f>I313*J313</f>
        <v>18840</v>
      </c>
      <c r="L313" s="77"/>
      <c r="M313" s="77"/>
      <c r="N313" s="109"/>
    </row>
    <row r="314" spans="3:14" ht="38.25">
      <c r="C314" s="7" t="s">
        <v>22</v>
      </c>
      <c r="E314" s="131"/>
      <c r="F314" s="77">
        <f>'1. 2001 Approved Rate Schedule'!B$89</f>
        <v>310.68</v>
      </c>
      <c r="H314" s="7" t="s">
        <v>22</v>
      </c>
      <c r="J314" s="131"/>
      <c r="K314" s="77">
        <f>'14. Transition Cost Adder Sch'!B$89</f>
        <v>316.59083759703464</v>
      </c>
      <c r="L314" s="77"/>
      <c r="M314" s="77"/>
      <c r="N314" s="109"/>
    </row>
    <row r="315" spans="3:14" ht="12.75">
      <c r="C315" s="7"/>
      <c r="E315" s="110"/>
      <c r="F315" s="77"/>
      <c r="J315" s="131"/>
      <c r="K315" s="77"/>
      <c r="L315" s="77"/>
      <c r="M315" s="77"/>
      <c r="N315" s="109"/>
    </row>
    <row r="316" spans="3:14" ht="12.75">
      <c r="C316" s="5" t="s">
        <v>112</v>
      </c>
      <c r="F316" s="77">
        <f>SUM(F308:F315)</f>
        <v>84589.48</v>
      </c>
      <c r="H316" s="5" t="s">
        <v>112</v>
      </c>
      <c r="K316" s="77">
        <f>SUM(K308:K315)</f>
        <v>85408.55522986618</v>
      </c>
      <c r="L316" s="77"/>
      <c r="M316" s="77">
        <f>K316-F316</f>
        <v>819.0752298661828</v>
      </c>
      <c r="N316" s="109">
        <f>K316/F316-1</f>
        <v>0.009682944378735847</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325</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headerFooter alignWithMargins="0">
    <oddHeader>&amp;C&amp;F</oddHeader>
    <oddFooter>&amp;C&amp;A&amp;RPage &amp;P</oddFooter>
  </headerFooter>
</worksheet>
</file>

<file path=xl/worksheets/sheet16.xml><?xml version="1.0" encoding="utf-8"?>
<worksheet xmlns="http://schemas.openxmlformats.org/spreadsheetml/2006/main" xmlns:r="http://schemas.openxmlformats.org/officeDocument/2006/relationships">
  <dimension ref="A1:H175"/>
  <sheetViews>
    <sheetView tabSelected="1" zoomScale="75" zoomScaleNormal="75" zoomScalePageLayoutView="0" workbookViewId="0" topLeftCell="A1">
      <selection activeCell="H1" sqref="H1"/>
    </sheetView>
  </sheetViews>
  <sheetFormatPr defaultColWidth="9.140625" defaultRowHeight="12.75"/>
  <cols>
    <col min="1" max="1" width="16.57421875" style="0" customWidth="1"/>
    <col min="2" max="2" width="2.421875" style="0" customWidth="1"/>
    <col min="3" max="3" width="3.8515625" style="0" customWidth="1"/>
    <col min="4" max="4" width="32.5742187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Centre Wellington Hydro Ltd.</v>
      </c>
      <c r="E1" s="36"/>
    </row>
    <row r="2" spans="1:5" ht="15">
      <c r="A2" s="36"/>
      <c r="B2" s="36"/>
      <c r="C2" s="36"/>
      <c r="D2" s="180" t="s">
        <v>252</v>
      </c>
      <c r="E2" s="36"/>
    </row>
    <row r="3" spans="1:5" ht="15.75">
      <c r="A3" s="139"/>
      <c r="E3" s="139"/>
    </row>
    <row r="4" spans="1:6" ht="15.75">
      <c r="A4" s="139"/>
      <c r="D4" s="36"/>
      <c r="E4" s="139"/>
      <c r="F4" s="12" t="s">
        <v>253</v>
      </c>
    </row>
    <row r="5" spans="1:6" ht="15.75">
      <c r="A5" s="30"/>
      <c r="D5" s="36"/>
      <c r="F5" s="12" t="s">
        <v>254</v>
      </c>
    </row>
    <row r="6" spans="1:4" ht="15.75">
      <c r="A6" s="139"/>
      <c r="D6" s="36"/>
    </row>
    <row r="7" spans="1:4" ht="15.75">
      <c r="A7" s="72" t="s">
        <v>261</v>
      </c>
      <c r="D7" s="36"/>
    </row>
    <row r="8" spans="1:5" ht="15.75">
      <c r="A8" s="166" t="s">
        <v>255</v>
      </c>
      <c r="B8" s="36"/>
      <c r="C8" s="30"/>
      <c r="D8" s="36"/>
      <c r="E8" s="36"/>
    </row>
    <row r="9" spans="1:5" ht="15">
      <c r="A9" s="166" t="s">
        <v>256</v>
      </c>
      <c r="B9" s="36"/>
      <c r="C9" s="36"/>
      <c r="D9" s="36"/>
      <c r="E9" s="36"/>
    </row>
    <row r="10" spans="1:5" ht="15">
      <c r="A10" s="166" t="s">
        <v>257</v>
      </c>
      <c r="B10" s="36"/>
      <c r="C10" s="36"/>
      <c r="D10" s="36"/>
      <c r="E10" s="36"/>
    </row>
    <row r="11" spans="1:5" ht="15">
      <c r="A11" s="166" t="s">
        <v>258</v>
      </c>
      <c r="B11" s="36"/>
      <c r="C11" s="36"/>
      <c r="D11" s="36"/>
      <c r="E11" s="36"/>
    </row>
    <row r="12" spans="1:5" ht="15">
      <c r="A12" s="166" t="s">
        <v>259</v>
      </c>
      <c r="B12" s="36"/>
      <c r="C12" s="36"/>
      <c r="D12" s="36"/>
      <c r="E12" s="36"/>
    </row>
    <row r="13" spans="1:5" ht="15">
      <c r="A13" s="166" t="s">
        <v>260</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262</v>
      </c>
      <c r="E19" s="178" t="s">
        <v>265</v>
      </c>
      <c r="F19" s="19">
        <f>'14. Transition Cost Adder Sch'!B18</f>
        <v>12.85004326074483</v>
      </c>
      <c r="G19" s="22"/>
      <c r="H19" s="22"/>
    </row>
    <row r="20" spans="1:7" ht="15">
      <c r="A20" s="36"/>
      <c r="B20" s="175"/>
      <c r="C20" s="176" t="s">
        <v>263</v>
      </c>
      <c r="E20" s="178" t="s">
        <v>266</v>
      </c>
      <c r="F20" s="16">
        <f>'14. Transition Cost Adder Sch'!B16</f>
        <v>0.01589701696524467</v>
      </c>
      <c r="G20" s="16"/>
    </row>
    <row r="21" spans="1:8" ht="15">
      <c r="A21" s="36"/>
      <c r="B21" s="177"/>
      <c r="C21" s="176" t="s">
        <v>264</v>
      </c>
      <c r="E21" s="178" t="s">
        <v>266</v>
      </c>
      <c r="F21" s="16">
        <f>'1. 2001 Approved Rate Schedule'!B20</f>
        <v>0.0736</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267</v>
      </c>
      <c r="B24" s="173"/>
      <c r="C24" s="174"/>
      <c r="D24" s="175"/>
      <c r="E24" s="175"/>
      <c r="F24" s="16"/>
      <c r="G24" s="16"/>
    </row>
    <row r="25" spans="1:7" ht="15">
      <c r="A25" s="36"/>
      <c r="B25" s="175"/>
      <c r="C25" s="175"/>
      <c r="D25" s="175"/>
      <c r="E25" s="175"/>
      <c r="F25" s="16"/>
      <c r="G25" s="16"/>
    </row>
    <row r="26" spans="1:7" ht="15">
      <c r="A26" s="36"/>
      <c r="B26" s="177"/>
      <c r="C26" s="176" t="s">
        <v>262</v>
      </c>
      <c r="E26" s="178" t="s">
        <v>265</v>
      </c>
      <c r="F26" s="19">
        <f>'14. Transition Cost Adder Sch'!B28</f>
        <v>12.85004326074483</v>
      </c>
      <c r="G26" s="16"/>
    </row>
    <row r="27" spans="1:7" ht="15">
      <c r="A27" s="36"/>
      <c r="B27" s="175"/>
      <c r="C27" s="176" t="s">
        <v>263</v>
      </c>
      <c r="E27" s="178" t="s">
        <v>266</v>
      </c>
      <c r="F27" s="16">
        <f>'14. Transition Cost Adder Sch'!B26</f>
        <v>0.01589701696524467</v>
      </c>
      <c r="G27" s="16"/>
    </row>
    <row r="28" spans="1:7" ht="15">
      <c r="A28" s="36"/>
      <c r="B28" s="177"/>
      <c r="C28" s="175"/>
      <c r="D28" s="175"/>
      <c r="E28" s="175"/>
      <c r="F28" s="16"/>
      <c r="G28" s="16"/>
    </row>
    <row r="29" spans="1:7" ht="15">
      <c r="A29" s="36"/>
      <c r="B29" s="176"/>
      <c r="C29" s="175" t="s">
        <v>268</v>
      </c>
      <c r="D29" s="175"/>
      <c r="E29" s="178" t="s">
        <v>266</v>
      </c>
      <c r="F29" s="16">
        <f>'1. 2001 Approved Rate Schedule'!B33</f>
        <v>0</v>
      </c>
      <c r="G29" s="16"/>
    </row>
    <row r="30" spans="1:7" ht="15">
      <c r="A30" s="36"/>
      <c r="B30" s="178"/>
      <c r="C30" s="182" t="s">
        <v>269</v>
      </c>
      <c r="D30" s="179"/>
      <c r="E30" s="178" t="s">
        <v>266</v>
      </c>
      <c r="F30" s="16">
        <f>'1. 2001 Approved Rate Schedule'!C33</f>
        <v>0</v>
      </c>
      <c r="G30" s="16"/>
    </row>
    <row r="31" spans="1:7" ht="15">
      <c r="A31" s="36"/>
      <c r="B31" s="178"/>
      <c r="C31" s="182" t="s">
        <v>270</v>
      </c>
      <c r="D31" s="179"/>
      <c r="E31" s="178" t="s">
        <v>266</v>
      </c>
      <c r="F31" s="16">
        <f>'1. 2001 Approved Rate Schedule'!D33</f>
        <v>0</v>
      </c>
      <c r="G31" s="16"/>
    </row>
    <row r="32" spans="1:7" ht="15">
      <c r="A32" s="36"/>
      <c r="B32" s="178"/>
      <c r="C32" s="182" t="s">
        <v>271</v>
      </c>
      <c r="D32" s="179"/>
      <c r="E32" s="178" t="s">
        <v>266</v>
      </c>
      <c r="F32" s="16">
        <f>'1. 2001 Approved Rate Schedule'!E33</f>
        <v>0</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262</v>
      </c>
      <c r="E37" s="178" t="s">
        <v>265</v>
      </c>
      <c r="F37" s="19">
        <f>'14. Transition Cost Adder Sch'!B41</f>
        <v>12.951672758710751</v>
      </c>
      <c r="G37" s="23"/>
      <c r="H37" s="22"/>
    </row>
    <row r="38" spans="1:7" ht="15">
      <c r="A38" s="36"/>
      <c r="B38" s="175"/>
      <c r="C38" s="176" t="s">
        <v>263</v>
      </c>
      <c r="E38" s="178" t="s">
        <v>266</v>
      </c>
      <c r="F38" s="16">
        <f>'14. Transition Cost Adder Sch'!B39</f>
        <v>0.017881951167543646</v>
      </c>
      <c r="G38" s="23"/>
    </row>
    <row r="39" spans="1:8" ht="15">
      <c r="A39" s="36"/>
      <c r="B39" s="177"/>
      <c r="C39" s="176" t="s">
        <v>264</v>
      </c>
      <c r="E39" s="178" t="s">
        <v>266</v>
      </c>
      <c r="F39" s="16">
        <f>'1. 2001 Approved Rate Schedule'!B43</f>
        <v>0.07250000000000001</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272</v>
      </c>
      <c r="B42" s="175"/>
      <c r="C42" s="175"/>
      <c r="D42" s="176"/>
      <c r="E42" s="175"/>
      <c r="F42" s="16"/>
      <c r="G42" s="16"/>
    </row>
    <row r="43" spans="1:7" ht="15">
      <c r="A43" s="36"/>
      <c r="B43" s="175"/>
      <c r="C43" s="175"/>
      <c r="D43" s="176"/>
      <c r="E43" s="175"/>
      <c r="F43" s="16"/>
      <c r="G43" s="16"/>
    </row>
    <row r="44" spans="1:7" ht="15">
      <c r="A44" s="36"/>
      <c r="B44" s="175"/>
      <c r="C44" s="176" t="s">
        <v>262</v>
      </c>
      <c r="E44" s="178" t="s">
        <v>265</v>
      </c>
      <c r="F44" s="19">
        <f>'14. Transition Cost Adder Sch'!B51</f>
        <v>12.951672758710751</v>
      </c>
      <c r="G44" s="16"/>
    </row>
    <row r="45" spans="1:7" ht="15">
      <c r="A45" s="36"/>
      <c r="B45" s="175"/>
      <c r="C45" s="176" t="s">
        <v>263</v>
      </c>
      <c r="E45" s="178" t="s">
        <v>266</v>
      </c>
      <c r="F45" s="16">
        <f>'14. Transition Cost Adder Sch'!B49</f>
        <v>0.017881951167543646</v>
      </c>
      <c r="G45" s="16"/>
    </row>
    <row r="46" spans="1:7" ht="15">
      <c r="A46" s="36"/>
      <c r="B46" s="175"/>
      <c r="C46" s="175"/>
      <c r="D46" s="175"/>
      <c r="E46" s="175"/>
      <c r="F46" s="16"/>
      <c r="G46" s="16"/>
    </row>
    <row r="47" spans="1:7" ht="15">
      <c r="A47" s="36"/>
      <c r="B47" s="175"/>
      <c r="C47" s="175" t="s">
        <v>268</v>
      </c>
      <c r="D47" s="175"/>
      <c r="E47" s="178" t="s">
        <v>266</v>
      </c>
      <c r="F47" s="16">
        <f>'1. 2001 Approved Rate Schedule'!B56</f>
        <v>0</v>
      </c>
      <c r="G47" s="16"/>
    </row>
    <row r="48" spans="1:7" ht="15">
      <c r="A48" s="36"/>
      <c r="B48" s="175"/>
      <c r="C48" s="182" t="s">
        <v>269</v>
      </c>
      <c r="D48" s="179"/>
      <c r="E48" s="178" t="s">
        <v>266</v>
      </c>
      <c r="F48" s="16">
        <f>'1. 2001 Approved Rate Schedule'!C56</f>
        <v>0</v>
      </c>
      <c r="G48" s="16"/>
    </row>
    <row r="49" spans="1:7" ht="15">
      <c r="A49" s="36"/>
      <c r="B49" s="175"/>
      <c r="C49" s="182" t="s">
        <v>270</v>
      </c>
      <c r="D49" s="179"/>
      <c r="E49" s="178" t="s">
        <v>266</v>
      </c>
      <c r="F49" s="16">
        <f>'1. 2001 Approved Rate Schedule'!D56</f>
        <v>0</v>
      </c>
      <c r="G49" s="16"/>
    </row>
    <row r="50" spans="1:7" ht="15">
      <c r="A50" s="36"/>
      <c r="B50" s="175"/>
      <c r="C50" s="182" t="s">
        <v>271</v>
      </c>
      <c r="D50" s="179"/>
      <c r="E50" s="178" t="s">
        <v>266</v>
      </c>
      <c r="F50" s="16">
        <f>'1. 2001 Approved Rate Schedule'!E56</f>
        <v>0</v>
      </c>
      <c r="G50" s="16"/>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75">
      <c r="A55" s="72" t="s">
        <v>273</v>
      </c>
      <c r="B55" s="173"/>
      <c r="C55" s="174"/>
      <c r="D55" s="176"/>
      <c r="E55" s="175"/>
      <c r="F55" s="16"/>
      <c r="G55" s="16"/>
    </row>
    <row r="56" spans="1:7" ht="15">
      <c r="A56" s="36"/>
      <c r="B56" s="175"/>
      <c r="C56" s="175"/>
      <c r="D56" s="176"/>
      <c r="E56" s="175"/>
      <c r="F56" s="16"/>
      <c r="G56" s="16"/>
    </row>
    <row r="57" spans="1:7" ht="15">
      <c r="A57" s="36"/>
      <c r="B57" s="177"/>
      <c r="C57" s="176" t="s">
        <v>262</v>
      </c>
      <c r="E57" s="178" t="s">
        <v>265</v>
      </c>
      <c r="F57" s="19">
        <f>'14. Transition Cost Adder Sch'!B64</f>
        <v>31.069993105690738</v>
      </c>
      <c r="G57" s="16"/>
    </row>
    <row r="58" spans="1:7" ht="15">
      <c r="A58" s="36"/>
      <c r="B58" s="175"/>
      <c r="C58" s="176" t="s">
        <v>263</v>
      </c>
      <c r="E58" s="178" t="s">
        <v>274</v>
      </c>
      <c r="F58" s="16">
        <f>'14. Transition Cost Adder Sch'!B62</f>
        <v>2.785193127704687</v>
      </c>
      <c r="G58" s="16"/>
    </row>
    <row r="59" spans="1:7" ht="15">
      <c r="A59" s="36"/>
      <c r="B59" s="177"/>
      <c r="C59" s="176" t="s">
        <v>275</v>
      </c>
      <c r="E59" s="178" t="s">
        <v>274</v>
      </c>
      <c r="F59" s="16">
        <f>'1. 2001 Approved Rate Schedule'!B66</f>
        <v>8.3174</v>
      </c>
      <c r="G59" s="16"/>
    </row>
    <row r="60" spans="1:7" ht="15">
      <c r="A60" s="36"/>
      <c r="B60" s="175"/>
      <c r="C60" s="176" t="s">
        <v>276</v>
      </c>
      <c r="D60" s="176"/>
      <c r="E60" s="178" t="s">
        <v>266</v>
      </c>
      <c r="F60" s="16">
        <f>'1. 2001 Approved Rate Schedule'!B68</f>
        <v>0.052099999999999994</v>
      </c>
      <c r="G60" s="16"/>
    </row>
    <row r="61" spans="1:7" ht="15">
      <c r="A61" s="36"/>
      <c r="B61" s="178"/>
      <c r="C61" s="178"/>
      <c r="D61" s="179"/>
      <c r="E61" s="178"/>
      <c r="F61" s="16"/>
      <c r="G61" s="16"/>
    </row>
    <row r="62" spans="1:7" ht="15">
      <c r="A62" s="36"/>
      <c r="B62" s="175"/>
      <c r="C62" s="175"/>
      <c r="D62" s="176"/>
      <c r="E62" s="175"/>
      <c r="F62" s="16"/>
      <c r="G62" s="16"/>
    </row>
    <row r="63" spans="1:7" ht="15.75">
      <c r="A63" s="72" t="s">
        <v>328</v>
      </c>
      <c r="B63" s="175"/>
      <c r="C63" s="175"/>
      <c r="D63" s="176"/>
      <c r="E63" s="175"/>
      <c r="F63" s="16"/>
      <c r="G63" s="16"/>
    </row>
    <row r="64" spans="2:7" ht="15">
      <c r="B64" s="173"/>
      <c r="C64" s="174"/>
      <c r="D64" s="176"/>
      <c r="E64" s="175"/>
      <c r="F64" s="16"/>
      <c r="G64" s="16"/>
    </row>
    <row r="65" spans="1:7" ht="15.75">
      <c r="A65" s="30"/>
      <c r="B65" s="175"/>
      <c r="C65" s="176" t="s">
        <v>262</v>
      </c>
      <c r="E65" s="178" t="s">
        <v>265</v>
      </c>
      <c r="F65" s="19" t="e">
        <f>'14. Transition Cost Adder Sch'!B76</f>
        <v>#DIV/0!</v>
      </c>
      <c r="G65" s="16"/>
    </row>
    <row r="66" spans="1:7" ht="15">
      <c r="A66" s="36"/>
      <c r="B66" s="177"/>
      <c r="C66" s="176" t="s">
        <v>263</v>
      </c>
      <c r="E66" s="178" t="s">
        <v>274</v>
      </c>
      <c r="F66" s="16" t="e">
        <f>'14. Transition Cost Adder Sch'!B74</f>
        <v>#DIV/0!</v>
      </c>
      <c r="G66" s="16"/>
    </row>
    <row r="67" spans="1:7" ht="15">
      <c r="A67" s="36"/>
      <c r="B67" s="177"/>
      <c r="C67" s="176"/>
      <c r="E67" s="178"/>
      <c r="F67" s="16"/>
      <c r="G67" s="16"/>
    </row>
    <row r="68" spans="1:7" ht="15">
      <c r="A68" s="36"/>
      <c r="B68" s="177"/>
      <c r="C68" s="175" t="s">
        <v>268</v>
      </c>
      <c r="E68" s="178" t="s">
        <v>274</v>
      </c>
      <c r="F68" s="16">
        <f>'1. 2001 Approved Rate Schedule'!B81</f>
        <v>0</v>
      </c>
      <c r="G68" s="16"/>
    </row>
    <row r="69" spans="1:7" ht="15">
      <c r="A69" s="36"/>
      <c r="B69" s="177"/>
      <c r="C69" s="182" t="s">
        <v>270</v>
      </c>
      <c r="E69" s="178" t="s">
        <v>274</v>
      </c>
      <c r="F69" s="16">
        <f>'1. 2001 Approved Rate Schedule'!C81</f>
        <v>0</v>
      </c>
      <c r="G69" s="16"/>
    </row>
    <row r="70" spans="1:7" ht="15">
      <c r="A70" s="36"/>
      <c r="B70" s="175"/>
      <c r="C70" s="175"/>
      <c r="D70" s="175"/>
      <c r="E70" s="175"/>
      <c r="F70" s="16"/>
      <c r="G70" s="16"/>
    </row>
    <row r="71" spans="1:7" ht="15">
      <c r="A71" s="36"/>
      <c r="B71" s="177"/>
      <c r="C71" s="175" t="s">
        <v>268</v>
      </c>
      <c r="D71" s="175"/>
      <c r="E71" s="178" t="s">
        <v>266</v>
      </c>
      <c r="F71" s="16">
        <f>'1. 2001 Approved Rate Schedule'!D81</f>
        <v>0</v>
      </c>
      <c r="G71" s="16"/>
    </row>
    <row r="72" spans="1:7" ht="15">
      <c r="A72" s="36"/>
      <c r="B72" s="175"/>
      <c r="C72" s="182" t="s">
        <v>269</v>
      </c>
      <c r="D72" s="179"/>
      <c r="E72" s="178" t="s">
        <v>266</v>
      </c>
      <c r="F72" s="16">
        <f>'1. 2001 Approved Rate Schedule'!E81</f>
        <v>0</v>
      </c>
      <c r="G72" s="16"/>
    </row>
    <row r="73" spans="1:7" ht="15">
      <c r="A73" s="36"/>
      <c r="B73" s="178"/>
      <c r="C73" s="182" t="s">
        <v>270</v>
      </c>
      <c r="D73" s="179"/>
      <c r="E73" s="178" t="s">
        <v>266</v>
      </c>
      <c r="F73" s="16">
        <f>'1. 2001 Approved Rate Schedule'!F81</f>
        <v>0</v>
      </c>
      <c r="G73" s="125"/>
    </row>
    <row r="74" spans="1:7" ht="15">
      <c r="A74" s="36"/>
      <c r="B74" s="178"/>
      <c r="C74" s="182" t="s">
        <v>271</v>
      </c>
      <c r="D74" s="179"/>
      <c r="E74" s="178" t="s">
        <v>266</v>
      </c>
      <c r="F74" s="16">
        <f>'1. 2001 Approved Rate Schedule'!G81</f>
        <v>0</v>
      </c>
      <c r="G74" s="125"/>
    </row>
    <row r="75" spans="1:7" ht="15">
      <c r="A75" s="36"/>
      <c r="B75" s="178"/>
      <c r="C75" s="178"/>
      <c r="D75" s="178"/>
      <c r="E75" s="178"/>
      <c r="F75" s="126"/>
      <c r="G75" s="125"/>
    </row>
    <row r="76" spans="1:7" ht="15.7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262</v>
      </c>
      <c r="E79" s="178" t="s">
        <v>265</v>
      </c>
      <c r="F79" s="19">
        <f>'14. Transition Cost Adder Sch'!B89</f>
        <v>316.59083759703464</v>
      </c>
      <c r="G79" s="16"/>
    </row>
    <row r="80" spans="2:7" ht="15">
      <c r="B80" s="175"/>
      <c r="C80" s="176" t="s">
        <v>263</v>
      </c>
      <c r="E80" s="178" t="s">
        <v>274</v>
      </c>
      <c r="F80" s="16">
        <f>'14. Transition Cost Adder Sch'!B87</f>
        <v>1.291091098067285</v>
      </c>
      <c r="G80" s="16"/>
    </row>
    <row r="81" spans="1:7" ht="15">
      <c r="A81" s="36"/>
      <c r="B81" s="175"/>
      <c r="C81" s="176"/>
      <c r="E81" s="178"/>
      <c r="F81" s="16"/>
      <c r="G81" s="16"/>
    </row>
    <row r="82" spans="1:7" ht="15">
      <c r="A82" s="36"/>
      <c r="B82" s="177"/>
      <c r="C82" s="175" t="s">
        <v>268</v>
      </c>
      <c r="E82" s="178" t="s">
        <v>274</v>
      </c>
      <c r="F82" s="16">
        <f>'1. 2001 Approved Rate Schedule'!B94</f>
        <v>8.0133</v>
      </c>
      <c r="G82" s="16"/>
    </row>
    <row r="83" spans="1:7" ht="15">
      <c r="A83" s="36"/>
      <c r="B83" s="175"/>
      <c r="C83" s="182" t="s">
        <v>270</v>
      </c>
      <c r="E83" s="178" t="s">
        <v>274</v>
      </c>
      <c r="F83" s="16">
        <f>'1. 2001 Approved Rate Schedule'!C94</f>
        <v>6.2869</v>
      </c>
      <c r="G83" s="16"/>
    </row>
    <row r="84" spans="1:7" ht="15">
      <c r="A84" s="36"/>
      <c r="B84" s="177"/>
      <c r="C84" s="175"/>
      <c r="D84" s="175"/>
      <c r="E84" s="175"/>
      <c r="F84" s="16"/>
      <c r="G84" s="16"/>
    </row>
    <row r="85" spans="1:7" ht="15">
      <c r="A85" s="36"/>
      <c r="B85" s="175"/>
      <c r="C85" s="175" t="s">
        <v>268</v>
      </c>
      <c r="D85" s="175"/>
      <c r="E85" s="178" t="s">
        <v>266</v>
      </c>
      <c r="F85" s="16">
        <f>'1. 2001 Approved Rate Schedule'!D94</f>
        <v>0.07100000000000001</v>
      </c>
      <c r="G85" s="16"/>
    </row>
    <row r="86" spans="1:7" ht="15">
      <c r="A86" s="36"/>
      <c r="B86" s="178"/>
      <c r="C86" s="182" t="s">
        <v>269</v>
      </c>
      <c r="D86" s="179"/>
      <c r="E86" s="178" t="s">
        <v>266</v>
      </c>
      <c r="F86" s="16">
        <f>'1. 2001 Approved Rate Schedule'!E94</f>
        <v>0.04240000000000001</v>
      </c>
      <c r="G86" s="125"/>
    </row>
    <row r="87" spans="1:7" ht="15">
      <c r="A87" s="36"/>
      <c r="B87" s="178"/>
      <c r="C87" s="182" t="s">
        <v>270</v>
      </c>
      <c r="D87" s="179"/>
      <c r="E87" s="178" t="s">
        <v>266</v>
      </c>
      <c r="F87" s="16">
        <f>'1. 2001 Approved Rate Schedule'!F94</f>
        <v>0.059899999999999995</v>
      </c>
      <c r="G87" s="125"/>
    </row>
    <row r="88" spans="1:7" ht="15">
      <c r="A88" s="36"/>
      <c r="B88" s="178"/>
      <c r="C88" s="182" t="s">
        <v>271</v>
      </c>
      <c r="D88" s="179"/>
      <c r="E88" s="178" t="s">
        <v>266</v>
      </c>
      <c r="F88" s="16">
        <f>'1. 2001 Approved Rate Schedule'!G94</f>
        <v>0.0314</v>
      </c>
      <c r="G88" s="125"/>
    </row>
    <row r="89" spans="1:7" ht="15.75">
      <c r="A89" s="30"/>
      <c r="B89" s="178"/>
      <c r="C89" s="178"/>
      <c r="D89" s="178"/>
      <c r="E89" s="178"/>
      <c r="F89" s="125"/>
      <c r="G89" s="125"/>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262</v>
      </c>
      <c r="E93" s="178" t="s">
        <v>265</v>
      </c>
      <c r="F93" s="19" t="e">
        <f>'14. Transition Cost Adder Sch'!B102</f>
        <v>#DIV/0!</v>
      </c>
      <c r="G93" s="16"/>
    </row>
    <row r="94" spans="1:7" ht="15">
      <c r="A94" s="36"/>
      <c r="B94" s="175"/>
      <c r="C94" s="176" t="s">
        <v>263</v>
      </c>
      <c r="E94" s="178" t="s">
        <v>274</v>
      </c>
      <c r="F94" s="16" t="e">
        <f>'14. Transition Cost Adder Sch'!B100</f>
        <v>#DIV/0!</v>
      </c>
      <c r="G94" s="16"/>
    </row>
    <row r="95" spans="1:7" ht="15">
      <c r="A95" s="36"/>
      <c r="B95" s="177"/>
      <c r="C95" s="176"/>
      <c r="E95" s="178"/>
      <c r="F95" s="16"/>
      <c r="G95" s="16"/>
    </row>
    <row r="96" spans="1:7" ht="15">
      <c r="A96" s="36"/>
      <c r="B96" s="175"/>
      <c r="C96" s="175" t="s">
        <v>268</v>
      </c>
      <c r="E96" s="178" t="s">
        <v>274</v>
      </c>
      <c r="F96" s="16">
        <f>'1. 2001 Approved Rate Schedule'!B107</f>
        <v>0</v>
      </c>
      <c r="G96" s="16"/>
    </row>
    <row r="97" spans="1:7" ht="15">
      <c r="A97" s="36"/>
      <c r="B97" s="177"/>
      <c r="C97" s="182" t="s">
        <v>270</v>
      </c>
      <c r="E97" s="178" t="s">
        <v>274</v>
      </c>
      <c r="F97" s="16">
        <f>'1. 2001 Approved Rate Schedule'!C107</f>
        <v>0</v>
      </c>
      <c r="G97" s="16"/>
    </row>
    <row r="98" spans="1:7" ht="15">
      <c r="A98" s="36"/>
      <c r="B98" s="175"/>
      <c r="C98" s="175"/>
      <c r="D98" s="175"/>
      <c r="E98" s="175"/>
      <c r="F98" s="16"/>
      <c r="G98" s="16"/>
    </row>
    <row r="99" spans="1:7" ht="15">
      <c r="A99" s="36"/>
      <c r="B99" s="178"/>
      <c r="C99" s="175" t="s">
        <v>268</v>
      </c>
      <c r="D99" s="175"/>
      <c r="E99" s="178" t="s">
        <v>266</v>
      </c>
      <c r="F99" s="16">
        <f>'1. 2001 Approved Rate Schedule'!D107</f>
        <v>0</v>
      </c>
      <c r="G99" s="125"/>
    </row>
    <row r="100" spans="1:7" ht="15">
      <c r="A100" s="36"/>
      <c r="B100" s="178"/>
      <c r="C100" s="182" t="s">
        <v>269</v>
      </c>
      <c r="D100" s="179"/>
      <c r="E100" s="178" t="s">
        <v>266</v>
      </c>
      <c r="F100" s="16">
        <f>'1. 2001 Approved Rate Schedule'!E107</f>
        <v>0</v>
      </c>
      <c r="G100" s="125"/>
    </row>
    <row r="101" spans="1:7" ht="15">
      <c r="A101" s="36"/>
      <c r="B101" s="178"/>
      <c r="C101" s="182" t="s">
        <v>270</v>
      </c>
      <c r="D101" s="179"/>
      <c r="E101" s="178" t="s">
        <v>266</v>
      </c>
      <c r="F101" s="16">
        <f>'1. 2001 Approved Rate Schedule'!F107</f>
        <v>0</v>
      </c>
      <c r="G101" s="125"/>
    </row>
    <row r="102" spans="1:7" ht="15.75">
      <c r="A102" s="30"/>
      <c r="B102" s="178"/>
      <c r="C102" s="182" t="s">
        <v>271</v>
      </c>
      <c r="D102" s="179"/>
      <c r="E102" s="178" t="s">
        <v>266</v>
      </c>
      <c r="F102" s="16">
        <f>'1. 2001 Approved Rate Schedule'!G107</f>
        <v>0</v>
      </c>
      <c r="G102" s="125"/>
    </row>
    <row r="103" spans="1:7" ht="15.75">
      <c r="A103" s="30"/>
      <c r="B103" s="178"/>
      <c r="C103" s="178"/>
      <c r="D103" s="178"/>
      <c r="E103" s="178"/>
      <c r="F103" s="125"/>
      <c r="G103" s="125"/>
    </row>
    <row r="104" spans="1:7" ht="15.7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329</v>
      </c>
      <c r="B108" s="177"/>
      <c r="C108" s="175"/>
      <c r="D108" s="176"/>
      <c r="E108" s="175"/>
      <c r="F108" s="16"/>
      <c r="G108" s="16"/>
    </row>
    <row r="109" spans="1:7" ht="15">
      <c r="A109" s="36"/>
      <c r="B109" s="175"/>
      <c r="C109" s="175"/>
      <c r="D109" s="176"/>
      <c r="E109" s="175"/>
      <c r="F109" s="16"/>
      <c r="G109" s="16"/>
    </row>
    <row r="110" spans="1:7" ht="15">
      <c r="A110" s="36"/>
      <c r="B110" s="177"/>
      <c r="C110" s="176" t="s">
        <v>262</v>
      </c>
      <c r="E110" s="178" t="s">
        <v>265</v>
      </c>
      <c r="F110" s="19">
        <f>'14. Transition Cost Adder Sch'!B115</f>
        <v>0.4646479324107414</v>
      </c>
      <c r="G110" s="16"/>
    </row>
    <row r="111" spans="1:7" ht="15">
      <c r="A111" s="36"/>
      <c r="B111" s="175"/>
      <c r="C111" s="176" t="s">
        <v>263</v>
      </c>
      <c r="E111" s="178" t="s">
        <v>274</v>
      </c>
      <c r="F111" s="16">
        <f>'14. Transition Cost Adder Sch'!B113</f>
        <v>1.2607931451399994</v>
      </c>
      <c r="G111" s="16"/>
    </row>
    <row r="112" spans="1:7" ht="15">
      <c r="A112" s="36"/>
      <c r="B112" s="175"/>
      <c r="C112" s="176" t="s">
        <v>275</v>
      </c>
      <c r="E112" s="178" t="s">
        <v>274</v>
      </c>
      <c r="F112" s="16">
        <f>'1. 2001 Approved Rate Schedule'!B117</f>
        <v>22.5825</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330</v>
      </c>
      <c r="B115" s="175"/>
      <c r="C115" s="175"/>
      <c r="D115" s="176"/>
      <c r="E115" s="175"/>
      <c r="F115" s="16"/>
      <c r="G115" s="16"/>
    </row>
    <row r="116" spans="2:7" ht="15">
      <c r="B116" s="175"/>
      <c r="C116" s="175"/>
      <c r="D116" s="176"/>
      <c r="E116" s="175"/>
      <c r="F116" s="16"/>
      <c r="G116" s="16"/>
    </row>
    <row r="117" spans="1:7" ht="15">
      <c r="A117" s="36"/>
      <c r="B117" s="177"/>
      <c r="C117" s="176" t="s">
        <v>262</v>
      </c>
      <c r="E117" s="178" t="s">
        <v>265</v>
      </c>
      <c r="F117" s="19">
        <f>'14. Transition Cost Adder Sch'!B125</f>
        <v>0.009707932410741409</v>
      </c>
      <c r="G117" s="16"/>
    </row>
    <row r="118" spans="1:7" ht="15">
      <c r="A118" s="36"/>
      <c r="B118" s="175"/>
      <c r="C118" s="176" t="s">
        <v>263</v>
      </c>
      <c r="E118" s="178" t="s">
        <v>274</v>
      </c>
      <c r="F118" s="16">
        <f>'14. Transition Cost Adder Sch'!B123</f>
        <v>0.037400145139999154</v>
      </c>
      <c r="G118" s="16"/>
    </row>
    <row r="119" spans="1:7" ht="15">
      <c r="A119" s="36"/>
      <c r="B119" s="177"/>
      <c r="C119" s="175" t="s">
        <v>331</v>
      </c>
      <c r="E119" s="178" t="s">
        <v>274</v>
      </c>
      <c r="F119" s="16">
        <f>'1. 2001 Approved Rate Schedule'!B129</f>
        <v>0</v>
      </c>
      <c r="G119" s="16"/>
    </row>
    <row r="120" spans="1:7" ht="15">
      <c r="A120" s="36"/>
      <c r="B120" s="175"/>
      <c r="C120" s="182" t="s">
        <v>332</v>
      </c>
      <c r="E120" s="178" t="s">
        <v>274</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333</v>
      </c>
      <c r="B123" s="177"/>
      <c r="C123" s="175"/>
      <c r="D123" s="176"/>
      <c r="E123" s="175"/>
      <c r="F123" s="16"/>
      <c r="G123" s="16"/>
    </row>
    <row r="124" spans="1:7" ht="15">
      <c r="A124" s="36"/>
      <c r="B124" s="175"/>
      <c r="C124" s="175"/>
      <c r="D124" s="176"/>
      <c r="E124" s="175"/>
      <c r="F124" s="16"/>
      <c r="G124" s="16"/>
    </row>
    <row r="125" spans="1:7" ht="12" customHeight="1">
      <c r="A125" s="36"/>
      <c r="B125" s="177"/>
      <c r="C125" s="176" t="s">
        <v>262</v>
      </c>
      <c r="E125" s="178" t="s">
        <v>265</v>
      </c>
      <c r="F125" s="19">
        <f>'14. Transition Cost Adder Sch'!B137</f>
        <v>0.004907473610519073</v>
      </c>
      <c r="G125" s="16"/>
    </row>
    <row r="126" spans="1:7" ht="14.25" customHeight="1">
      <c r="A126" s="36"/>
      <c r="B126" s="175"/>
      <c r="C126" s="176" t="s">
        <v>263</v>
      </c>
      <c r="E126" s="178" t="s">
        <v>274</v>
      </c>
      <c r="F126" s="16">
        <f>'14. Transition Cost Adder Sch'!B135</f>
        <v>0.2826965953578611</v>
      </c>
      <c r="G126" s="16"/>
    </row>
    <row r="127" spans="1:7" ht="15">
      <c r="A127" s="36"/>
      <c r="B127" s="175"/>
      <c r="C127" s="176" t="s">
        <v>275</v>
      </c>
      <c r="E127" s="178" t="s">
        <v>274</v>
      </c>
      <c r="F127" s="16">
        <f>'1. 2001 Approved Rate Schedule'!B139</f>
        <v>0</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334</v>
      </c>
      <c r="B130" s="175"/>
      <c r="C130" s="175"/>
      <c r="D130" s="176"/>
      <c r="E130" s="175"/>
      <c r="F130" s="16"/>
      <c r="G130" s="16"/>
    </row>
    <row r="131" spans="2:7" ht="15">
      <c r="B131" s="175"/>
      <c r="C131" s="175"/>
      <c r="D131" s="176"/>
      <c r="E131" s="175"/>
      <c r="F131" s="16"/>
      <c r="G131" s="16"/>
    </row>
    <row r="132" spans="1:7" ht="15">
      <c r="A132" s="36"/>
      <c r="B132" s="177"/>
      <c r="C132" s="176" t="s">
        <v>262</v>
      </c>
      <c r="E132" s="178" t="s">
        <v>265</v>
      </c>
      <c r="F132" s="19">
        <f>'14. Transition Cost Adder Sch'!B147</f>
        <v>0.16314747361051907</v>
      </c>
      <c r="G132" s="16"/>
    </row>
    <row r="133" spans="1:7" ht="15">
      <c r="A133" s="36"/>
      <c r="B133" s="175"/>
      <c r="C133" s="176" t="s">
        <v>263</v>
      </c>
      <c r="E133" s="178" t="s">
        <v>274</v>
      </c>
      <c r="F133" s="16">
        <f>'14. Transition Cost Adder Sch'!B145</f>
        <v>0.8683823953578611</v>
      </c>
      <c r="G133" s="16"/>
    </row>
    <row r="134" spans="1:7" ht="15">
      <c r="A134" s="36"/>
      <c r="B134" s="177"/>
      <c r="C134" s="175" t="s">
        <v>331</v>
      </c>
      <c r="E134" s="178" t="s">
        <v>274</v>
      </c>
      <c r="F134" s="16">
        <f>'1. 2001 Approved Rate Schedule'!B151</f>
        <v>32.0654</v>
      </c>
      <c r="G134" s="16"/>
    </row>
    <row r="135" spans="1:7" ht="15">
      <c r="A135" s="36"/>
      <c r="B135" s="175"/>
      <c r="C135" s="182" t="s">
        <v>332</v>
      </c>
      <c r="E135" s="178" t="s">
        <v>274</v>
      </c>
      <c r="F135" s="16">
        <f>'1. 2001 Approved Rate Schedule'!C151</f>
        <v>12.7337</v>
      </c>
      <c r="G135" s="16"/>
    </row>
    <row r="136" spans="1:7" ht="15.75">
      <c r="A136" s="30"/>
      <c r="B136" s="175"/>
      <c r="C136" s="175"/>
      <c r="D136" s="176"/>
      <c r="E136" s="175"/>
      <c r="F136" s="16"/>
      <c r="G136" s="16"/>
    </row>
    <row r="137" spans="1:7" ht="15">
      <c r="A137" s="36"/>
      <c r="B137" s="175"/>
      <c r="C137" s="175"/>
      <c r="D137" s="176"/>
      <c r="E137" s="175"/>
      <c r="F137" s="16"/>
      <c r="G137" s="16"/>
    </row>
    <row r="138" spans="1:7" ht="18">
      <c r="A138" s="123" t="s">
        <v>32</v>
      </c>
      <c r="B138" s="175"/>
      <c r="C138" s="175"/>
      <c r="D138" s="176"/>
      <c r="E138" s="175"/>
      <c r="F138" s="16"/>
      <c r="G138" s="16"/>
    </row>
    <row r="139" spans="1:7" ht="15">
      <c r="A139" t="s">
        <v>355</v>
      </c>
      <c r="B139" s="177"/>
      <c r="C139" s="175"/>
      <c r="D139" s="176"/>
      <c r="E139" s="175"/>
      <c r="F139" s="16"/>
      <c r="G139" s="16"/>
    </row>
    <row r="140" spans="1:7" ht="15">
      <c r="A140" t="s">
        <v>335</v>
      </c>
      <c r="B140" s="175"/>
      <c r="C140" s="175"/>
      <c r="D140" s="176"/>
      <c r="E140" s="175"/>
      <c r="F140" s="16"/>
      <c r="G140" s="16"/>
    </row>
    <row r="141" spans="1:7" ht="15">
      <c r="A141" s="36"/>
      <c r="B141" s="177"/>
      <c r="C141" s="175"/>
      <c r="D141" s="176"/>
      <c r="E141" s="175"/>
      <c r="F141" s="16"/>
      <c r="G141" s="16"/>
    </row>
    <row r="142" spans="4:7" ht="15">
      <c r="D142" s="176"/>
      <c r="F142" s="16"/>
      <c r="G142" s="16"/>
    </row>
    <row r="143" spans="1:7" ht="15">
      <c r="A143" t="s">
        <v>33</v>
      </c>
      <c r="B143" s="6"/>
      <c r="C143" s="26"/>
      <c r="D143" s="176"/>
      <c r="E143" s="11">
        <v>0</v>
      </c>
      <c r="F143" s="16"/>
      <c r="G143" s="16"/>
    </row>
    <row r="144" spans="1:7" ht="15">
      <c r="A144" t="s">
        <v>34</v>
      </c>
      <c r="B144" s="6"/>
      <c r="C144" s="26"/>
      <c r="D144" s="176"/>
      <c r="E144" s="11">
        <v>10</v>
      </c>
      <c r="F144" s="16"/>
      <c r="G144" s="16"/>
    </row>
    <row r="145" spans="1:7" ht="15">
      <c r="A145" t="s">
        <v>35</v>
      </c>
      <c r="B145" s="6"/>
      <c r="C145" s="26"/>
      <c r="D145" s="176"/>
      <c r="E145" s="11"/>
      <c r="F145" s="16"/>
      <c r="G145" s="16"/>
    </row>
    <row r="146" spans="1:7" ht="15">
      <c r="A146" t="s">
        <v>36</v>
      </c>
      <c r="B146" s="6"/>
      <c r="C146" s="26"/>
      <c r="D146" s="36"/>
      <c r="E146" s="11">
        <v>0</v>
      </c>
      <c r="F146" s="16"/>
      <c r="G146" s="16"/>
    </row>
    <row r="147" spans="1:7" ht="15">
      <c r="A147" t="s">
        <v>37</v>
      </c>
      <c r="B147" s="6"/>
      <c r="C147" s="26"/>
      <c r="D147" s="176"/>
      <c r="E147" s="11">
        <v>0</v>
      </c>
      <c r="F147" s="16"/>
      <c r="G147" s="16"/>
    </row>
    <row r="148" spans="1:5" ht="15">
      <c r="A148" t="s">
        <v>38</v>
      </c>
      <c r="B148" s="6"/>
      <c r="C148" s="26"/>
      <c r="D148" s="36"/>
      <c r="E148" s="11">
        <v>0</v>
      </c>
    </row>
    <row r="149" spans="2:5" ht="12.75">
      <c r="B149" s="6"/>
      <c r="C149" s="26"/>
      <c r="E149" s="11"/>
    </row>
    <row r="150" spans="1:5" ht="12.75">
      <c r="A150" t="s">
        <v>39</v>
      </c>
      <c r="B150" s="6"/>
      <c r="C150" s="26"/>
      <c r="E150" s="11">
        <v>15</v>
      </c>
    </row>
    <row r="151" spans="1:5" ht="12.75">
      <c r="A151" t="s">
        <v>40</v>
      </c>
      <c r="B151" s="20"/>
      <c r="C151" s="219"/>
      <c r="E151" s="74">
        <v>0.015</v>
      </c>
    </row>
    <row r="152" spans="1:5" ht="12.75">
      <c r="A152" t="s">
        <v>41</v>
      </c>
      <c r="B152" s="6"/>
      <c r="C152" s="26"/>
      <c r="E152" s="11">
        <v>9</v>
      </c>
    </row>
    <row r="153" spans="1:5" ht="12.75">
      <c r="A153" t="s">
        <v>42</v>
      </c>
      <c r="B153" s="6"/>
      <c r="C153" s="26"/>
      <c r="E153" s="11">
        <v>9</v>
      </c>
    </row>
    <row r="154" spans="2:5" ht="12.75">
      <c r="B154" s="6"/>
      <c r="C154" s="26"/>
      <c r="E154" s="11"/>
    </row>
    <row r="155" spans="1:5" ht="12.75">
      <c r="A155" t="s">
        <v>43</v>
      </c>
      <c r="B155" s="6"/>
      <c r="C155" s="26"/>
      <c r="E155" s="11"/>
    </row>
    <row r="156" spans="1:5" ht="12.75">
      <c r="A156" t="s">
        <v>44</v>
      </c>
      <c r="B156" s="6"/>
      <c r="C156" s="26"/>
      <c r="E156" s="11">
        <v>20</v>
      </c>
    </row>
    <row r="157" spans="1:5" ht="12.75">
      <c r="A157" t="s">
        <v>45</v>
      </c>
      <c r="B157" s="6"/>
      <c r="C157" s="26"/>
      <c r="E157" s="11">
        <v>50</v>
      </c>
    </row>
    <row r="158" spans="2:5" ht="12.75">
      <c r="B158" s="6"/>
      <c r="C158" s="26"/>
      <c r="E158" s="11"/>
    </row>
    <row r="159" spans="1:5" ht="12.75">
      <c r="A159" t="s">
        <v>46</v>
      </c>
      <c r="B159" s="6"/>
      <c r="C159" s="26"/>
      <c r="E159" s="11">
        <v>0</v>
      </c>
    </row>
    <row r="160" spans="2:5" ht="12.75">
      <c r="B160" s="6"/>
      <c r="C160" s="26"/>
      <c r="E160" s="11"/>
    </row>
    <row r="161" spans="1:5" ht="12.75">
      <c r="A161" t="s">
        <v>47</v>
      </c>
      <c r="B161" s="6"/>
      <c r="C161" s="26"/>
      <c r="E161" s="11">
        <v>0</v>
      </c>
    </row>
    <row r="162" spans="1:5" ht="12.75">
      <c r="A162" t="s">
        <v>48</v>
      </c>
      <c r="B162" s="6"/>
      <c r="C162" s="26"/>
      <c r="E162" s="11">
        <v>0</v>
      </c>
    </row>
    <row r="163" spans="1:5" ht="12.75">
      <c r="A163" t="s">
        <v>49</v>
      </c>
      <c r="B163" s="6"/>
      <c r="C163" s="26"/>
      <c r="E163" s="11">
        <v>0</v>
      </c>
    </row>
    <row r="164" spans="2:5" ht="12.75">
      <c r="B164" s="6"/>
      <c r="C164" s="26"/>
      <c r="E164" s="6"/>
    </row>
    <row r="165" spans="1:5" ht="12.75">
      <c r="A165" t="s">
        <v>184</v>
      </c>
      <c r="B165" t="s">
        <v>186</v>
      </c>
      <c r="C165" s="26"/>
      <c r="E165" s="11">
        <v>0</v>
      </c>
    </row>
    <row r="166" spans="1:5" ht="12.75">
      <c r="A166" t="s">
        <v>185</v>
      </c>
      <c r="B166" t="s">
        <v>187</v>
      </c>
      <c r="C166" s="26"/>
      <c r="E166" s="11">
        <v>0</v>
      </c>
    </row>
    <row r="167" ht="12.75">
      <c r="C167" s="220"/>
    </row>
    <row r="168" spans="1:5" ht="12.75">
      <c r="A168" t="s">
        <v>348</v>
      </c>
      <c r="C168" s="26"/>
      <c r="E168" s="11">
        <v>10</v>
      </c>
    </row>
    <row r="169" ht="12.75">
      <c r="C169" s="220"/>
    </row>
    <row r="170" spans="1:3" ht="12.75">
      <c r="A170" t="s">
        <v>349</v>
      </c>
      <c r="C170" s="220"/>
    </row>
    <row r="171" spans="1:3" ht="12.75">
      <c r="A171" t="s">
        <v>350</v>
      </c>
      <c r="C171" s="220"/>
    </row>
    <row r="172" spans="1:5" ht="12.75">
      <c r="A172" t="s">
        <v>351</v>
      </c>
      <c r="C172" s="26"/>
      <c r="E172" s="11" t="s">
        <v>354</v>
      </c>
    </row>
    <row r="173" ht="12.75">
      <c r="C173" s="220"/>
    </row>
    <row r="174" spans="1:5" ht="12.75">
      <c r="A174" t="s">
        <v>352</v>
      </c>
      <c r="C174" s="220"/>
      <c r="E174" s="133" t="s">
        <v>353</v>
      </c>
    </row>
    <row r="175" ht="12.75">
      <c r="C175" s="220"/>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zoomScalePageLayoutView="0" workbookViewId="0" topLeftCell="A36">
      <selection activeCell="C55" sqref="C55"/>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Centre Wellington Hydro Ltd.</v>
      </c>
      <c r="C3" s="134"/>
      <c r="E3" s="139" t="s">
        <v>1</v>
      </c>
      <c r="F3" s="135" t="str">
        <f>'1. 2001 Approved Rate Schedule'!F3</f>
        <v>ED-1999-0269</v>
      </c>
    </row>
    <row r="4" spans="1:6" ht="18">
      <c r="A4" s="139" t="s">
        <v>3</v>
      </c>
      <c r="B4" s="133" t="str">
        <f>'1. 2001 Approved Rate Schedule'!B4</f>
        <v>Florence Thiessen</v>
      </c>
      <c r="C4" s="17"/>
      <c r="E4" s="139" t="s">
        <v>4</v>
      </c>
      <c r="F4" s="133"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6" ht="18">
      <c r="A7" s="30" t="s">
        <v>52</v>
      </c>
      <c r="B7" s="136">
        <f>'1. 2001 Approved Rate Schedule'!B7</f>
        <v>37276</v>
      </c>
      <c r="C7" s="17"/>
      <c r="D7" s="138" t="s">
        <v>130</v>
      </c>
      <c r="E7" s="138" t="s">
        <v>131</v>
      </c>
      <c r="F7" s="138" t="s">
        <v>132</v>
      </c>
    </row>
    <row r="8" spans="1:6" ht="18">
      <c r="A8" t="s">
        <v>195</v>
      </c>
      <c r="C8" s="17"/>
      <c r="D8" s="162">
        <v>0.004</v>
      </c>
      <c r="E8" s="137">
        <v>-0.015</v>
      </c>
      <c r="F8" s="137">
        <f>D8+E8</f>
        <v>-0.011</v>
      </c>
    </row>
    <row r="9" ht="13.5" thickBot="1">
      <c r="F9" s="37" t="s">
        <v>137</v>
      </c>
    </row>
    <row r="10" spans="1:6" ht="15.75" thickBot="1">
      <c r="A10" t="s">
        <v>202</v>
      </c>
      <c r="B10" s="122"/>
      <c r="F10" s="161">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17">
        <f>('1. 2001 Approved Rate Schedule'!B16)*$F$10</f>
        <v>0.0109779</v>
      </c>
      <c r="C16" s="16"/>
      <c r="D16" s="19"/>
      <c r="E16" s="16"/>
      <c r="F16" s="16"/>
      <c r="G16" s="16"/>
    </row>
    <row r="17" spans="2:7" ht="12.75">
      <c r="B17" s="16"/>
      <c r="C17" s="16"/>
      <c r="D17" s="23"/>
      <c r="E17" s="16"/>
      <c r="F17" s="16"/>
      <c r="G17" s="16"/>
    </row>
    <row r="18" spans="1:7" ht="12.75">
      <c r="A18" t="s">
        <v>133</v>
      </c>
      <c r="B18" s="216">
        <f>('1. 2001 Approved Rate Schedule'!B18)*$F$10</f>
        <v>12.47129</v>
      </c>
      <c r="C18" s="16"/>
      <c r="D18" s="19"/>
      <c r="E18" s="16"/>
      <c r="F18" s="16"/>
      <c r="G18" s="16"/>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0.0109779</v>
      </c>
      <c r="C26" s="16"/>
      <c r="D26" s="16"/>
      <c r="E26" s="16"/>
      <c r="F26" s="16"/>
      <c r="G26" s="16"/>
    </row>
    <row r="27" spans="2:7" ht="12.75">
      <c r="B27" s="16"/>
      <c r="C27" s="16"/>
      <c r="D27" s="16"/>
      <c r="E27" s="16"/>
      <c r="F27" s="16"/>
      <c r="G27" s="16"/>
    </row>
    <row r="28" spans="1:7" ht="12.75">
      <c r="A28" t="s">
        <v>133</v>
      </c>
      <c r="B28" s="16">
        <f>('1. 2001 Approved Rate Schedule'!B28)*$F$10</f>
        <v>12.47129</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17">
        <f>('1. 2001 Approved Rate Schedule'!B39)*$F$10</f>
        <v>0.0144394</v>
      </c>
      <c r="C39" s="16"/>
      <c r="D39" s="19"/>
      <c r="E39" s="16"/>
      <c r="F39" s="16"/>
      <c r="G39" s="16"/>
    </row>
    <row r="40" spans="2:7" ht="12.75">
      <c r="B40" s="16"/>
      <c r="C40" s="16"/>
      <c r="D40" s="19"/>
      <c r="E40" s="16"/>
      <c r="F40" s="16"/>
      <c r="G40" s="16"/>
    </row>
    <row r="41" spans="1:7" ht="12.75">
      <c r="A41" t="s">
        <v>133</v>
      </c>
      <c r="B41" s="216">
        <f>('1. 2001 Approved Rate Schedule'!B41)*$F$10</f>
        <v>12.57019</v>
      </c>
      <c r="C41" s="16"/>
      <c r="D41" s="19"/>
      <c r="E41" s="16"/>
      <c r="F41" s="16"/>
      <c r="G41" s="16"/>
    </row>
    <row r="42" spans="2:7" ht="12.75">
      <c r="B42" s="16"/>
      <c r="C42" s="16"/>
      <c r="D42" s="19"/>
      <c r="E42" s="16"/>
      <c r="F42" s="16"/>
      <c r="G42" s="16"/>
    </row>
    <row r="43" spans="1:7" ht="12.75">
      <c r="A43" t="s">
        <v>9</v>
      </c>
      <c r="B43" s="22">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0.0144394</v>
      </c>
      <c r="C49" s="16"/>
      <c r="D49" s="19"/>
      <c r="E49" s="16"/>
      <c r="F49" s="16"/>
      <c r="G49" s="16"/>
    </row>
    <row r="50" spans="2:7" ht="12.75">
      <c r="B50" s="16"/>
      <c r="C50" s="16"/>
      <c r="D50" s="19"/>
      <c r="E50" s="16"/>
      <c r="F50" s="16"/>
      <c r="G50" s="16"/>
    </row>
    <row r="51" spans="1:7" ht="12.75">
      <c r="A51" t="s">
        <v>133</v>
      </c>
      <c r="B51" s="16">
        <f>('1. 2001 Approved Rate Schedule'!B51)*$F$10</f>
        <v>12.57019</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17">
        <f>('1. 2001 Approved Rate Schedule'!B62)*$F$10</f>
        <v>2.3260291</v>
      </c>
      <c r="C62" s="16"/>
      <c r="D62" s="19"/>
      <c r="E62" s="16"/>
      <c r="F62" s="16"/>
      <c r="G62" s="16"/>
    </row>
    <row r="63" spans="2:7" ht="12.75">
      <c r="B63" s="16"/>
      <c r="C63" s="16"/>
      <c r="D63" s="19"/>
      <c r="E63" s="16"/>
      <c r="F63" s="16"/>
      <c r="G63" s="16"/>
    </row>
    <row r="64" spans="1:7" ht="12.75">
      <c r="A64" t="s">
        <v>133</v>
      </c>
      <c r="B64" s="216">
        <f>('1. 2001 Approved Rate Schedule'!B64)*$F$10</f>
        <v>30.154609999999998</v>
      </c>
      <c r="C64" s="16"/>
      <c r="D64" s="19"/>
      <c r="E64" s="16"/>
      <c r="F64" s="16"/>
      <c r="G64" s="16"/>
    </row>
    <row r="65" spans="2:7" ht="12.75">
      <c r="B65" s="16"/>
      <c r="C65" s="16"/>
      <c r="D65" s="19"/>
      <c r="E65" s="16"/>
      <c r="F65" s="16"/>
      <c r="G65" s="16"/>
    </row>
    <row r="66" spans="1:7" ht="12.75">
      <c r="A66" t="s">
        <v>23</v>
      </c>
      <c r="B66" s="16">
        <f>'1. 2001 Approved Rate Schedule'!B66</f>
        <v>8.3174</v>
      </c>
      <c r="C66" s="16"/>
      <c r="D66" s="19"/>
      <c r="E66" s="16"/>
      <c r="F66" s="16"/>
      <c r="G66" s="16"/>
    </row>
    <row r="67" spans="2:7" ht="12.75">
      <c r="B67" s="16"/>
      <c r="C67" s="16"/>
      <c r="D67" s="19"/>
      <c r="E67" s="16"/>
      <c r="F67" s="16"/>
      <c r="G67" s="16"/>
    </row>
    <row r="68" spans="1:7" ht="12.75">
      <c r="A68" t="s">
        <v>9</v>
      </c>
      <c r="B68" s="16">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17">
        <f>('1. 2001 Approved Rate Schedule'!B87)*$F$10</f>
        <v>1.0758342</v>
      </c>
      <c r="C87" s="16"/>
      <c r="D87" s="19"/>
      <c r="E87" s="16"/>
      <c r="F87" s="16"/>
      <c r="G87" s="16"/>
    </row>
    <row r="88" spans="2:7" ht="12.75">
      <c r="B88" s="16"/>
      <c r="C88" s="16"/>
      <c r="D88" s="19"/>
      <c r="E88" s="16"/>
      <c r="F88" s="16"/>
      <c r="G88" s="16"/>
    </row>
    <row r="89" spans="1:7" ht="12.75">
      <c r="A89" t="s">
        <v>133</v>
      </c>
      <c r="B89" s="216">
        <f>('1. 2001 Approved Rate Schedule'!B89)*$F$10</f>
        <v>307.26252</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8.0133</v>
      </c>
      <c r="C94" s="126">
        <f>'1. 2001 Approved Rate Schedule'!C94</f>
        <v>6.2869</v>
      </c>
      <c r="D94" s="125">
        <f>'1. 2001 Approved Rate Schedule'!D94</f>
        <v>0.07100000000000001</v>
      </c>
      <c r="E94" s="125">
        <f>'1. 2001 Approved Rate Schedule'!E94</f>
        <v>0.04240000000000001</v>
      </c>
      <c r="F94" s="125">
        <f>'1. 2001 Approved Rate Schedule'!F94</f>
        <v>0.059899999999999995</v>
      </c>
      <c r="G94" s="125">
        <f>'1. 2001 Approved Rate Schedule'!G94</f>
        <v>0.0314</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17">
        <f>('1. 2001 Approved Rate Schedule'!B113)*$F$10</f>
        <v>1.2233930000000002</v>
      </c>
      <c r="C113" s="16"/>
      <c r="D113" s="19"/>
      <c r="E113" s="16"/>
      <c r="F113" s="16"/>
      <c r="G113" s="16"/>
    </row>
    <row r="114" spans="2:7" ht="12.75">
      <c r="B114" s="16"/>
      <c r="C114" s="16"/>
      <c r="D114" s="19"/>
      <c r="E114" s="16"/>
      <c r="F114" s="16"/>
      <c r="G114" s="16"/>
    </row>
    <row r="115" spans="1:7" ht="12.75">
      <c r="A115" t="s">
        <v>136</v>
      </c>
      <c r="B115" s="216">
        <f>('1. 2001 Approved Rate Schedule'!B115)*$F$10</f>
        <v>0.45494</v>
      </c>
      <c r="C115" s="16"/>
      <c r="D115" s="19"/>
      <c r="E115" s="16"/>
      <c r="F115" s="16"/>
      <c r="G115" s="16"/>
    </row>
    <row r="116" spans="2:7" ht="12.75">
      <c r="B116" s="16"/>
      <c r="C116" s="16"/>
      <c r="D116" s="19"/>
      <c r="E116" s="16"/>
      <c r="F116" s="16"/>
      <c r="G116" s="16"/>
    </row>
    <row r="117" spans="1:7" ht="12.75">
      <c r="A117" t="s">
        <v>23</v>
      </c>
      <c r="B117" s="16">
        <f>'1. 2001 Approved Rate Schedule'!B117</f>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136</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0.5856857999999999</v>
      </c>
      <c r="C145" s="16"/>
      <c r="D145" s="19"/>
      <c r="E145" s="16"/>
      <c r="F145" s="16"/>
      <c r="G145" s="16"/>
    </row>
    <row r="146" spans="2:7" ht="12.75">
      <c r="B146" s="16"/>
      <c r="C146" s="16"/>
      <c r="D146" s="19"/>
      <c r="E146" s="16"/>
      <c r="F146" s="16"/>
      <c r="G146" s="16"/>
    </row>
    <row r="147" spans="1:7" ht="12.75">
      <c r="A147" t="s">
        <v>136</v>
      </c>
      <c r="B147" s="19">
        <f>('1. 2001 Approved Rate Schedule'!B147)*$F$10</f>
        <v>0.15824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32.0654</v>
      </c>
      <c r="C151" s="125">
        <f>'1. 2001 Approved Rate Schedule'!C151</f>
        <v>12.7337</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0" r:id="rId1"/>
  <headerFooter alignWithMargins="0">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1">
      <selection activeCell="E11" sqref="E11"/>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1.28125" style="0" customWidth="1"/>
  </cols>
  <sheetData>
    <row r="1" ht="18">
      <c r="A1" s="17" t="s">
        <v>203</v>
      </c>
    </row>
    <row r="2" ht="18">
      <c r="A2" s="1"/>
    </row>
    <row r="3" spans="1:7" ht="18">
      <c r="A3" s="139" t="s">
        <v>0</v>
      </c>
      <c r="B3" s="140" t="str">
        <f>'1. 2001 Approved Rate Schedule'!B3</f>
        <v>Centre Wellington Hydro Ltd.</v>
      </c>
      <c r="C3" s="134"/>
      <c r="E3" s="139" t="s">
        <v>1</v>
      </c>
      <c r="F3" s="1"/>
      <c r="G3" s="142" t="str">
        <f>'1. 2001 Approved Rate Schedule'!F3</f>
        <v>ED-1999-0269</v>
      </c>
    </row>
    <row r="4" spans="1:7" ht="18">
      <c r="A4" s="139" t="s">
        <v>3</v>
      </c>
      <c r="B4" s="141" t="str">
        <f>'1. 2001 Approved Rate Schedule'!B4</f>
        <v>Florence Thiessen</v>
      </c>
      <c r="C4" s="17"/>
      <c r="E4" s="139" t="s">
        <v>4</v>
      </c>
      <c r="F4" s="1"/>
      <c r="G4" s="141" t="str">
        <f>'1. 2001 Approved Rate Schedule'!F4</f>
        <v>519-843-2900</v>
      </c>
    </row>
    <row r="5" spans="1:3" ht="18">
      <c r="A5" s="30" t="s">
        <v>51</v>
      </c>
      <c r="B5" s="141" t="str">
        <f>'1. 2001 Approved Rate Schedule'!B5</f>
        <v>thiessen@cwhydro.ca</v>
      </c>
      <c r="C5" s="17"/>
    </row>
    <row r="6" spans="1:3" ht="18">
      <c r="A6" s="139" t="s">
        <v>2</v>
      </c>
      <c r="B6" s="141" t="str">
        <f>'1. 2001 Approved Rate Schedule'!B6</f>
        <v>1.0</v>
      </c>
      <c r="C6" s="17"/>
    </row>
    <row r="7" spans="1:3" ht="18">
      <c r="A7" s="30" t="s">
        <v>52</v>
      </c>
      <c r="B7" s="221">
        <f>'1. 2001 Approved Rate Schedule'!B7</f>
        <v>37276</v>
      </c>
      <c r="C7" s="17"/>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300</v>
      </c>
      <c r="B13" s="209">
        <v>0</v>
      </c>
      <c r="C13" s="208" t="s">
        <v>297</v>
      </c>
      <c r="D13" s="4"/>
      <c r="E13" s="4"/>
      <c r="F13" s="4"/>
      <c r="G13" s="4"/>
    </row>
    <row r="14" ht="12.75">
      <c r="B14" s="9"/>
    </row>
    <row r="15" spans="1:7" ht="14.25">
      <c r="A15" s="166" t="s">
        <v>95</v>
      </c>
      <c r="F15" s="26"/>
      <c r="G15" s="11">
        <v>59179.56</v>
      </c>
    </row>
    <row r="16" spans="2:3" ht="12.75">
      <c r="B16" s="10"/>
      <c r="C16" s="6"/>
    </row>
    <row r="17" spans="1:7" ht="14.25">
      <c r="A17" s="166" t="s">
        <v>298</v>
      </c>
      <c r="B17" s="10"/>
      <c r="C17" s="6"/>
      <c r="F17" s="26"/>
      <c r="G17" s="11">
        <f>G15</f>
        <v>59179.56</v>
      </c>
    </row>
    <row r="18" spans="2:3" ht="12.75">
      <c r="B18" s="10"/>
      <c r="C18" s="26"/>
    </row>
    <row r="19" spans="1:7" ht="14.25">
      <c r="A19" s="166" t="s">
        <v>138</v>
      </c>
      <c r="B19" s="10"/>
      <c r="C19" s="6"/>
      <c r="F19" s="26"/>
      <c r="G19" s="11">
        <f>G15</f>
        <v>59179.56</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37471628</v>
      </c>
      <c r="D26" s="58">
        <v>4467</v>
      </c>
      <c r="E26" s="59">
        <v>1057874.82</v>
      </c>
      <c r="F26" s="46">
        <f>E26/E35</f>
        <v>0.5533375688019775</v>
      </c>
      <c r="G26" s="47">
        <f>G36*F26</f>
        <v>32746.273853170755</v>
      </c>
      <c r="H26" s="29"/>
    </row>
    <row r="27" spans="1:8" ht="12.75">
      <c r="A27" s="70" t="s">
        <v>148</v>
      </c>
      <c r="B27" s="45" t="s">
        <v>66</v>
      </c>
      <c r="C27" s="57">
        <v>21295108</v>
      </c>
      <c r="D27" s="60">
        <v>614</v>
      </c>
      <c r="E27" s="59">
        <v>391389.29</v>
      </c>
      <c r="F27" s="46">
        <f>E27/E35</f>
        <v>0.2047221411165946</v>
      </c>
      <c r="G27" s="47">
        <f>G36*F27</f>
        <v>12115.366233537976</v>
      </c>
      <c r="H27" s="29"/>
    </row>
    <row r="28" spans="1:8" ht="12.75">
      <c r="A28" s="70" t="s">
        <v>149</v>
      </c>
      <c r="B28" s="61">
        <v>135951</v>
      </c>
      <c r="C28" s="48" t="s">
        <v>66</v>
      </c>
      <c r="D28" s="58">
        <v>46</v>
      </c>
      <c r="E28" s="59">
        <v>326470.81</v>
      </c>
      <c r="F28" s="46">
        <f>E28/E35</f>
        <v>0.17076553943330677</v>
      </c>
      <c r="G28" s="47">
        <f>G36*F28</f>
        <v>10105.829486825744</v>
      </c>
      <c r="H28" s="29"/>
    </row>
    <row r="29" spans="1:8" ht="12.75">
      <c r="A29" s="70" t="s">
        <v>116</v>
      </c>
      <c r="B29" s="157">
        <v>0</v>
      </c>
      <c r="C29" s="45" t="s">
        <v>66</v>
      </c>
      <c r="D29" s="157">
        <v>0</v>
      </c>
      <c r="E29" s="164">
        <v>0</v>
      </c>
      <c r="F29" s="46">
        <f>E29/E35</f>
        <v>0</v>
      </c>
      <c r="G29" s="47">
        <f>G36*F29</f>
        <v>0</v>
      </c>
      <c r="H29" s="31"/>
    </row>
    <row r="30" spans="1:8" ht="12.75">
      <c r="A30" s="70" t="s">
        <v>5</v>
      </c>
      <c r="B30" s="157">
        <v>117777</v>
      </c>
      <c r="C30" s="45" t="s">
        <v>66</v>
      </c>
      <c r="D30" s="157">
        <v>2</v>
      </c>
      <c r="E30" s="164">
        <v>131499.55</v>
      </c>
      <c r="F30" s="46">
        <f>E30/E35</f>
        <v>0.06878284643881974</v>
      </c>
      <c r="G30" s="47">
        <f>G36*F30</f>
        <v>4070.538587796919</v>
      </c>
      <c r="H30" s="31"/>
    </row>
    <row r="31" spans="1:8" ht="12.75">
      <c r="A31" s="70" t="s">
        <v>64</v>
      </c>
      <c r="B31" s="157">
        <v>0</v>
      </c>
      <c r="C31" s="45" t="s">
        <v>66</v>
      </c>
      <c r="D31" s="157">
        <v>0</v>
      </c>
      <c r="E31" s="164">
        <v>0</v>
      </c>
      <c r="F31" s="46">
        <f>E31/E35</f>
        <v>0</v>
      </c>
      <c r="G31" s="47">
        <f>G36*F31</f>
        <v>0</v>
      </c>
      <c r="H31" s="31"/>
    </row>
    <row r="32" spans="1:8" ht="12.75">
      <c r="A32" s="70" t="s">
        <v>62</v>
      </c>
      <c r="B32" s="61">
        <v>63</v>
      </c>
      <c r="C32" s="48" t="s">
        <v>66</v>
      </c>
      <c r="D32" s="58">
        <v>33</v>
      </c>
      <c r="E32" s="63">
        <v>200.31</v>
      </c>
      <c r="F32" s="46">
        <f>E32/E35</f>
        <v>0.00010477520242586368</v>
      </c>
      <c r="G32" s="47">
        <f>G36*F32</f>
        <v>6.200550378473545</v>
      </c>
      <c r="H32" s="29"/>
    </row>
    <row r="33" spans="1:8" ht="12.75">
      <c r="A33" s="70" t="s">
        <v>63</v>
      </c>
      <c r="B33" s="62">
        <v>2893</v>
      </c>
      <c r="C33" s="32" t="s">
        <v>66</v>
      </c>
      <c r="D33" s="64">
        <v>1425</v>
      </c>
      <c r="E33" s="65">
        <v>4372.55</v>
      </c>
      <c r="F33" s="33">
        <f>E33/E35</f>
        <v>0.0022871290068753945</v>
      </c>
      <c r="G33" s="49">
        <f>G36*F33</f>
        <v>135.35128829012282</v>
      </c>
      <c r="H33" s="35"/>
    </row>
    <row r="34" spans="1:8" ht="12.75">
      <c r="A34" s="70"/>
      <c r="B34" s="50"/>
      <c r="C34" s="51"/>
      <c r="D34" s="52"/>
      <c r="E34" s="50"/>
      <c r="F34" s="50"/>
      <c r="G34" s="47"/>
      <c r="H34" s="6"/>
    </row>
    <row r="35" spans="1:8" ht="12.75">
      <c r="A35" s="70" t="s">
        <v>60</v>
      </c>
      <c r="B35" s="42"/>
      <c r="C35" s="52"/>
      <c r="D35" s="50"/>
      <c r="E35" s="158">
        <f>SUM(E26:E33)</f>
        <v>1911807.3300000003</v>
      </c>
      <c r="F35" s="159">
        <f>SUM(F26:F33)</f>
        <v>0.9999999999999999</v>
      </c>
      <c r="G35" s="53">
        <f>SUM(G26:G33)</f>
        <v>59179.55999999998</v>
      </c>
      <c r="H35" s="6"/>
    </row>
    <row r="36" spans="1:8" ht="12.75">
      <c r="A36" s="41"/>
      <c r="B36" s="42"/>
      <c r="C36" s="42" t="s">
        <v>299</v>
      </c>
      <c r="F36" s="42"/>
      <c r="G36" s="111">
        <f>G17+B13</f>
        <v>59179.56</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0.38</v>
      </c>
      <c r="C45" s="38">
        <f>1-B45</f>
        <v>0.62</v>
      </c>
      <c r="D45" s="39">
        <f>B45+C45</f>
        <v>1</v>
      </c>
    </row>
    <row r="46" spans="2:4" ht="13.5" customHeight="1">
      <c r="B46" s="27"/>
      <c r="C46" s="27"/>
      <c r="D46" s="27"/>
    </row>
    <row r="47" spans="1:4" ht="12.75">
      <c r="A47" t="s">
        <v>191</v>
      </c>
      <c r="B47" s="6">
        <f>D47*B45</f>
        <v>12443.584064204886</v>
      </c>
      <c r="C47" s="6">
        <f>D47*C45</f>
        <v>20302.68978896587</v>
      </c>
      <c r="D47" s="6">
        <f>G26</f>
        <v>32746.273853170755</v>
      </c>
    </row>
    <row r="48" spans="1:4" ht="12.75">
      <c r="A48" t="s">
        <v>82</v>
      </c>
      <c r="B48" s="6"/>
      <c r="C48" s="6"/>
      <c r="D48" s="6"/>
    </row>
    <row r="49" spans="2:4" ht="12.75">
      <c r="B49" s="6"/>
      <c r="C49" s="6"/>
      <c r="D49" s="6"/>
    </row>
    <row r="50" spans="1:2" ht="12.75">
      <c r="A50" t="s">
        <v>70</v>
      </c>
      <c r="B50" s="14">
        <f>C26</f>
        <v>37471628</v>
      </c>
    </row>
    <row r="52" spans="1:3" ht="12.75">
      <c r="A52" t="s">
        <v>71</v>
      </c>
      <c r="C52" s="40">
        <f>D26</f>
        <v>4467</v>
      </c>
    </row>
    <row r="54" spans="1:2" ht="12.75">
      <c r="A54" t="s">
        <v>72</v>
      </c>
      <c r="B54" s="71">
        <f>B47/B50</f>
        <v>0.00033208015579693753</v>
      </c>
    </row>
    <row r="55" ht="12.75">
      <c r="A55" t="s">
        <v>77</v>
      </c>
    </row>
    <row r="56" ht="12.75">
      <c r="A56" t="s">
        <v>78</v>
      </c>
    </row>
    <row r="58" spans="1:3" ht="12.75">
      <c r="A58" t="s">
        <v>74</v>
      </c>
      <c r="C58" s="15">
        <f>C47/C52/12</f>
        <v>0.37875326074483</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0.768</v>
      </c>
      <c r="C69" s="38">
        <f>1-B69</f>
        <v>0.23199999999999998</v>
      </c>
      <c r="D69" s="39">
        <f>B69+C69</f>
        <v>1</v>
      </c>
    </row>
    <row r="70" spans="2:4" ht="12.75">
      <c r="B70" s="27"/>
      <c r="C70" s="27"/>
      <c r="D70" s="27"/>
    </row>
    <row r="71" spans="1:4" ht="12.75">
      <c r="A71" t="s">
        <v>191</v>
      </c>
      <c r="B71" s="6">
        <f>D71*B69</f>
        <v>9304.601267357166</v>
      </c>
      <c r="C71" s="6">
        <f>D71*C69</f>
        <v>2810.76496618081</v>
      </c>
      <c r="D71" s="6">
        <f>G27</f>
        <v>12115.366233537976</v>
      </c>
    </row>
    <row r="72" spans="1:4" ht="12.75">
      <c r="A72" t="s">
        <v>86</v>
      </c>
      <c r="B72" s="6"/>
      <c r="C72" s="6"/>
      <c r="D72" s="6"/>
    </row>
    <row r="73" spans="2:4" ht="12.75">
      <c r="B73" s="6"/>
      <c r="C73" s="6"/>
      <c r="D73" s="6"/>
    </row>
    <row r="74" spans="1:2" ht="12.75">
      <c r="A74" t="s">
        <v>70</v>
      </c>
      <c r="B74" s="14">
        <f>C27</f>
        <v>21295108</v>
      </c>
    </row>
    <row r="76" spans="1:3" ht="12.75">
      <c r="A76" t="s">
        <v>71</v>
      </c>
      <c r="C76" s="40">
        <f>D27</f>
        <v>614</v>
      </c>
    </row>
    <row r="78" spans="1:2" ht="12.75">
      <c r="A78" t="s">
        <v>72</v>
      </c>
      <c r="B78" s="71">
        <f>B71/B74</f>
        <v>0.0004369360919586398</v>
      </c>
    </row>
    <row r="79" ht="12.75">
      <c r="A79" t="s">
        <v>77</v>
      </c>
    </row>
    <row r="80" ht="12.75">
      <c r="A80" t="s">
        <v>78</v>
      </c>
    </row>
    <row r="82" spans="1:3" ht="12.75">
      <c r="A82" t="s">
        <v>74</v>
      </c>
      <c r="C82" s="15">
        <f>C71/C76/12</f>
        <v>0.38148275871075055</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0.95</v>
      </c>
      <c r="C93" s="38">
        <f>1-B93</f>
        <v>0.050000000000000044</v>
      </c>
      <c r="D93" s="39">
        <f>B93+C93</f>
        <v>1</v>
      </c>
    </row>
    <row r="94" spans="2:4" ht="12.75">
      <c r="B94" s="27"/>
      <c r="C94" s="27"/>
      <c r="D94" s="27"/>
    </row>
    <row r="95" spans="1:4" ht="12.75">
      <c r="A95" t="s">
        <v>191</v>
      </c>
      <c r="B95" s="6">
        <f>D95*B93</f>
        <v>9600.538012484456</v>
      </c>
      <c r="C95" s="6">
        <f>D95*C93</f>
        <v>505.2914743412876</v>
      </c>
      <c r="D95" s="6">
        <f>G28</f>
        <v>10105.829486825744</v>
      </c>
    </row>
    <row r="96" spans="1:4" ht="12.75">
      <c r="A96" t="s">
        <v>88</v>
      </c>
      <c r="B96" s="6"/>
      <c r="C96" s="6"/>
      <c r="D96" s="6"/>
    </row>
    <row r="97" spans="2:4" ht="12.75">
      <c r="B97" s="6"/>
      <c r="C97" s="6"/>
      <c r="D97" s="6"/>
    </row>
    <row r="98" spans="1:2" ht="12.75">
      <c r="A98" t="s">
        <v>83</v>
      </c>
      <c r="B98" s="14">
        <f>B28</f>
        <v>135951</v>
      </c>
    </row>
    <row r="100" spans="1:3" ht="12.75">
      <c r="A100" t="s">
        <v>71</v>
      </c>
      <c r="C100" s="40">
        <f>D28</f>
        <v>46</v>
      </c>
    </row>
    <row r="102" spans="1:2" ht="12.75">
      <c r="A102" t="s">
        <v>84</v>
      </c>
      <c r="B102" s="71">
        <f>B95/B98</f>
        <v>0.07061763438653967</v>
      </c>
    </row>
    <row r="103" ht="12.75">
      <c r="A103" t="s">
        <v>94</v>
      </c>
    </row>
    <row r="104" ht="12.75">
      <c r="A104" t="s">
        <v>78</v>
      </c>
    </row>
    <row r="106" spans="1:3" ht="12.75">
      <c r="A106" t="s">
        <v>74</v>
      </c>
      <c r="C106" s="15">
        <f>C95/C100/12</f>
        <v>0.9153831056907383</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0.945</v>
      </c>
      <c r="C141" s="38">
        <f>1-B141</f>
        <v>0.05500000000000005</v>
      </c>
      <c r="D141" s="39">
        <f>B141+C141</f>
        <v>1</v>
      </c>
    </row>
    <row r="142" spans="2:4" ht="12.75">
      <c r="B142" s="27"/>
      <c r="C142" s="27"/>
      <c r="D142" s="27"/>
    </row>
    <row r="143" spans="2:4" ht="12.75">
      <c r="B143" s="27"/>
      <c r="C143" s="27"/>
      <c r="D143" s="27"/>
    </row>
    <row r="144" spans="1:4" ht="12.75">
      <c r="A144" t="s">
        <v>191</v>
      </c>
      <c r="B144" s="6">
        <f>D144*B141</f>
        <v>3846.658965468088</v>
      </c>
      <c r="C144" s="6">
        <f>D144*C141</f>
        <v>223.87962232883072</v>
      </c>
      <c r="D144" s="6">
        <f>G30</f>
        <v>4070.538587796919</v>
      </c>
    </row>
    <row r="145" spans="1:4" ht="12.75">
      <c r="A145" t="s">
        <v>92</v>
      </c>
      <c r="B145" s="6"/>
      <c r="C145" s="6"/>
      <c r="D145" s="6"/>
    </row>
    <row r="146" spans="2:4" ht="12.75">
      <c r="B146" s="6"/>
      <c r="C146" s="6"/>
      <c r="D146" s="6"/>
    </row>
    <row r="147" spans="1:2" ht="12.75">
      <c r="A147" t="s">
        <v>83</v>
      </c>
      <c r="B147" s="14">
        <f>B30</f>
        <v>117777</v>
      </c>
    </row>
    <row r="149" spans="1:3" ht="12.75">
      <c r="A149" t="s">
        <v>71</v>
      </c>
      <c r="C149" s="40">
        <f>D30</f>
        <v>2</v>
      </c>
    </row>
    <row r="151" spans="1:2" ht="12.75">
      <c r="A151" t="s">
        <v>84</v>
      </c>
      <c r="B151" s="71">
        <f>B144/B147</f>
        <v>0.03266052765368525</v>
      </c>
    </row>
    <row r="152" ht="12.75">
      <c r="A152" t="s">
        <v>94</v>
      </c>
    </row>
    <row r="153" ht="12.75">
      <c r="A153" t="s">
        <v>78</v>
      </c>
    </row>
    <row r="155" spans="1:3" ht="12.75">
      <c r="A155" t="s">
        <v>74</v>
      </c>
      <c r="C155" s="15">
        <f>C144/C149/12</f>
        <v>9.328317597034614</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0.38</v>
      </c>
      <c r="C191" s="38">
        <f>1-B191</f>
        <v>0.62</v>
      </c>
      <c r="D191" s="39">
        <f>B191+C191</f>
        <v>1</v>
      </c>
    </row>
    <row r="192" spans="2:4" ht="12.75">
      <c r="B192" s="27"/>
      <c r="C192" s="27"/>
      <c r="D192" s="27"/>
    </row>
    <row r="193" spans="2:4" ht="12.75">
      <c r="B193" s="27"/>
      <c r="C193" s="27"/>
      <c r="D193" s="27"/>
    </row>
    <row r="194" spans="1:4" ht="12.75">
      <c r="A194" t="s">
        <v>191</v>
      </c>
      <c r="B194" s="6">
        <f>D194*B191</f>
        <v>2.356209143819947</v>
      </c>
      <c r="C194" s="6">
        <f>D194*C191</f>
        <v>3.844341234653598</v>
      </c>
      <c r="D194" s="6">
        <f>G32</f>
        <v>6.200550378473545</v>
      </c>
    </row>
    <row r="195" spans="1:4" ht="12.75">
      <c r="A195" t="s">
        <v>192</v>
      </c>
      <c r="B195" s="6"/>
      <c r="C195" s="6"/>
      <c r="D195" s="6"/>
    </row>
    <row r="196" spans="2:4" ht="12.75">
      <c r="B196" s="6"/>
      <c r="C196" s="6"/>
      <c r="D196" s="6"/>
    </row>
    <row r="197" spans="1:2" ht="12.75">
      <c r="A197" t="s">
        <v>83</v>
      </c>
      <c r="B197" s="14">
        <f>B32</f>
        <v>63</v>
      </c>
    </row>
    <row r="199" spans="1:3" ht="12.75">
      <c r="A199" t="s">
        <v>99</v>
      </c>
      <c r="C199" s="40">
        <f>D32</f>
        <v>33</v>
      </c>
    </row>
    <row r="201" spans="1:2" ht="12.75">
      <c r="A201" t="s">
        <v>84</v>
      </c>
      <c r="B201" s="71">
        <f>B194/B197</f>
        <v>0.037400145139999154</v>
      </c>
    </row>
    <row r="202" ht="12.75">
      <c r="A202" t="s">
        <v>94</v>
      </c>
    </row>
    <row r="203" ht="12.75">
      <c r="A203" t="s">
        <v>78</v>
      </c>
    </row>
    <row r="205" spans="1:3" ht="12.75">
      <c r="A205" t="s">
        <v>74</v>
      </c>
      <c r="C205" s="15">
        <f>C194/C199/12</f>
        <v>0.009707932410741409</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0.38</v>
      </c>
      <c r="C216" s="38">
        <f>1-B216</f>
        <v>0.62</v>
      </c>
      <c r="D216" s="39">
        <f>B216+C216</f>
        <v>1</v>
      </c>
    </row>
    <row r="217" spans="2:4" ht="12.75">
      <c r="B217" s="27"/>
      <c r="C217" s="27"/>
      <c r="D217" s="27"/>
    </row>
    <row r="218" spans="2:4" ht="12.75">
      <c r="B218" s="27"/>
      <c r="C218" s="27"/>
      <c r="D218" s="27"/>
    </row>
    <row r="219" spans="1:4" ht="12.75">
      <c r="A219" t="s">
        <v>191</v>
      </c>
      <c r="B219" s="6">
        <f>D219*B216</f>
        <v>51.43348955024668</v>
      </c>
      <c r="C219" s="6">
        <f>D219*C216</f>
        <v>83.91779873987615</v>
      </c>
      <c r="D219" s="6">
        <f>G33</f>
        <v>135.35128829012282</v>
      </c>
    </row>
    <row r="220" spans="1:4" ht="12.75">
      <c r="A220" t="s">
        <v>193</v>
      </c>
      <c r="B220" s="6"/>
      <c r="C220" s="6"/>
      <c r="D220" s="6"/>
    </row>
    <row r="221" spans="2:4" ht="12.75">
      <c r="B221" s="6"/>
      <c r="C221" s="6"/>
      <c r="D221" s="6"/>
    </row>
    <row r="222" spans="1:2" ht="12.75">
      <c r="A222" t="s">
        <v>83</v>
      </c>
      <c r="B222" s="14">
        <f>B33</f>
        <v>2893</v>
      </c>
    </row>
    <row r="224" spans="1:3" ht="12.75">
      <c r="A224" t="s">
        <v>71</v>
      </c>
      <c r="C224" s="40">
        <f>D33</f>
        <v>1425</v>
      </c>
    </row>
    <row r="226" spans="1:2" ht="12.75">
      <c r="A226" t="s">
        <v>84</v>
      </c>
      <c r="B226" s="71">
        <f>B219/B222</f>
        <v>0.01777859991366978</v>
      </c>
    </row>
    <row r="227" ht="12.75">
      <c r="A227" t="s">
        <v>94</v>
      </c>
    </row>
    <row r="228" ht="12.75">
      <c r="A228" t="s">
        <v>78</v>
      </c>
    </row>
    <row r="230" spans="1:3" ht="12.75">
      <c r="A230" t="s">
        <v>74</v>
      </c>
      <c r="C230" s="15">
        <f>C219/C224/12</f>
        <v>0.004907473610519073</v>
      </c>
    </row>
    <row r="231" ht="12.75">
      <c r="A231" t="s">
        <v>79</v>
      </c>
    </row>
    <row r="232" ht="12.75">
      <c r="A232" t="s">
        <v>80</v>
      </c>
    </row>
  </sheetData>
  <sheetProtection/>
  <printOptions/>
  <pageMargins left="0.31" right="0.17" top="0.45" bottom="0.5" header="0.28" footer="0.23"/>
  <pageSetup horizontalDpi="600" verticalDpi="600" orientation="portrait" scale="69" r:id="rId1"/>
  <headerFooter alignWithMargins="0">
    <oddHeader>&amp;C&amp;F</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G100" sqref="G100"/>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7.421875" style="0" customWidth="1"/>
  </cols>
  <sheetData>
    <row r="1" ht="18">
      <c r="A1" s="17" t="s">
        <v>146</v>
      </c>
    </row>
    <row r="3" spans="1:6" ht="18">
      <c r="A3" s="139" t="s">
        <v>0</v>
      </c>
      <c r="B3" s="140" t="str">
        <f>'1. 2001 Approved Rate Schedule'!B3</f>
        <v>Centre Wellington Hydro Ltd.</v>
      </c>
      <c r="C3" s="134"/>
      <c r="E3" s="139" t="s">
        <v>1</v>
      </c>
      <c r="F3" s="133" t="str">
        <f>'1. 2001 Approved Rate Schedule'!F3</f>
        <v>ED-1999-0269</v>
      </c>
    </row>
    <row r="4" spans="1:6" ht="18">
      <c r="A4" s="139" t="s">
        <v>3</v>
      </c>
      <c r="B4" s="133" t="str">
        <f>'1. 2001 Approved Rate Schedule'!B4</f>
        <v>Florence Thiessen</v>
      </c>
      <c r="C4" s="17"/>
      <c r="E4" s="139" t="s">
        <v>4</v>
      </c>
      <c r="F4" s="133"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ht="18">
      <c r="C8" s="17"/>
    </row>
    <row r="9" spans="1:2" ht="14.25">
      <c r="A9" s="166" t="s">
        <v>205</v>
      </c>
      <c r="B9" s="5"/>
    </row>
    <row r="10" ht="14.25">
      <c r="A10" s="166" t="s">
        <v>204</v>
      </c>
    </row>
    <row r="12" ht="15">
      <c r="A12" s="166"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0.011309980155796939</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12.85004326074483</v>
      </c>
      <c r="C18" s="16"/>
      <c r="D18" s="19"/>
      <c r="E18" s="16"/>
      <c r="F18" s="22"/>
      <c r="G18" s="15"/>
      <c r="H18" s="22"/>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0.011309980155796939</v>
      </c>
      <c r="C26" s="16"/>
      <c r="D26" s="16"/>
      <c r="E26" s="16"/>
      <c r="F26" s="16"/>
      <c r="G26" s="16"/>
    </row>
    <row r="27" spans="2:7" ht="12.75">
      <c r="B27" s="16"/>
      <c r="C27" s="16"/>
      <c r="D27" s="16"/>
      <c r="E27" s="16"/>
      <c r="F27" s="16"/>
      <c r="G27" s="16"/>
    </row>
    <row r="28" spans="1:7" ht="12.75">
      <c r="A28" t="s">
        <v>133</v>
      </c>
      <c r="B28" s="19">
        <f>('2. PBR Adjusted Rate Schedule'!B28)+('3. 1999 Data &amp; add 2002 MARR'!C58)</f>
        <v>12.85004326074483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0.014876336091958639</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12.951672758710751</v>
      </c>
      <c r="C41" s="16"/>
      <c r="D41" s="19"/>
      <c r="E41" s="16"/>
      <c r="F41" s="16"/>
      <c r="G41" s="23"/>
      <c r="H41" s="22"/>
    </row>
    <row r="42" spans="2:7" ht="12.75">
      <c r="B42" s="16"/>
      <c r="C42" s="16"/>
      <c r="D42" s="19"/>
      <c r="E42" s="16"/>
      <c r="F42" s="16"/>
      <c r="G42" s="16"/>
    </row>
    <row r="43" spans="1:7" ht="12.75">
      <c r="A43" t="s">
        <v>9</v>
      </c>
      <c r="B43" s="16">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0.014876336091958639</v>
      </c>
      <c r="C49" s="16"/>
      <c r="D49" s="19"/>
      <c r="E49" s="16"/>
      <c r="F49" s="16"/>
      <c r="G49" s="16"/>
    </row>
    <row r="50" spans="2:7" ht="12.75">
      <c r="B50" s="16"/>
      <c r="C50" s="16"/>
      <c r="D50" s="19"/>
      <c r="E50" s="16"/>
      <c r="F50" s="16"/>
      <c r="G50" s="16"/>
    </row>
    <row r="51" spans="1:7" ht="12.75">
      <c r="A51" t="s">
        <v>133</v>
      </c>
      <c r="B51" s="19">
        <f>('2. PBR Adjusted Rate Schedule'!B51)+('3. 1999 Data &amp; add 2002 MARR'!C82)</f>
        <v>12.951672758710751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2.3966467343865396</v>
      </c>
      <c r="C62" s="16"/>
      <c r="D62" s="19"/>
      <c r="E62" s="16"/>
      <c r="F62" s="16"/>
      <c r="G62" s="16"/>
    </row>
    <row r="63" spans="2:7" ht="12.75">
      <c r="B63" s="16"/>
      <c r="C63" s="16"/>
      <c r="D63" s="19"/>
      <c r="E63" s="16"/>
      <c r="F63" s="16"/>
      <c r="G63" s="16"/>
    </row>
    <row r="64" spans="1:7" ht="12.75">
      <c r="A64" t="s">
        <v>133</v>
      </c>
      <c r="B64" s="19">
        <f>('2. PBR Adjusted Rate Schedule'!B64)+('3. 1999 Data &amp; add 2002 MARR'!C106)</f>
        <v>31.069993105690738</v>
      </c>
      <c r="C64" s="16"/>
      <c r="D64" s="19"/>
      <c r="E64" s="16"/>
      <c r="F64" s="16"/>
      <c r="G64" s="16"/>
    </row>
    <row r="65" spans="2:7" ht="12.75">
      <c r="B65" s="16"/>
      <c r="C65" s="16"/>
      <c r="D65" s="19"/>
      <c r="E65" s="16"/>
      <c r="F65" s="16"/>
      <c r="G65" s="16"/>
    </row>
    <row r="66" spans="1:7" ht="12.75">
      <c r="A66" t="s">
        <v>23</v>
      </c>
      <c r="B66" s="16">
        <f>'1. 2001 Approved Rate Schedule'!B66</f>
        <v>8.3174</v>
      </c>
      <c r="C66" s="16"/>
      <c r="D66" s="19"/>
      <c r="E66" s="16"/>
      <c r="F66" s="16"/>
      <c r="G66" s="16"/>
    </row>
    <row r="67" spans="2:7" ht="12.75">
      <c r="B67" s="16"/>
      <c r="C67" s="16"/>
      <c r="D67" s="19"/>
      <c r="E67" s="16"/>
      <c r="F67" s="16"/>
      <c r="G67" s="16"/>
    </row>
    <row r="68" spans="1:7" ht="12.75">
      <c r="A68" t="s">
        <v>9</v>
      </c>
      <c r="B68" s="16">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hidden="1">
      <c r="A83" s="17"/>
      <c r="B83" s="16"/>
      <c r="C83" s="16"/>
      <c r="D83" s="16"/>
      <c r="E83" s="16"/>
      <c r="F83" s="16"/>
      <c r="G83" s="16"/>
    </row>
    <row r="84" spans="1:7" ht="12.75" customHeight="1" hidden="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f>('2. PBR Adjusted Rate Schedule'!B87)+('3. 1999 Data &amp; add 2002 MARR'!B151)</f>
        <v>1.1084947276536854</v>
      </c>
      <c r="C87" s="16"/>
      <c r="D87" s="19"/>
      <c r="E87" s="16"/>
      <c r="F87" s="16"/>
      <c r="G87" s="16"/>
    </row>
    <row r="88" spans="2:7" ht="12.75">
      <c r="B88" s="16"/>
      <c r="C88" s="16"/>
      <c r="D88" s="19"/>
      <c r="E88" s="16"/>
      <c r="F88" s="16"/>
      <c r="G88" s="16"/>
    </row>
    <row r="89" spans="1:7" ht="12.75">
      <c r="A89" t="s">
        <v>133</v>
      </c>
      <c r="B89" s="16">
        <f>('2. PBR Adjusted Rate Schedule'!B89)+('3. 1999 Data &amp; add 2002 MARR'!C155)</f>
        <v>316.59083759703464</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8.0133</v>
      </c>
      <c r="C94" s="125">
        <f>'1. 2001 Approved Rate Schedule'!C94</f>
        <v>6.2869</v>
      </c>
      <c r="D94" s="125">
        <f>'1. 2001 Approved Rate Schedule'!D94</f>
        <v>0.07100000000000001</v>
      </c>
      <c r="E94" s="125">
        <f>'1. 2001 Approved Rate Schedule'!E94</f>
        <v>0.04240000000000001</v>
      </c>
      <c r="F94" s="125">
        <f>'1. 2001 Approved Rate Schedule'!F94</f>
        <v>0.059899999999999995</v>
      </c>
      <c r="G94" s="125">
        <f>'1. 2001 Approved Rate Schedule'!G94</f>
        <v>0.0314</v>
      </c>
    </row>
    <row r="95" spans="2:7" ht="12.75">
      <c r="B95" s="16"/>
      <c r="C95" s="16"/>
      <c r="D95" s="19"/>
      <c r="E95" s="16"/>
      <c r="F95" s="16"/>
      <c r="G95" s="16"/>
    </row>
    <row r="96" spans="2:7" ht="12.75" hidden="1">
      <c r="B96" s="16"/>
      <c r="C96" s="16"/>
      <c r="D96" s="19"/>
      <c r="E96" s="16"/>
      <c r="F96" s="16"/>
      <c r="G96" s="16"/>
    </row>
    <row r="97" spans="2:7" ht="12.75" hidden="1">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hidden="1">
      <c r="A109" s="5"/>
      <c r="B109" s="125"/>
      <c r="C109" s="125"/>
      <c r="D109" s="125"/>
      <c r="E109" s="125"/>
      <c r="F109" s="125"/>
      <c r="G109" s="125"/>
    </row>
    <row r="110" spans="3:7" ht="12.75" hidden="1">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1.2607931451399994</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0.4646479324107414</v>
      </c>
      <c r="C115" s="16"/>
      <c r="D115" s="19"/>
      <c r="E115" s="16"/>
      <c r="F115" s="16"/>
      <c r="G115" s="16"/>
    </row>
    <row r="116" spans="2:7" ht="12.75">
      <c r="B116" s="16"/>
      <c r="C116" s="16"/>
      <c r="D116" s="19"/>
      <c r="E116" s="16"/>
      <c r="F116" s="16"/>
      <c r="G116" s="16"/>
    </row>
    <row r="117" spans="1:7" ht="12.75">
      <c r="A117" t="s">
        <v>23</v>
      </c>
      <c r="B117" s="143">
        <f>'1. 2001 Approved Rate Schedule'!B117</f>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0.037400145139999154</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0.009707932410741409</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hidden="1">
      <c r="A130" s="17"/>
      <c r="B130" s="16"/>
      <c r="C130" s="16"/>
      <c r="D130" s="19"/>
      <c r="E130" s="16"/>
      <c r="F130" s="16"/>
      <c r="G130" s="16"/>
    </row>
    <row r="131" spans="1:7" ht="14.25" customHeight="1" hidden="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0.01777859991366978</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0.004907473610519073</v>
      </c>
      <c r="C137" s="16"/>
      <c r="D137" s="19"/>
      <c r="E137" s="16"/>
      <c r="F137" s="16"/>
      <c r="G137" s="16"/>
    </row>
    <row r="138" spans="2:7" ht="12.75">
      <c r="B138" s="16"/>
      <c r="C138" s="16"/>
      <c r="D138" s="19"/>
      <c r="E138" s="16"/>
      <c r="F138" s="16"/>
      <c r="G138" s="16"/>
    </row>
    <row r="139" spans="1:7" ht="12.75">
      <c r="A139" t="s">
        <v>23</v>
      </c>
      <c r="B139" s="143">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0.6034643999136697</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0.16314747361051907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32.0654</v>
      </c>
      <c r="C151" s="125">
        <f>'1. 2001 Approved Rate Schedule'!C151</f>
        <v>12.7337</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headerFooter alignWithMargins="0">
    <oddHeader>&amp;C&amp;F</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Centre Wellington Hydro Ltd.</v>
      </c>
      <c r="D3" s="134"/>
      <c r="F3" s="139" t="s">
        <v>1</v>
      </c>
      <c r="H3" s="144" t="str">
        <f>'1. 2001 Approved Rate Schedule'!F3</f>
        <v>ED-1999-0269</v>
      </c>
    </row>
    <row r="4" spans="1:8" ht="18">
      <c r="A4" s="139" t="s">
        <v>3</v>
      </c>
      <c r="B4" s="1"/>
      <c r="C4" s="133" t="str">
        <f>'1. 2001 Approved Rate Schedule'!B4</f>
        <v>Florence Thiessen</v>
      </c>
      <c r="D4" s="17"/>
      <c r="F4" s="139" t="s">
        <v>4</v>
      </c>
      <c r="H4" s="144" t="str">
        <f>'1. 2001 Approved Rate Schedule'!F4</f>
        <v>519-843-2900</v>
      </c>
    </row>
    <row r="5" spans="1:4" ht="18">
      <c r="A5" s="30" t="s">
        <v>51</v>
      </c>
      <c r="B5" s="17"/>
      <c r="C5" s="133" t="str">
        <f>'1. 2001 Approved Rate Schedule'!B5</f>
        <v>thiessen@cwhydro.ca</v>
      </c>
      <c r="D5" s="17"/>
    </row>
    <row r="6" spans="1:4" ht="18">
      <c r="A6" s="139" t="s">
        <v>2</v>
      </c>
      <c r="B6" s="1"/>
      <c r="C6" s="133" t="str">
        <f>'1. 2001 Approved Rate Schedule'!B6</f>
        <v>1.0</v>
      </c>
      <c r="D6" s="17"/>
    </row>
    <row r="7" spans="1:4" ht="18">
      <c r="A7" s="30" t="s">
        <v>52</v>
      </c>
      <c r="B7" s="17"/>
      <c r="C7" s="136">
        <f>'1. 2001 Approved Rate Schedule'!B7</f>
        <v>37276</v>
      </c>
      <c r="D7" s="17"/>
    </row>
    <row r="8" ht="18">
      <c r="D8" s="17"/>
    </row>
    <row r="9" ht="12.75">
      <c r="A9" t="s">
        <v>208</v>
      </c>
    </row>
    <row r="10" ht="12.75">
      <c r="A10" t="s">
        <v>209</v>
      </c>
    </row>
    <row r="11" ht="12.75">
      <c r="A11" t="s">
        <v>109</v>
      </c>
    </row>
    <row r="13" spans="1:11" ht="18">
      <c r="A13" s="123" t="s">
        <v>315</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12.61</v>
      </c>
      <c r="H23" s="27" t="s">
        <v>22</v>
      </c>
      <c r="I23" s="37" t="s">
        <v>125</v>
      </c>
      <c r="J23" s="37" t="s">
        <v>125</v>
      </c>
      <c r="K23" s="6">
        <f>'4. 2002MARR Base Rate Schedule'!B$18</f>
        <v>12.85004326074483</v>
      </c>
      <c r="L23" s="6"/>
      <c r="M23" s="6"/>
    </row>
    <row r="24" spans="3:13" ht="25.5">
      <c r="C24" s="27" t="s">
        <v>111</v>
      </c>
      <c r="D24">
        <v>100</v>
      </c>
      <c r="E24" s="108">
        <f>'1. 2001 Approved Rate Schedule'!B$16</f>
        <v>0.0111</v>
      </c>
      <c r="F24" s="6">
        <f>D24*E24</f>
        <v>1.11</v>
      </c>
      <c r="H24" s="27" t="s">
        <v>111</v>
      </c>
      <c r="I24">
        <f>D24</f>
        <v>100</v>
      </c>
      <c r="J24" s="119">
        <f>'4. 2002MARR Base Rate Schedule'!B$16</f>
        <v>0.011309980155796939</v>
      </c>
      <c r="K24" s="6">
        <f>I24*J24</f>
        <v>1.130998015579694</v>
      </c>
      <c r="L24" s="6"/>
      <c r="M24" s="6"/>
    </row>
    <row r="25" spans="3:13" ht="38.25">
      <c r="C25" s="27" t="s">
        <v>123</v>
      </c>
      <c r="D25">
        <v>100</v>
      </c>
      <c r="E25" s="108">
        <f>'1. 2001 Approved Rate Schedule'!B$20</f>
        <v>0.0736</v>
      </c>
      <c r="F25" s="6">
        <f>D25*E25</f>
        <v>7.359999999999999</v>
      </c>
      <c r="H25" s="27" t="s">
        <v>123</v>
      </c>
      <c r="I25">
        <f>D25</f>
        <v>100</v>
      </c>
      <c r="J25" s="107">
        <f>E25</f>
        <v>0.0736</v>
      </c>
      <c r="K25" s="6">
        <f>I25*J25</f>
        <v>7.359999999999999</v>
      </c>
      <c r="L25" s="6"/>
      <c r="M25" s="6"/>
    </row>
    <row r="26" spans="3:10" ht="12.75">
      <c r="C26" s="7"/>
      <c r="H26" s="7"/>
      <c r="J26" s="107"/>
    </row>
    <row r="27" spans="3:14" ht="12.75">
      <c r="C27" t="s">
        <v>121</v>
      </c>
      <c r="F27" s="111">
        <f>SUM(F23:F25)</f>
        <v>21.08</v>
      </c>
      <c r="H27" t="s">
        <v>124</v>
      </c>
      <c r="K27" s="111">
        <f>SUM(K23:K25)</f>
        <v>21.341041276324525</v>
      </c>
      <c r="L27" s="6"/>
      <c r="M27" s="6">
        <f>K27-F27</f>
        <v>0.26104127632452645</v>
      </c>
      <c r="N27" s="112">
        <f>K27/F27-1</f>
        <v>0.01238336225448422</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12.61</v>
      </c>
      <c r="H32" s="27" t="s">
        <v>22</v>
      </c>
      <c r="I32" s="37" t="s">
        <v>125</v>
      </c>
      <c r="J32" s="37" t="s">
        <v>125</v>
      </c>
      <c r="K32" s="6">
        <f>'4. 2002MARR Base Rate Schedule'!B$18</f>
        <v>12.85004326074483</v>
      </c>
      <c r="L32" s="6"/>
      <c r="M32" s="6"/>
    </row>
    <row r="33" spans="3:13" ht="25.5">
      <c r="C33" s="27" t="s">
        <v>111</v>
      </c>
      <c r="D33">
        <v>250</v>
      </c>
      <c r="E33" s="108">
        <f>'1. 2001 Approved Rate Schedule'!B$16</f>
        <v>0.0111</v>
      </c>
      <c r="F33" s="6">
        <f>D33*E33</f>
        <v>2.775</v>
      </c>
      <c r="H33" s="27" t="s">
        <v>111</v>
      </c>
      <c r="I33">
        <f>D33</f>
        <v>250</v>
      </c>
      <c r="J33" s="119">
        <f>'4. 2002MARR Base Rate Schedule'!B$16</f>
        <v>0.011309980155796939</v>
      </c>
      <c r="K33" s="6">
        <f>I33*J33</f>
        <v>2.827495038949235</v>
      </c>
      <c r="L33" s="6"/>
      <c r="M33" s="6"/>
    </row>
    <row r="34" spans="3:13" ht="38.25">
      <c r="C34" s="27" t="s">
        <v>123</v>
      </c>
      <c r="D34">
        <v>250</v>
      </c>
      <c r="E34" s="108">
        <f>'1. 2001 Approved Rate Schedule'!B$20</f>
        <v>0.0736</v>
      </c>
      <c r="F34" s="6">
        <f>D34*E34</f>
        <v>18.4</v>
      </c>
      <c r="H34" s="27" t="s">
        <v>123</v>
      </c>
      <c r="I34">
        <f>D34</f>
        <v>250</v>
      </c>
      <c r="J34" s="107">
        <f>E34</f>
        <v>0.0736</v>
      </c>
      <c r="K34" s="6">
        <f>I34*J34</f>
        <v>18.4</v>
      </c>
      <c r="L34" s="6"/>
      <c r="M34" s="6"/>
    </row>
    <row r="35" spans="3:10" ht="12.75">
      <c r="C35" s="7"/>
      <c r="H35" s="7"/>
      <c r="J35" s="107"/>
    </row>
    <row r="36" spans="3:14" ht="12.75">
      <c r="C36" t="s">
        <v>121</v>
      </c>
      <c r="F36" s="111">
        <f>SUM(F32:F34)</f>
        <v>33.785</v>
      </c>
      <c r="H36" t="s">
        <v>124</v>
      </c>
      <c r="K36" s="111">
        <f>SUM(K32:K34)</f>
        <v>34.07753829969406</v>
      </c>
      <c r="L36" s="6"/>
      <c r="M36" s="6">
        <f>K36-F36</f>
        <v>0.29253829969406553</v>
      </c>
      <c r="N36" s="112">
        <f>K36/F36-1</f>
        <v>0.008658821953354101</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12.61</v>
      </c>
      <c r="H41" s="27" t="s">
        <v>22</v>
      </c>
      <c r="I41" s="37" t="s">
        <v>125</v>
      </c>
      <c r="J41" s="37" t="s">
        <v>125</v>
      </c>
      <c r="K41" s="6">
        <f>'4. 2002MARR Base Rate Schedule'!B$18</f>
        <v>12.85004326074483</v>
      </c>
      <c r="L41" s="6"/>
      <c r="M41" s="6"/>
    </row>
    <row r="42" spans="3:13" ht="25.5">
      <c r="C42" s="27" t="s">
        <v>111</v>
      </c>
      <c r="D42">
        <v>500</v>
      </c>
      <c r="E42" s="108">
        <f>'1. 2001 Approved Rate Schedule'!B$16</f>
        <v>0.0111</v>
      </c>
      <c r="F42" s="6">
        <f>D42*E42</f>
        <v>5.55</v>
      </c>
      <c r="H42" s="27" t="s">
        <v>111</v>
      </c>
      <c r="I42">
        <f>D42</f>
        <v>500</v>
      </c>
      <c r="J42" s="119">
        <f>'4. 2002MARR Base Rate Schedule'!B$16</f>
        <v>0.011309980155796939</v>
      </c>
      <c r="K42" s="6">
        <f>I42*J42</f>
        <v>5.65499007789847</v>
      </c>
      <c r="L42" s="6"/>
      <c r="M42" s="6"/>
    </row>
    <row r="43" spans="3:13" ht="38.25">
      <c r="C43" s="27" t="s">
        <v>123</v>
      </c>
      <c r="D43">
        <f>D42</f>
        <v>500</v>
      </c>
      <c r="E43" s="108">
        <f>'1. 2001 Approved Rate Schedule'!B$20</f>
        <v>0.0736</v>
      </c>
      <c r="F43" s="6">
        <f>D43*E43</f>
        <v>36.8</v>
      </c>
      <c r="H43" s="27" t="s">
        <v>123</v>
      </c>
      <c r="I43">
        <f>D43</f>
        <v>500</v>
      </c>
      <c r="J43" s="107">
        <f>E43</f>
        <v>0.0736</v>
      </c>
      <c r="K43" s="6">
        <f>I43*J43</f>
        <v>36.8</v>
      </c>
      <c r="L43" s="6"/>
      <c r="M43" s="6"/>
    </row>
    <row r="44" spans="3:10" ht="12.75">
      <c r="C44" s="7"/>
      <c r="H44" s="7"/>
      <c r="J44" s="107"/>
    </row>
    <row r="45" spans="3:14" ht="12.75">
      <c r="C45" t="s">
        <v>121</v>
      </c>
      <c r="F45" s="111">
        <f>SUM(F41:F43)</f>
        <v>54.959999999999994</v>
      </c>
      <c r="H45" t="s">
        <v>124</v>
      </c>
      <c r="K45" s="111">
        <f>SUM(K41:K43)</f>
        <v>55.3050333386433</v>
      </c>
      <c r="L45" s="6"/>
      <c r="M45" s="6">
        <f>K45-F45</f>
        <v>0.34503333864330443</v>
      </c>
      <c r="N45" s="112">
        <f>K45/F45-1</f>
        <v>0.0062778991747325374</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12.61</v>
      </c>
      <c r="H50" s="27" t="s">
        <v>22</v>
      </c>
      <c r="I50" s="37" t="s">
        <v>125</v>
      </c>
      <c r="J50" s="37" t="s">
        <v>125</v>
      </c>
      <c r="K50" s="6">
        <f>'4. 2002MARR Base Rate Schedule'!B$18</f>
        <v>12.85004326074483</v>
      </c>
      <c r="L50" s="6"/>
      <c r="M50" s="6"/>
    </row>
    <row r="51" spans="3:13" ht="25.5">
      <c r="C51" s="27" t="s">
        <v>111</v>
      </c>
      <c r="D51">
        <v>750</v>
      </c>
      <c r="E51" s="108">
        <f>'1. 2001 Approved Rate Schedule'!B$16</f>
        <v>0.0111</v>
      </c>
      <c r="F51" s="6">
        <f>D51*E51</f>
        <v>8.325000000000001</v>
      </c>
      <c r="H51" s="27" t="s">
        <v>111</v>
      </c>
      <c r="I51">
        <f>D51</f>
        <v>750</v>
      </c>
      <c r="J51" s="119">
        <f>'4. 2002MARR Base Rate Schedule'!B$16</f>
        <v>0.011309980155796939</v>
      </c>
      <c r="K51" s="6">
        <f>I51*J51</f>
        <v>8.482485116847704</v>
      </c>
      <c r="L51" s="6"/>
      <c r="M51" s="6"/>
    </row>
    <row r="52" spans="3:13" ht="38.25">
      <c r="C52" s="27" t="s">
        <v>123</v>
      </c>
      <c r="D52">
        <f>D51</f>
        <v>750</v>
      </c>
      <c r="E52" s="108">
        <f>'1. 2001 Approved Rate Schedule'!B$20</f>
        <v>0.0736</v>
      </c>
      <c r="F52" s="6">
        <f>D52*E52</f>
        <v>55.199999999999996</v>
      </c>
      <c r="H52" s="27" t="s">
        <v>123</v>
      </c>
      <c r="I52">
        <f>D52</f>
        <v>750</v>
      </c>
      <c r="J52" s="107">
        <f>E52</f>
        <v>0.0736</v>
      </c>
      <c r="K52" s="6">
        <f>I52*J52</f>
        <v>55.199999999999996</v>
      </c>
      <c r="L52" s="6"/>
      <c r="M52" s="6"/>
    </row>
    <row r="53" spans="3:10" ht="12.75">
      <c r="C53" s="7"/>
      <c r="H53" s="7"/>
      <c r="J53" s="107"/>
    </row>
    <row r="54" spans="3:14" ht="12.75">
      <c r="C54" t="s">
        <v>121</v>
      </c>
      <c r="F54" s="111">
        <f>SUM(F50:F52)</f>
        <v>76.13499999999999</v>
      </c>
      <c r="H54" t="s">
        <v>124</v>
      </c>
      <c r="K54" s="111">
        <f>SUM(K50:K52)</f>
        <v>76.53252837759253</v>
      </c>
      <c r="L54" s="6"/>
      <c r="M54" s="6">
        <f>K54-F54</f>
        <v>0.39752837759253623</v>
      </c>
      <c r="N54" s="112">
        <f>K54/F54-1</f>
        <v>0.005221361759933485</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12.61</v>
      </c>
      <c r="H59" s="27" t="s">
        <v>22</v>
      </c>
      <c r="I59" s="37" t="s">
        <v>125</v>
      </c>
      <c r="J59" s="37" t="s">
        <v>125</v>
      </c>
      <c r="K59" s="6">
        <f>'4. 2002MARR Base Rate Schedule'!B$18</f>
        <v>12.85004326074483</v>
      </c>
      <c r="L59" s="6"/>
      <c r="M59" s="6"/>
    </row>
    <row r="60" spans="3:13" ht="25.5">
      <c r="C60" s="27" t="s">
        <v>111</v>
      </c>
      <c r="D60">
        <v>1000</v>
      </c>
      <c r="E60" s="108">
        <f>'1. 2001 Approved Rate Schedule'!B$16</f>
        <v>0.0111</v>
      </c>
      <c r="F60" s="6">
        <f>D60*E60</f>
        <v>11.1</v>
      </c>
      <c r="H60" s="27" t="s">
        <v>111</v>
      </c>
      <c r="I60">
        <f>D60</f>
        <v>1000</v>
      </c>
      <c r="J60" s="119">
        <f>'4. 2002MARR Base Rate Schedule'!B$16</f>
        <v>0.011309980155796939</v>
      </c>
      <c r="K60" s="6">
        <f>I60*J60</f>
        <v>11.30998015579694</v>
      </c>
      <c r="L60" s="6"/>
      <c r="M60" s="6"/>
    </row>
    <row r="61" spans="3:13" ht="38.25">
      <c r="C61" s="27" t="s">
        <v>123</v>
      </c>
      <c r="D61">
        <f>D60</f>
        <v>1000</v>
      </c>
      <c r="E61" s="108">
        <f>'1. 2001 Approved Rate Schedule'!B$20</f>
        <v>0.0736</v>
      </c>
      <c r="F61" s="6">
        <f>D61*E61</f>
        <v>73.6</v>
      </c>
      <c r="H61" s="27" t="s">
        <v>123</v>
      </c>
      <c r="I61">
        <f>D61</f>
        <v>1000</v>
      </c>
      <c r="J61" s="107">
        <f>E61</f>
        <v>0.0736</v>
      </c>
      <c r="K61" s="6">
        <f>I61*J61</f>
        <v>73.6</v>
      </c>
      <c r="L61" s="6"/>
      <c r="M61" s="6"/>
    </row>
    <row r="62" spans="3:10" ht="12.75">
      <c r="C62" s="7"/>
      <c r="H62" s="7"/>
      <c r="J62" s="107"/>
    </row>
    <row r="63" spans="3:14" ht="12.75">
      <c r="C63" t="s">
        <v>121</v>
      </c>
      <c r="F63" s="111">
        <f>SUM(F59:F61)</f>
        <v>97.31</v>
      </c>
      <c r="H63" t="s">
        <v>124</v>
      </c>
      <c r="K63" s="111">
        <f>SUM(K59:K61)</f>
        <v>97.76002341654177</v>
      </c>
      <c r="L63" s="6"/>
      <c r="M63" s="6">
        <f>K63-F63</f>
        <v>0.45002341654176803</v>
      </c>
      <c r="N63" s="112">
        <f>K63/F63-1</f>
        <v>0.004624636897973211</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12.61</v>
      </c>
      <c r="H68" s="27" t="s">
        <v>22</v>
      </c>
      <c r="I68" s="37" t="s">
        <v>125</v>
      </c>
      <c r="J68" s="37" t="s">
        <v>125</v>
      </c>
      <c r="K68" s="6">
        <f>'4. 2002MARR Base Rate Schedule'!B$18</f>
        <v>12.85004326074483</v>
      </c>
      <c r="L68" s="6"/>
      <c r="M68" s="6"/>
    </row>
    <row r="69" spans="3:13" ht="25.5">
      <c r="C69" s="27" t="s">
        <v>111</v>
      </c>
      <c r="D69">
        <v>1500</v>
      </c>
      <c r="E69" s="108">
        <f>'1. 2001 Approved Rate Schedule'!B$16</f>
        <v>0.0111</v>
      </c>
      <c r="F69" s="6">
        <f>D69*E69</f>
        <v>16.650000000000002</v>
      </c>
      <c r="H69" s="27" t="s">
        <v>111</v>
      </c>
      <c r="I69">
        <f>D69</f>
        <v>1500</v>
      </c>
      <c r="J69" s="119">
        <f>'4. 2002MARR Base Rate Schedule'!B$16</f>
        <v>0.011309980155796939</v>
      </c>
      <c r="K69" s="6">
        <f>I69*J69</f>
        <v>16.964970233695407</v>
      </c>
      <c r="L69" s="6"/>
      <c r="M69" s="6"/>
    </row>
    <row r="70" spans="3:13" ht="38.25">
      <c r="C70" s="27" t="s">
        <v>123</v>
      </c>
      <c r="D70">
        <f>D69</f>
        <v>1500</v>
      </c>
      <c r="E70" s="108">
        <f>'1. 2001 Approved Rate Schedule'!B$20</f>
        <v>0.0736</v>
      </c>
      <c r="F70" s="6">
        <f>D70*E70</f>
        <v>110.39999999999999</v>
      </c>
      <c r="H70" s="27" t="s">
        <v>123</v>
      </c>
      <c r="I70">
        <f>D70</f>
        <v>1500</v>
      </c>
      <c r="J70" s="107">
        <f>E70</f>
        <v>0.0736</v>
      </c>
      <c r="K70" s="6">
        <f>I70*J70</f>
        <v>110.39999999999999</v>
      </c>
      <c r="L70" s="6"/>
      <c r="M70" s="6"/>
    </row>
    <row r="71" spans="3:10" ht="12.75">
      <c r="C71" s="7"/>
      <c r="H71" s="7"/>
      <c r="J71" s="107"/>
    </row>
    <row r="72" spans="3:14" ht="12.75">
      <c r="C72" t="s">
        <v>121</v>
      </c>
      <c r="F72" s="111">
        <f>SUM(F68:F70)</f>
        <v>139.66</v>
      </c>
      <c r="H72" t="s">
        <v>124</v>
      </c>
      <c r="K72" s="111">
        <f>SUM(K68:K70)</f>
        <v>140.21501349444023</v>
      </c>
      <c r="L72" s="6"/>
      <c r="M72" s="6">
        <f>K72-F72</f>
        <v>0.5550134944402316</v>
      </c>
      <c r="N72" s="112">
        <f>K72/F72-1</f>
        <v>0.003974033326938464</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12.61</v>
      </c>
      <c r="H77" s="27" t="s">
        <v>22</v>
      </c>
      <c r="I77" s="37" t="s">
        <v>125</v>
      </c>
      <c r="J77" s="37" t="s">
        <v>125</v>
      </c>
      <c r="K77" s="6">
        <f>'4. 2002MARR Base Rate Schedule'!B$18</f>
        <v>12.85004326074483</v>
      </c>
      <c r="L77" s="6"/>
      <c r="M77" s="6"/>
    </row>
    <row r="78" spans="3:13" ht="25.5">
      <c r="C78" s="27" t="s">
        <v>111</v>
      </c>
      <c r="D78">
        <v>2000</v>
      </c>
      <c r="E78" s="108">
        <f>'1. 2001 Approved Rate Schedule'!B$16</f>
        <v>0.0111</v>
      </c>
      <c r="F78" s="6">
        <f>D78*E78</f>
        <v>22.2</v>
      </c>
      <c r="H78" s="27" t="s">
        <v>111</v>
      </c>
      <c r="I78">
        <f>D78</f>
        <v>2000</v>
      </c>
      <c r="J78" s="119">
        <f>'4. 2002MARR Base Rate Schedule'!B$16</f>
        <v>0.011309980155796939</v>
      </c>
      <c r="K78" s="6">
        <f>I78*J78</f>
        <v>22.61996031159388</v>
      </c>
      <c r="L78" s="6"/>
      <c r="M78" s="6"/>
    </row>
    <row r="79" spans="3:13" ht="38.25">
      <c r="C79" s="27" t="s">
        <v>123</v>
      </c>
      <c r="D79">
        <f>D78</f>
        <v>2000</v>
      </c>
      <c r="E79" s="108">
        <f>'1. 2001 Approved Rate Schedule'!B$20</f>
        <v>0.0736</v>
      </c>
      <c r="F79" s="6">
        <f>D79*E79</f>
        <v>147.2</v>
      </c>
      <c r="H79" s="27" t="s">
        <v>123</v>
      </c>
      <c r="I79">
        <f>D79</f>
        <v>2000</v>
      </c>
      <c r="J79" s="107">
        <f>E79</f>
        <v>0.0736</v>
      </c>
      <c r="K79" s="6">
        <f>I79*J79</f>
        <v>147.2</v>
      </c>
      <c r="L79" s="6"/>
      <c r="M79" s="6"/>
    </row>
    <row r="80" spans="3:10" ht="12.75">
      <c r="C80" s="7"/>
      <c r="H80" s="7"/>
      <c r="J80" s="107"/>
    </row>
    <row r="81" spans="3:14" ht="12.75">
      <c r="C81" t="s">
        <v>121</v>
      </c>
      <c r="F81" s="111">
        <f>SUM(F77:F79)</f>
        <v>182.01</v>
      </c>
      <c r="H81" t="s">
        <v>124</v>
      </c>
      <c r="K81" s="111">
        <f>SUM(K77:K79)</f>
        <v>182.67000357233871</v>
      </c>
      <c r="L81" s="6"/>
      <c r="M81" s="6">
        <f>K81-F81</f>
        <v>0.6600035723387236</v>
      </c>
      <c r="N81" s="112">
        <f>K81/F81-1</f>
        <v>0.003626194013178985</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12.71</v>
      </c>
      <c r="H91" s="27" t="s">
        <v>22</v>
      </c>
      <c r="I91" s="37" t="s">
        <v>125</v>
      </c>
      <c r="J91" s="37" t="s">
        <v>125</v>
      </c>
      <c r="K91" s="6">
        <f>'4. 2002MARR Base Rate Schedule'!B$41</f>
        <v>12.951672758710751</v>
      </c>
      <c r="L91" s="6"/>
      <c r="M91" s="6"/>
    </row>
    <row r="92" spans="3:13" ht="25.5">
      <c r="C92" s="27" t="s">
        <v>111</v>
      </c>
      <c r="D92">
        <v>1000</v>
      </c>
      <c r="E92" s="108">
        <f>'1. 2001 Approved Rate Schedule'!B$39</f>
        <v>0.0146</v>
      </c>
      <c r="F92" s="6">
        <f>D92*E92</f>
        <v>14.6</v>
      </c>
      <c r="H92" s="27" t="s">
        <v>111</v>
      </c>
      <c r="I92">
        <f>D92</f>
        <v>1000</v>
      </c>
      <c r="J92" s="119">
        <f>'4. 2002MARR Base Rate Schedule'!B$39</f>
        <v>0.014876336091958639</v>
      </c>
      <c r="K92" s="6">
        <f>I92*J92</f>
        <v>14.876336091958638</v>
      </c>
      <c r="L92" s="6"/>
      <c r="M92" s="6"/>
    </row>
    <row r="93" spans="3:13" ht="38.25">
      <c r="C93" s="27" t="s">
        <v>123</v>
      </c>
      <c r="D93">
        <f>D92</f>
        <v>1000</v>
      </c>
      <c r="E93" s="108">
        <f>'1. 2001 Approved Rate Schedule'!B$43</f>
        <v>0.07250000000000001</v>
      </c>
      <c r="F93" s="6">
        <f>D93*E93</f>
        <v>72.50000000000001</v>
      </c>
      <c r="H93" s="27" t="s">
        <v>123</v>
      </c>
      <c r="I93">
        <f>D93</f>
        <v>1000</v>
      </c>
      <c r="J93" s="107">
        <f>E93</f>
        <v>0.07250000000000001</v>
      </c>
      <c r="K93" s="6">
        <f>I93*J93</f>
        <v>72.50000000000001</v>
      </c>
      <c r="L93" s="6"/>
      <c r="M93" s="6"/>
    </row>
    <row r="94" spans="3:10" ht="12.75">
      <c r="C94" s="7"/>
      <c r="H94" s="7"/>
      <c r="J94" s="107"/>
    </row>
    <row r="95" spans="3:14" ht="12.75">
      <c r="C95" t="s">
        <v>121</v>
      </c>
      <c r="F95" s="111">
        <f>SUM(F91:F93)</f>
        <v>99.81000000000002</v>
      </c>
      <c r="H95" t="s">
        <v>124</v>
      </c>
      <c r="K95" s="111">
        <f>SUM(K91:K93)</f>
        <v>100.3280088506694</v>
      </c>
      <c r="L95" s="6"/>
      <c r="M95" s="6">
        <f>K95-F95</f>
        <v>0.5180088506693892</v>
      </c>
      <c r="N95" s="112">
        <f>K95/F95-1</f>
        <v>0.005189949410574046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12.71</v>
      </c>
      <c r="H100" s="27" t="s">
        <v>22</v>
      </c>
      <c r="I100" s="37" t="s">
        <v>125</v>
      </c>
      <c r="J100" s="37" t="s">
        <v>125</v>
      </c>
      <c r="K100" s="6">
        <f>'4. 2002MARR Base Rate Schedule'!B$41</f>
        <v>12.951672758710751</v>
      </c>
      <c r="L100" s="6"/>
      <c r="M100" s="6"/>
    </row>
    <row r="101" spans="3:13" ht="25.5">
      <c r="C101" s="27" t="s">
        <v>111</v>
      </c>
      <c r="D101">
        <v>2000</v>
      </c>
      <c r="E101" s="108">
        <f>'1. 2001 Approved Rate Schedule'!B$39</f>
        <v>0.0146</v>
      </c>
      <c r="F101" s="6">
        <f>D101*E101</f>
        <v>29.2</v>
      </c>
      <c r="H101" s="27" t="s">
        <v>111</v>
      </c>
      <c r="I101">
        <f>D101</f>
        <v>2000</v>
      </c>
      <c r="J101" s="119">
        <f>'4. 2002MARR Base Rate Schedule'!B$39</f>
        <v>0.014876336091958639</v>
      </c>
      <c r="K101" s="6">
        <f>I101*J101</f>
        <v>29.752672183917277</v>
      </c>
      <c r="L101" s="6"/>
      <c r="M101" s="6"/>
    </row>
    <row r="102" spans="3:13" ht="38.25">
      <c r="C102" s="27" t="s">
        <v>123</v>
      </c>
      <c r="D102">
        <f>D101</f>
        <v>2000</v>
      </c>
      <c r="E102" s="108">
        <f>'1. 2001 Approved Rate Schedule'!B$43</f>
        <v>0.07250000000000001</v>
      </c>
      <c r="F102" s="6">
        <f>D102*E102</f>
        <v>145.00000000000003</v>
      </c>
      <c r="H102" s="27" t="s">
        <v>123</v>
      </c>
      <c r="I102">
        <f>D102</f>
        <v>2000</v>
      </c>
      <c r="J102" s="107">
        <f>E102</f>
        <v>0.07250000000000001</v>
      </c>
      <c r="K102" s="6">
        <f>I102*J102</f>
        <v>145.00000000000003</v>
      </c>
      <c r="L102" s="6"/>
      <c r="M102" s="6"/>
    </row>
    <row r="103" spans="3:10" ht="12.75">
      <c r="C103" s="7"/>
      <c r="H103" s="7"/>
      <c r="J103" s="107"/>
    </row>
    <row r="104" spans="3:14" ht="12.75">
      <c r="C104" t="s">
        <v>121</v>
      </c>
      <c r="F104" s="111">
        <f>SUM(F100:F102)</f>
        <v>186.91000000000003</v>
      </c>
      <c r="H104" t="s">
        <v>124</v>
      </c>
      <c r="K104" s="111">
        <f>SUM(K100:K102)</f>
        <v>187.70434494262804</v>
      </c>
      <c r="L104" s="6"/>
      <c r="M104" s="6">
        <f>K104-F104</f>
        <v>0.7943449426280154</v>
      </c>
      <c r="N104" s="112">
        <f>K104/F104-1</f>
        <v>0.0042498793142582425</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12.71</v>
      </c>
      <c r="H109" s="27" t="s">
        <v>22</v>
      </c>
      <c r="I109" s="37" t="s">
        <v>125</v>
      </c>
      <c r="J109" s="37" t="s">
        <v>125</v>
      </c>
      <c r="K109" s="6">
        <f>'4. 2002MARR Base Rate Schedule'!B$41</f>
        <v>12.951672758710751</v>
      </c>
      <c r="L109" s="6"/>
      <c r="M109" s="6"/>
    </row>
    <row r="110" spans="3:13" ht="25.5">
      <c r="C110" s="27" t="s">
        <v>111</v>
      </c>
      <c r="D110">
        <v>5000</v>
      </c>
      <c r="E110" s="108">
        <f>'1. 2001 Approved Rate Schedule'!B$39</f>
        <v>0.0146</v>
      </c>
      <c r="F110" s="6">
        <f>D110*E110</f>
        <v>73</v>
      </c>
      <c r="H110" s="27" t="s">
        <v>111</v>
      </c>
      <c r="I110">
        <f>D110</f>
        <v>5000</v>
      </c>
      <c r="J110" s="119">
        <f>'4. 2002MARR Base Rate Schedule'!B$39</f>
        <v>0.014876336091958639</v>
      </c>
      <c r="K110" s="6">
        <f>I110*J110</f>
        <v>74.3816804597932</v>
      </c>
      <c r="L110" s="6"/>
      <c r="M110" s="6"/>
    </row>
    <row r="111" spans="3:13" ht="38.25">
      <c r="C111" s="27" t="s">
        <v>123</v>
      </c>
      <c r="D111">
        <f>D110</f>
        <v>5000</v>
      </c>
      <c r="E111" s="108">
        <f>'1. 2001 Approved Rate Schedule'!B$43</f>
        <v>0.07250000000000001</v>
      </c>
      <c r="F111" s="6">
        <f>D111*E111</f>
        <v>362.50000000000006</v>
      </c>
      <c r="H111" s="27" t="s">
        <v>123</v>
      </c>
      <c r="I111">
        <f>D111</f>
        <v>5000</v>
      </c>
      <c r="J111" s="107">
        <f>E111</f>
        <v>0.07250000000000001</v>
      </c>
      <c r="K111" s="6">
        <f>I111*J111</f>
        <v>362.50000000000006</v>
      </c>
      <c r="L111" s="6"/>
      <c r="M111" s="6"/>
    </row>
    <row r="112" spans="3:10" ht="12.75">
      <c r="C112" s="7"/>
      <c r="H112" s="7"/>
      <c r="J112" s="107"/>
    </row>
    <row r="113" spans="3:14" ht="12.75">
      <c r="C113" t="s">
        <v>121</v>
      </c>
      <c r="F113" s="111">
        <f>SUM(F109:F111)</f>
        <v>448.21000000000004</v>
      </c>
      <c r="H113" t="s">
        <v>124</v>
      </c>
      <c r="K113" s="111">
        <f>SUM(K109:K111)</f>
        <v>449.83335321850404</v>
      </c>
      <c r="L113" s="6"/>
      <c r="M113" s="6">
        <f>K113-F113</f>
        <v>1.6233532185040076</v>
      </c>
      <c r="N113" s="112">
        <f>K113/F113-1</f>
        <v>0.0036218585451106566</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12.71</v>
      </c>
      <c r="H118" s="27" t="s">
        <v>22</v>
      </c>
      <c r="I118" s="37" t="s">
        <v>125</v>
      </c>
      <c r="J118" s="37" t="s">
        <v>125</v>
      </c>
      <c r="K118" s="6">
        <f>'4. 2002MARR Base Rate Schedule'!B$41</f>
        <v>12.951672758710751</v>
      </c>
      <c r="L118" s="6"/>
      <c r="M118" s="6"/>
    </row>
    <row r="119" spans="3:13" ht="25.5">
      <c r="C119" s="27" t="s">
        <v>111</v>
      </c>
      <c r="D119">
        <v>10000</v>
      </c>
      <c r="E119" s="108">
        <f>'1. 2001 Approved Rate Schedule'!B$39</f>
        <v>0.0146</v>
      </c>
      <c r="F119" s="6">
        <f>D119*E119</f>
        <v>146</v>
      </c>
      <c r="H119" s="27" t="s">
        <v>111</v>
      </c>
      <c r="I119">
        <f>D119</f>
        <v>10000</v>
      </c>
      <c r="J119" s="119">
        <f>'4. 2002MARR Base Rate Schedule'!B$39</f>
        <v>0.014876336091958639</v>
      </c>
      <c r="K119" s="6">
        <f>I119*J119</f>
        <v>148.7633609195864</v>
      </c>
      <c r="L119" s="6"/>
      <c r="M119" s="6"/>
    </row>
    <row r="120" spans="3:13" ht="38.25">
      <c r="C120" s="27" t="s">
        <v>123</v>
      </c>
      <c r="D120">
        <f>D119</f>
        <v>10000</v>
      </c>
      <c r="E120" s="108">
        <f>'1. 2001 Approved Rate Schedule'!B$43</f>
        <v>0.07250000000000001</v>
      </c>
      <c r="F120" s="6">
        <f>D120*E120</f>
        <v>725.0000000000001</v>
      </c>
      <c r="H120" s="27" t="s">
        <v>123</v>
      </c>
      <c r="I120">
        <f>D120</f>
        <v>10000</v>
      </c>
      <c r="J120" s="107">
        <f>E120</f>
        <v>0.07250000000000001</v>
      </c>
      <c r="K120" s="6">
        <f>I120*J120</f>
        <v>725.0000000000001</v>
      </c>
      <c r="L120" s="6"/>
      <c r="M120" s="6"/>
    </row>
    <row r="121" spans="3:10" ht="12.75">
      <c r="C121" s="7"/>
      <c r="H121" s="7"/>
      <c r="J121" s="107"/>
    </row>
    <row r="122" spans="3:14" ht="12.75">
      <c r="C122" t="s">
        <v>121</v>
      </c>
      <c r="F122" s="111">
        <f>SUM(F118:F120)</f>
        <v>883.7100000000002</v>
      </c>
      <c r="H122" t="s">
        <v>124</v>
      </c>
      <c r="K122" s="111">
        <f>SUM(K118:K120)</f>
        <v>886.7150336782972</v>
      </c>
      <c r="L122" s="6"/>
      <c r="M122" s="6">
        <f>K122-F122</f>
        <v>3.0050336782970817</v>
      </c>
      <c r="N122" s="112">
        <f>K122/F122-1</f>
        <v>0.0034004749049993954</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12.71</v>
      </c>
      <c r="H127" s="27" t="s">
        <v>22</v>
      </c>
      <c r="I127" s="37" t="s">
        <v>125</v>
      </c>
      <c r="J127" s="37" t="s">
        <v>125</v>
      </c>
      <c r="K127" s="6">
        <f>'4. 2002MARR Base Rate Schedule'!B$41</f>
        <v>12.951672758710751</v>
      </c>
      <c r="L127" s="6"/>
      <c r="M127" s="6"/>
    </row>
    <row r="128" spans="3:13" ht="25.5">
      <c r="C128" s="27" t="s">
        <v>111</v>
      </c>
      <c r="D128">
        <v>20000</v>
      </c>
      <c r="E128" s="108">
        <f>'1. 2001 Approved Rate Schedule'!B$39</f>
        <v>0.0146</v>
      </c>
      <c r="F128" s="6">
        <f>D128*E128</f>
        <v>292</v>
      </c>
      <c r="H128" s="27" t="s">
        <v>111</v>
      </c>
      <c r="I128">
        <f>D128</f>
        <v>20000</v>
      </c>
      <c r="J128" s="119">
        <f>'4. 2002MARR Base Rate Schedule'!B$39</f>
        <v>0.014876336091958639</v>
      </c>
      <c r="K128" s="6">
        <f>I128*J128</f>
        <v>297.5267218391728</v>
      </c>
      <c r="L128" s="6"/>
      <c r="M128" s="6"/>
    </row>
    <row r="129" spans="3:13" ht="38.25">
      <c r="C129" s="27" t="s">
        <v>123</v>
      </c>
      <c r="D129">
        <f>D128</f>
        <v>20000</v>
      </c>
      <c r="E129" s="108">
        <f>'1. 2001 Approved Rate Schedule'!B$43</f>
        <v>0.07250000000000001</v>
      </c>
      <c r="F129" s="6">
        <f>D129*E129</f>
        <v>1450.0000000000002</v>
      </c>
      <c r="H129" s="27" t="s">
        <v>123</v>
      </c>
      <c r="I129">
        <f>D129</f>
        <v>20000</v>
      </c>
      <c r="J129" s="107">
        <f>E129</f>
        <v>0.07250000000000001</v>
      </c>
      <c r="K129" s="6">
        <f>I129*J129</f>
        <v>1450.0000000000002</v>
      </c>
      <c r="L129" s="6"/>
      <c r="M129" s="6"/>
    </row>
    <row r="130" spans="3:10" ht="12.75">
      <c r="C130" s="7"/>
      <c r="H130" s="7"/>
      <c r="J130" s="107"/>
    </row>
    <row r="131" spans="3:14" ht="12.75">
      <c r="C131" t="s">
        <v>121</v>
      </c>
      <c r="F131" s="111">
        <f>SUM(F127:F129)</f>
        <v>1754.7100000000003</v>
      </c>
      <c r="H131" t="s">
        <v>124</v>
      </c>
      <c r="K131" s="111">
        <f>SUM(K127:K129)</f>
        <v>1760.4783945978838</v>
      </c>
      <c r="L131" s="6"/>
      <c r="M131" s="6">
        <f>K131-F131</f>
        <v>5.768394597883571</v>
      </c>
      <c r="N131" s="112">
        <f>K131/F131-1</f>
        <v>0.0032873777421247308</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30.49</v>
      </c>
      <c r="H142" s="27" t="s">
        <v>22</v>
      </c>
      <c r="I142" s="37" t="s">
        <v>125</v>
      </c>
      <c r="J142" s="37" t="s">
        <v>125</v>
      </c>
      <c r="K142" s="6">
        <f>'4. 2002MARR Base Rate Schedule'!B$64</f>
        <v>31.069993105690738</v>
      </c>
      <c r="L142" s="6"/>
      <c r="M142" s="6"/>
    </row>
    <row r="143" spans="3:13" ht="25.5">
      <c r="C143" s="27" t="s">
        <v>114</v>
      </c>
      <c r="D143">
        <v>0</v>
      </c>
      <c r="E143" s="108">
        <f>'1. 2001 Approved Rate Schedule'!B$62</f>
        <v>2.3519</v>
      </c>
      <c r="F143" s="6">
        <f>D143*E143</f>
        <v>0</v>
      </c>
      <c r="H143" s="27" t="s">
        <v>114</v>
      </c>
      <c r="I143">
        <f>D143</f>
        <v>0</v>
      </c>
      <c r="J143" s="119">
        <f>'4. 2002MARR Base Rate Schedule'!B$62</f>
        <v>2.3966467343865396</v>
      </c>
      <c r="K143" s="6">
        <f>I143*J143</f>
        <v>0</v>
      </c>
      <c r="L143" s="6"/>
      <c r="M143" s="6"/>
    </row>
    <row r="144" spans="3:13" ht="25.5">
      <c r="C144" s="27" t="s">
        <v>127</v>
      </c>
      <c r="D144">
        <f>D143</f>
        <v>0</v>
      </c>
      <c r="E144" s="108">
        <f>'1. 2001 Approved Rate Schedule'!B$66</f>
        <v>8.3174</v>
      </c>
      <c r="F144" s="6">
        <f>D144*E144</f>
        <v>0</v>
      </c>
      <c r="H144" s="27" t="s">
        <v>127</v>
      </c>
      <c r="I144">
        <f>D144</f>
        <v>0</v>
      </c>
      <c r="J144" s="107">
        <f>E144</f>
        <v>8.3174</v>
      </c>
      <c r="K144" s="6">
        <f>I144*J144</f>
        <v>0</v>
      </c>
      <c r="L144" s="6"/>
      <c r="M144" s="6"/>
    </row>
    <row r="145" spans="3:11" ht="25.5">
      <c r="C145" s="27" t="s">
        <v>128</v>
      </c>
      <c r="D145">
        <v>0</v>
      </c>
      <c r="E145" s="108">
        <f>'1. 2001 Approved Rate Schedule'!B$68</f>
        <v>0.052099999999999994</v>
      </c>
      <c r="F145" s="6">
        <f>D145*E145</f>
        <v>0</v>
      </c>
      <c r="H145" s="27" t="s">
        <v>128</v>
      </c>
      <c r="I145">
        <f>D145</f>
        <v>0</v>
      </c>
      <c r="J145" s="107">
        <f>E145</f>
        <v>0.052099999999999994</v>
      </c>
      <c r="K145" s="6">
        <f>I145*J145</f>
        <v>0</v>
      </c>
    </row>
    <row r="146" spans="3:11" ht="12.75">
      <c r="C146" s="7"/>
      <c r="H146" s="7"/>
      <c r="J146" s="107"/>
      <c r="K146" s="6"/>
    </row>
    <row r="147" spans="3:14" ht="12.75">
      <c r="C147" t="s">
        <v>121</v>
      </c>
      <c r="F147" s="111">
        <f>SUM(F142:F145)</f>
        <v>30.49</v>
      </c>
      <c r="H147" t="s">
        <v>124</v>
      </c>
      <c r="K147" s="111">
        <f>SUM(K142:K145)</f>
        <v>31.069993105690738</v>
      </c>
      <c r="L147" s="6"/>
      <c r="M147" s="6">
        <f>K147-F147</f>
        <v>0.5799931056907397</v>
      </c>
      <c r="N147" s="112">
        <f>K147/F147-1</f>
        <v>0.019022404253550063</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30.49</v>
      </c>
      <c r="H152" s="27" t="s">
        <v>22</v>
      </c>
      <c r="I152" s="37" t="s">
        <v>125</v>
      </c>
      <c r="J152" s="37" t="s">
        <v>125</v>
      </c>
      <c r="K152" s="6">
        <f>'4. 2002MARR Base Rate Schedule'!B$64</f>
        <v>31.069993105690738</v>
      </c>
      <c r="L152" s="6"/>
      <c r="M152" s="6"/>
    </row>
    <row r="153" spans="3:13" ht="25.5">
      <c r="C153" s="27" t="s">
        <v>114</v>
      </c>
      <c r="D153">
        <v>100</v>
      </c>
      <c r="E153" s="108">
        <f>'1. 2001 Approved Rate Schedule'!B$62</f>
        <v>2.3519</v>
      </c>
      <c r="F153" s="6">
        <f>D153*E153</f>
        <v>235.19</v>
      </c>
      <c r="H153" s="27" t="s">
        <v>114</v>
      </c>
      <c r="I153">
        <f>D153</f>
        <v>100</v>
      </c>
      <c r="J153" s="119">
        <f>'4. 2002MARR Base Rate Schedule'!B$62</f>
        <v>2.3966467343865396</v>
      </c>
      <c r="K153" s="6">
        <f>I153*J153</f>
        <v>239.66467343865395</v>
      </c>
      <c r="L153" s="6"/>
      <c r="M153" s="6"/>
    </row>
    <row r="154" spans="3:13" ht="25.5">
      <c r="C154" s="27" t="s">
        <v>127</v>
      </c>
      <c r="D154">
        <f>D153</f>
        <v>100</v>
      </c>
      <c r="E154" s="108">
        <f>'1. 2001 Approved Rate Schedule'!B$66</f>
        <v>8.3174</v>
      </c>
      <c r="F154" s="6">
        <f>D154*E154</f>
        <v>831.7399999999999</v>
      </c>
      <c r="H154" s="27" t="s">
        <v>127</v>
      </c>
      <c r="I154">
        <f>D154</f>
        <v>100</v>
      </c>
      <c r="J154" s="107">
        <f>E154</f>
        <v>8.3174</v>
      </c>
      <c r="K154" s="6">
        <f>I154*J154</f>
        <v>831.7399999999999</v>
      </c>
      <c r="L154" s="6"/>
      <c r="M154" s="6"/>
    </row>
    <row r="155" spans="3:11" ht="25.5">
      <c r="C155" s="27" t="s">
        <v>128</v>
      </c>
      <c r="D155" s="147">
        <v>30000</v>
      </c>
      <c r="E155" s="108">
        <f>'1. 2001 Approved Rate Schedule'!B$68</f>
        <v>0.052099999999999994</v>
      </c>
      <c r="F155" s="6">
        <f>D155*E155</f>
        <v>1562.9999999999998</v>
      </c>
      <c r="H155" s="27" t="s">
        <v>128</v>
      </c>
      <c r="I155" s="147">
        <f>D155</f>
        <v>30000</v>
      </c>
      <c r="J155" s="107">
        <f>E155</f>
        <v>0.052099999999999994</v>
      </c>
      <c r="K155" s="6">
        <f>I155*J155</f>
        <v>1562.9999999999998</v>
      </c>
    </row>
    <row r="156" spans="3:11" ht="12.75">
      <c r="C156" s="7"/>
      <c r="H156" s="7"/>
      <c r="J156" s="107"/>
      <c r="K156" s="6"/>
    </row>
    <row r="157" spans="3:14" ht="12.75">
      <c r="C157" t="s">
        <v>121</v>
      </c>
      <c r="F157" s="111">
        <f>SUM(F152:F155)</f>
        <v>2660.4199999999996</v>
      </c>
      <c r="H157" t="s">
        <v>124</v>
      </c>
      <c r="K157" s="111">
        <f>SUM(K152:K155)</f>
        <v>2665.4746665443445</v>
      </c>
      <c r="L157" s="6"/>
      <c r="M157" s="6">
        <f>K157-F157</f>
        <v>5.054666544344855</v>
      </c>
      <c r="N157" s="112">
        <f>K157/F157-1</f>
        <v>0.0018999505883825485</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30.49</v>
      </c>
      <c r="H163" s="27" t="s">
        <v>22</v>
      </c>
      <c r="I163" s="37" t="s">
        <v>125</v>
      </c>
      <c r="J163" s="37" t="s">
        <v>125</v>
      </c>
      <c r="K163" s="6">
        <f>'4. 2002MARR Base Rate Schedule'!B$64</f>
        <v>31.069993105690738</v>
      </c>
      <c r="L163" s="6"/>
      <c r="M163" s="6"/>
    </row>
    <row r="164" spans="3:13" ht="25.5">
      <c r="C164" s="27" t="s">
        <v>114</v>
      </c>
      <c r="D164">
        <v>100</v>
      </c>
      <c r="E164" s="108">
        <f>'1. 2001 Approved Rate Schedule'!B$62</f>
        <v>2.3519</v>
      </c>
      <c r="F164" s="6">
        <f>D164*E164</f>
        <v>235.19</v>
      </c>
      <c r="H164" s="27" t="s">
        <v>114</v>
      </c>
      <c r="I164">
        <f>D164</f>
        <v>100</v>
      </c>
      <c r="J164" s="119">
        <f>'4. 2002MARR Base Rate Schedule'!B$62</f>
        <v>2.3966467343865396</v>
      </c>
      <c r="K164" s="6">
        <f>I164*J164</f>
        <v>239.66467343865395</v>
      </c>
      <c r="L164" s="6"/>
      <c r="M164" s="6"/>
    </row>
    <row r="165" spans="3:13" ht="25.5">
      <c r="C165" s="27" t="s">
        <v>127</v>
      </c>
      <c r="D165">
        <f>D164</f>
        <v>100</v>
      </c>
      <c r="E165" s="108">
        <f>'1. 2001 Approved Rate Schedule'!B$66</f>
        <v>8.3174</v>
      </c>
      <c r="F165" s="6">
        <f>D165*E165</f>
        <v>831.7399999999999</v>
      </c>
      <c r="H165" s="27" t="s">
        <v>127</v>
      </c>
      <c r="I165">
        <f>D165</f>
        <v>100</v>
      </c>
      <c r="J165" s="107">
        <f>E165</f>
        <v>8.3174</v>
      </c>
      <c r="K165" s="6">
        <f>I165*J165</f>
        <v>831.7399999999999</v>
      </c>
      <c r="L165" s="6"/>
      <c r="M165" s="6"/>
    </row>
    <row r="166" spans="3:11" ht="25.5">
      <c r="C166" s="27" t="s">
        <v>128</v>
      </c>
      <c r="D166" s="147">
        <v>40000</v>
      </c>
      <c r="E166" s="108">
        <f>'1. 2001 Approved Rate Schedule'!B$68</f>
        <v>0.052099999999999994</v>
      </c>
      <c r="F166" s="6">
        <f>D166*E166</f>
        <v>2083.9999999999995</v>
      </c>
      <c r="H166" s="27" t="s">
        <v>128</v>
      </c>
      <c r="I166" s="147">
        <f>D166</f>
        <v>40000</v>
      </c>
      <c r="J166" s="107">
        <f>E166</f>
        <v>0.052099999999999994</v>
      </c>
      <c r="K166" s="6">
        <f>I166*J166</f>
        <v>2083.9999999999995</v>
      </c>
    </row>
    <row r="167" spans="3:11" ht="12.75">
      <c r="C167" s="7"/>
      <c r="H167" s="7"/>
      <c r="J167" s="107"/>
      <c r="K167" s="6"/>
    </row>
    <row r="168" spans="3:14" ht="12.75">
      <c r="C168" t="s">
        <v>121</v>
      </c>
      <c r="F168" s="111">
        <f>SUM(F163:F166)</f>
        <v>3181.419999999999</v>
      </c>
      <c r="H168" t="s">
        <v>124</v>
      </c>
      <c r="K168" s="111">
        <f>SUM(K163:K166)</f>
        <v>3186.474666544344</v>
      </c>
      <c r="L168" s="6"/>
      <c r="M168" s="6">
        <f>K168-F168</f>
        <v>5.054666544344855</v>
      </c>
      <c r="N168" s="112">
        <f>K168/F168-1</f>
        <v>0.0015888083133772657</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30.49</v>
      </c>
      <c r="H174" s="27" t="s">
        <v>22</v>
      </c>
      <c r="I174" s="37" t="s">
        <v>125</v>
      </c>
      <c r="J174" s="37" t="s">
        <v>125</v>
      </c>
      <c r="K174" s="6">
        <f>'4. 2002MARR Base Rate Schedule'!B$64</f>
        <v>31.069993105690738</v>
      </c>
      <c r="L174" s="6"/>
      <c r="M174" s="6"/>
    </row>
    <row r="175" spans="3:13" ht="25.5">
      <c r="C175" s="27" t="s">
        <v>114</v>
      </c>
      <c r="D175">
        <v>500</v>
      </c>
      <c r="E175" s="108">
        <f>'1. 2001 Approved Rate Schedule'!B$62</f>
        <v>2.3519</v>
      </c>
      <c r="F175" s="6">
        <f>D175*E175</f>
        <v>1175.95</v>
      </c>
      <c r="H175" s="27" t="s">
        <v>114</v>
      </c>
      <c r="I175">
        <f>D175</f>
        <v>500</v>
      </c>
      <c r="J175" s="119">
        <f>'4. 2002MARR Base Rate Schedule'!B$62</f>
        <v>2.3966467343865396</v>
      </c>
      <c r="K175" s="6">
        <f>I175*J175</f>
        <v>1198.3233671932699</v>
      </c>
      <c r="L175" s="6"/>
      <c r="M175" s="6"/>
    </row>
    <row r="176" spans="3:13" ht="25.5">
      <c r="C176" s="27" t="s">
        <v>127</v>
      </c>
      <c r="D176">
        <f>D175</f>
        <v>500</v>
      </c>
      <c r="E176" s="108">
        <f>'1. 2001 Approved Rate Schedule'!B$66</f>
        <v>8.3174</v>
      </c>
      <c r="F176" s="6">
        <f>D176*E176</f>
        <v>4158.7</v>
      </c>
      <c r="H176" s="27" t="s">
        <v>127</v>
      </c>
      <c r="I176">
        <f>D176</f>
        <v>500</v>
      </c>
      <c r="J176" s="107">
        <f>E176</f>
        <v>8.3174</v>
      </c>
      <c r="K176" s="6">
        <f>I176*J176</f>
        <v>4158.7</v>
      </c>
      <c r="L176" s="6"/>
      <c r="M176" s="6"/>
    </row>
    <row r="177" spans="3:11" ht="25.5">
      <c r="C177" s="27" t="s">
        <v>128</v>
      </c>
      <c r="D177" s="147">
        <v>100000</v>
      </c>
      <c r="E177" s="108">
        <f>'1. 2001 Approved Rate Schedule'!B$68</f>
        <v>0.052099999999999994</v>
      </c>
      <c r="F177" s="6">
        <f>D177*E177</f>
        <v>5209.999999999999</v>
      </c>
      <c r="H177" s="27" t="s">
        <v>128</v>
      </c>
      <c r="I177" s="147">
        <f>D177</f>
        <v>100000</v>
      </c>
      <c r="J177" s="107">
        <f>E177</f>
        <v>0.052099999999999994</v>
      </c>
      <c r="K177" s="6">
        <f>I177*J177</f>
        <v>5209.999999999999</v>
      </c>
    </row>
    <row r="178" spans="3:11" ht="12.75">
      <c r="C178" s="7"/>
      <c r="H178" s="7"/>
      <c r="J178" s="107"/>
      <c r="K178" s="6"/>
    </row>
    <row r="179" spans="3:14" ht="12.75">
      <c r="C179" t="s">
        <v>121</v>
      </c>
      <c r="F179" s="111">
        <f>SUM(F174:F177)</f>
        <v>10575.14</v>
      </c>
      <c r="H179" t="s">
        <v>124</v>
      </c>
      <c r="K179" s="111">
        <f>SUM(K174:K177)</f>
        <v>10598.09336029896</v>
      </c>
      <c r="L179" s="6"/>
      <c r="M179" s="6">
        <f>K179-F179</f>
        <v>22.953360298961343</v>
      </c>
      <c r="N179" s="112">
        <f>K179/F179-1</f>
        <v>0.002170501789948931</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30.49</v>
      </c>
      <c r="H184" s="27" t="s">
        <v>22</v>
      </c>
      <c r="I184" s="37" t="s">
        <v>125</v>
      </c>
      <c r="J184" s="37" t="s">
        <v>125</v>
      </c>
      <c r="K184" s="6">
        <f>'4. 2002MARR Base Rate Schedule'!B$64</f>
        <v>31.069993105690738</v>
      </c>
      <c r="L184" s="6"/>
      <c r="M184" s="6"/>
    </row>
    <row r="185" spans="3:13" ht="25.5">
      <c r="C185" s="27" t="s">
        <v>114</v>
      </c>
      <c r="D185">
        <v>500</v>
      </c>
      <c r="E185" s="108">
        <f>'1. 2001 Approved Rate Schedule'!B$62</f>
        <v>2.3519</v>
      </c>
      <c r="F185" s="6">
        <f>D185*E185</f>
        <v>1175.95</v>
      </c>
      <c r="H185" s="27" t="s">
        <v>114</v>
      </c>
      <c r="I185">
        <f>D185</f>
        <v>500</v>
      </c>
      <c r="J185" s="119">
        <f>'4. 2002MARR Base Rate Schedule'!B$62</f>
        <v>2.3966467343865396</v>
      </c>
      <c r="K185" s="6">
        <f>I185*J185</f>
        <v>1198.3233671932699</v>
      </c>
      <c r="L185" s="6"/>
      <c r="M185" s="6"/>
    </row>
    <row r="186" spans="3:13" ht="25.5">
      <c r="C186" s="27" t="s">
        <v>127</v>
      </c>
      <c r="D186">
        <f>D185</f>
        <v>500</v>
      </c>
      <c r="E186" s="108">
        <f>'1. 2001 Approved Rate Schedule'!B$66</f>
        <v>8.3174</v>
      </c>
      <c r="F186" s="6">
        <f>D186*E186</f>
        <v>4158.7</v>
      </c>
      <c r="H186" s="27" t="s">
        <v>127</v>
      </c>
      <c r="I186">
        <f>D186</f>
        <v>500</v>
      </c>
      <c r="J186" s="107">
        <f>E186</f>
        <v>8.3174</v>
      </c>
      <c r="K186" s="6">
        <f>I186*J186</f>
        <v>4158.7</v>
      </c>
      <c r="L186" s="6"/>
      <c r="M186" s="6"/>
    </row>
    <row r="187" spans="3:11" ht="25.5">
      <c r="C187" s="27" t="s">
        <v>128</v>
      </c>
      <c r="D187" s="147">
        <v>250000</v>
      </c>
      <c r="E187" s="108">
        <f>'1. 2001 Approved Rate Schedule'!B$68</f>
        <v>0.052099999999999994</v>
      </c>
      <c r="F187" s="6">
        <f>D187*E187</f>
        <v>13024.999999999998</v>
      </c>
      <c r="H187" s="27" t="s">
        <v>128</v>
      </c>
      <c r="I187" s="147">
        <f>D187</f>
        <v>250000</v>
      </c>
      <c r="J187" s="107">
        <f>E187</f>
        <v>0.052099999999999994</v>
      </c>
      <c r="K187" s="6">
        <f>I187*J187</f>
        <v>13024.999999999998</v>
      </c>
    </row>
    <row r="188" spans="3:11" ht="12.75">
      <c r="C188" s="7"/>
      <c r="H188" s="7"/>
      <c r="J188" s="107"/>
      <c r="K188" s="6"/>
    </row>
    <row r="189" spans="3:14" ht="12.75">
      <c r="C189" t="s">
        <v>121</v>
      </c>
      <c r="F189" s="111">
        <f>SUM(F184:F187)</f>
        <v>18390.14</v>
      </c>
      <c r="H189" t="s">
        <v>124</v>
      </c>
      <c r="K189" s="111">
        <f>SUM(K184:K187)</f>
        <v>18413.09336029896</v>
      </c>
      <c r="L189" s="6"/>
      <c r="M189" s="6">
        <f>K189-F189</f>
        <v>22.953360298961343</v>
      </c>
      <c r="N189" s="112">
        <f>K189/F189-1</f>
        <v>0.0012481340707009014</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30.49</v>
      </c>
      <c r="H194" s="27" t="s">
        <v>22</v>
      </c>
      <c r="I194" s="37" t="s">
        <v>125</v>
      </c>
      <c r="J194" s="37" t="s">
        <v>125</v>
      </c>
      <c r="K194" s="6">
        <f>'4. 2002MARR Base Rate Schedule'!B$64</f>
        <v>31.069993105690738</v>
      </c>
      <c r="L194" s="6"/>
      <c r="M194" s="6"/>
    </row>
    <row r="195" spans="3:13" ht="25.5">
      <c r="C195" s="27" t="s">
        <v>114</v>
      </c>
      <c r="D195">
        <v>1000</v>
      </c>
      <c r="E195" s="108">
        <f>'1. 2001 Approved Rate Schedule'!B$62</f>
        <v>2.3519</v>
      </c>
      <c r="F195" s="6">
        <f>D195*E195</f>
        <v>2351.9</v>
      </c>
      <c r="H195" s="27" t="s">
        <v>114</v>
      </c>
      <c r="I195">
        <f>D195</f>
        <v>1000</v>
      </c>
      <c r="J195" s="119">
        <f>'4. 2002MARR Base Rate Schedule'!B$62</f>
        <v>2.3966467343865396</v>
      </c>
      <c r="K195" s="6">
        <f>I195*J195</f>
        <v>2396.6467343865397</v>
      </c>
      <c r="L195" s="6"/>
      <c r="M195" s="6"/>
    </row>
    <row r="196" spans="3:13" ht="25.5">
      <c r="C196" s="27" t="s">
        <v>127</v>
      </c>
      <c r="D196">
        <f>D195</f>
        <v>1000</v>
      </c>
      <c r="E196" s="108">
        <f>'1. 2001 Approved Rate Schedule'!B$66</f>
        <v>8.3174</v>
      </c>
      <c r="F196" s="6">
        <f>D196*E196</f>
        <v>8317.4</v>
      </c>
      <c r="H196" s="27" t="s">
        <v>127</v>
      </c>
      <c r="I196">
        <f>D196</f>
        <v>1000</v>
      </c>
      <c r="J196" s="107">
        <f>E196</f>
        <v>8.3174</v>
      </c>
      <c r="K196" s="6">
        <f>I196*J196</f>
        <v>8317.4</v>
      </c>
      <c r="L196" s="6"/>
      <c r="M196" s="6"/>
    </row>
    <row r="197" spans="3:11" ht="25.5">
      <c r="C197" s="27" t="s">
        <v>128</v>
      </c>
      <c r="D197" s="147">
        <v>400000</v>
      </c>
      <c r="E197" s="108">
        <f>'1. 2001 Approved Rate Schedule'!B$68</f>
        <v>0.052099999999999994</v>
      </c>
      <c r="F197" s="6">
        <f>D197*E197</f>
        <v>20839.999999999996</v>
      </c>
      <c r="H197" s="27" t="s">
        <v>128</v>
      </c>
      <c r="I197" s="147">
        <f>D197</f>
        <v>400000</v>
      </c>
      <c r="J197" s="107">
        <f>E197</f>
        <v>0.052099999999999994</v>
      </c>
      <c r="K197" s="6">
        <f>I197*J197</f>
        <v>20839.999999999996</v>
      </c>
    </row>
    <row r="198" spans="3:11" ht="12.75">
      <c r="C198" s="7"/>
      <c r="H198" s="7"/>
      <c r="J198" s="107"/>
      <c r="K198" s="6"/>
    </row>
    <row r="199" spans="3:14" ht="12.75">
      <c r="C199" t="s">
        <v>121</v>
      </c>
      <c r="F199" s="111">
        <f>SUM(F194:F197)</f>
        <v>31539.789999999994</v>
      </c>
      <c r="H199" t="s">
        <v>124</v>
      </c>
      <c r="K199" s="111">
        <f>SUM(K194:K197)</f>
        <v>31585.116727492226</v>
      </c>
      <c r="L199" s="6"/>
      <c r="M199" s="6">
        <f>K199-F199</f>
        <v>45.32672749223275</v>
      </c>
      <c r="N199" s="112">
        <f>K199/F199-1</f>
        <v>0.0014371283858336525</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30.49</v>
      </c>
      <c r="H204" s="27" t="s">
        <v>22</v>
      </c>
      <c r="I204" s="37" t="s">
        <v>125</v>
      </c>
      <c r="J204" s="37" t="s">
        <v>125</v>
      </c>
      <c r="K204" s="6">
        <f>'4. 2002MARR Base Rate Schedule'!B$64</f>
        <v>31.069993105690738</v>
      </c>
      <c r="L204" s="6"/>
      <c r="M204" s="6"/>
    </row>
    <row r="205" spans="3:13" ht="25.5">
      <c r="C205" s="27" t="s">
        <v>114</v>
      </c>
      <c r="D205">
        <v>1000</v>
      </c>
      <c r="E205" s="108">
        <f>'1. 2001 Approved Rate Schedule'!B$62</f>
        <v>2.3519</v>
      </c>
      <c r="F205" s="6">
        <f>D205*E205</f>
        <v>2351.9</v>
      </c>
      <c r="H205" s="27" t="s">
        <v>114</v>
      </c>
      <c r="I205">
        <f>D205</f>
        <v>1000</v>
      </c>
      <c r="J205" s="119">
        <f>'4. 2002MARR Base Rate Schedule'!B$62</f>
        <v>2.3966467343865396</v>
      </c>
      <c r="K205" s="6">
        <f>I205*J205</f>
        <v>2396.6467343865397</v>
      </c>
      <c r="L205" s="6"/>
      <c r="M205" s="6"/>
    </row>
    <row r="206" spans="3:13" ht="25.5">
      <c r="C206" s="27" t="s">
        <v>127</v>
      </c>
      <c r="D206">
        <f>D205</f>
        <v>1000</v>
      </c>
      <c r="E206" s="108">
        <f>'1. 2001 Approved Rate Schedule'!B$66</f>
        <v>8.3174</v>
      </c>
      <c r="F206" s="6">
        <f>D206*E206</f>
        <v>8317.4</v>
      </c>
      <c r="H206" s="27" t="s">
        <v>127</v>
      </c>
      <c r="I206">
        <f>D206</f>
        <v>1000</v>
      </c>
      <c r="J206" s="107">
        <f>E206</f>
        <v>8.3174</v>
      </c>
      <c r="K206" s="6">
        <f>I206*J206</f>
        <v>8317.4</v>
      </c>
      <c r="L206" s="6"/>
      <c r="M206" s="6"/>
    </row>
    <row r="207" spans="3:11" ht="25.5">
      <c r="C207" s="27" t="s">
        <v>128</v>
      </c>
      <c r="D207" s="147">
        <v>500000</v>
      </c>
      <c r="E207" s="108">
        <f>'1. 2001 Approved Rate Schedule'!B$68</f>
        <v>0.052099999999999994</v>
      </c>
      <c r="F207" s="6">
        <f>D207*E207</f>
        <v>26049.999999999996</v>
      </c>
      <c r="H207" s="27" t="s">
        <v>128</v>
      </c>
      <c r="I207" s="147">
        <f>D207</f>
        <v>500000</v>
      </c>
      <c r="J207" s="107">
        <f>E207</f>
        <v>0.052099999999999994</v>
      </c>
      <c r="K207" s="6">
        <f>I207*J207</f>
        <v>26049.999999999996</v>
      </c>
    </row>
    <row r="208" spans="3:11" ht="12.75">
      <c r="C208" s="7"/>
      <c r="H208" s="7"/>
      <c r="J208" s="107"/>
      <c r="K208" s="6"/>
    </row>
    <row r="209" spans="3:14" ht="12.75">
      <c r="C209" t="s">
        <v>121</v>
      </c>
      <c r="F209" s="111">
        <f>SUM(F204:F207)</f>
        <v>36749.78999999999</v>
      </c>
      <c r="H209" t="s">
        <v>124</v>
      </c>
      <c r="K209" s="111">
        <f>SUM(K204:K207)</f>
        <v>36795.116727492226</v>
      </c>
      <c r="L209" s="6"/>
      <c r="M209" s="6">
        <f>K209-F209</f>
        <v>45.32672749223275</v>
      </c>
      <c r="N209" s="112">
        <f>K209/F209-1</f>
        <v>0.0012333873878527246</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30.49</v>
      </c>
      <c r="H214" s="27" t="s">
        <v>22</v>
      </c>
      <c r="I214" s="37" t="s">
        <v>125</v>
      </c>
      <c r="J214" s="37" t="s">
        <v>125</v>
      </c>
      <c r="K214" s="6">
        <f>'4. 2002MARR Base Rate Schedule'!B$64</f>
        <v>31.069993105690738</v>
      </c>
      <c r="L214" s="6"/>
      <c r="M214" s="6"/>
    </row>
    <row r="215" spans="3:13" ht="25.5">
      <c r="C215" s="27" t="s">
        <v>114</v>
      </c>
      <c r="D215">
        <v>3000</v>
      </c>
      <c r="E215" s="108">
        <f>'1. 2001 Approved Rate Schedule'!B$62</f>
        <v>2.3519</v>
      </c>
      <c r="F215" s="6">
        <f>D215*E215</f>
        <v>7055.700000000001</v>
      </c>
      <c r="H215" s="27" t="s">
        <v>114</v>
      </c>
      <c r="I215">
        <f>D215</f>
        <v>3000</v>
      </c>
      <c r="J215" s="119">
        <f>'4. 2002MARR Base Rate Schedule'!B$62</f>
        <v>2.3966467343865396</v>
      </c>
      <c r="K215" s="6">
        <f>I215*J215</f>
        <v>7189.940203159619</v>
      </c>
      <c r="L215" s="6"/>
      <c r="M215" s="6"/>
    </row>
    <row r="216" spans="3:13" ht="25.5">
      <c r="C216" s="27" t="s">
        <v>127</v>
      </c>
      <c r="D216">
        <f>D215</f>
        <v>3000</v>
      </c>
      <c r="E216" s="108">
        <f>'1. 2001 Approved Rate Schedule'!B$66</f>
        <v>8.3174</v>
      </c>
      <c r="F216" s="6">
        <f>D216*E216</f>
        <v>24952.199999999997</v>
      </c>
      <c r="H216" s="27" t="s">
        <v>127</v>
      </c>
      <c r="I216">
        <f>D216</f>
        <v>3000</v>
      </c>
      <c r="J216" s="107">
        <f>E216</f>
        <v>8.3174</v>
      </c>
      <c r="K216" s="6">
        <f>I216*J216</f>
        <v>24952.199999999997</v>
      </c>
      <c r="L216" s="6"/>
      <c r="M216" s="6"/>
    </row>
    <row r="217" spans="3:11" ht="25.5">
      <c r="C217" s="27" t="s">
        <v>128</v>
      </c>
      <c r="D217" s="14">
        <v>1000000</v>
      </c>
      <c r="E217" s="108">
        <f>'1. 2001 Approved Rate Schedule'!B$68</f>
        <v>0.052099999999999994</v>
      </c>
      <c r="F217" s="6">
        <f>D217*E217</f>
        <v>52099.99999999999</v>
      </c>
      <c r="H217" s="27" t="s">
        <v>128</v>
      </c>
      <c r="I217" s="147">
        <f>D217</f>
        <v>1000000</v>
      </c>
      <c r="J217" s="107">
        <f>E217</f>
        <v>0.052099999999999994</v>
      </c>
      <c r="K217" s="6">
        <f>I217*J217</f>
        <v>52099.99999999999</v>
      </c>
    </row>
    <row r="218" spans="3:11" ht="12.75">
      <c r="C218" s="7"/>
      <c r="H218" s="7"/>
      <c r="J218" s="107"/>
      <c r="K218" s="6"/>
    </row>
    <row r="219" spans="3:14" ht="12.75">
      <c r="C219" t="s">
        <v>121</v>
      </c>
      <c r="F219" s="111">
        <f>SUM(F214:F217)</f>
        <v>84138.38999999998</v>
      </c>
      <c r="H219" t="s">
        <v>124</v>
      </c>
      <c r="K219" s="111">
        <f>SUM(K214:K217)</f>
        <v>84273.2101962653</v>
      </c>
      <c r="L219" s="6"/>
      <c r="M219" s="6">
        <f>K219-F219</f>
        <v>134.8201962653111</v>
      </c>
      <c r="N219" s="112">
        <f>K219/F219-1</f>
        <v>0.0016023624443646245</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30.49</v>
      </c>
      <c r="H224" s="27" t="s">
        <v>22</v>
      </c>
      <c r="I224" s="37" t="s">
        <v>125</v>
      </c>
      <c r="J224" s="37" t="s">
        <v>125</v>
      </c>
      <c r="K224" s="6">
        <f>'4. 2002MARR Base Rate Schedule'!B$64</f>
        <v>31.069993105690738</v>
      </c>
      <c r="L224" s="6"/>
      <c r="M224" s="6"/>
    </row>
    <row r="225" spans="3:13" ht="25.5">
      <c r="C225" s="27" t="s">
        <v>114</v>
      </c>
      <c r="D225">
        <v>3000</v>
      </c>
      <c r="E225" s="108">
        <f>'1. 2001 Approved Rate Schedule'!B$62</f>
        <v>2.3519</v>
      </c>
      <c r="F225" s="6">
        <f>D225*E225</f>
        <v>7055.700000000001</v>
      </c>
      <c r="H225" s="27" t="s">
        <v>114</v>
      </c>
      <c r="I225">
        <f>D225</f>
        <v>3000</v>
      </c>
      <c r="J225" s="119">
        <f>'4. 2002MARR Base Rate Schedule'!B$62</f>
        <v>2.3966467343865396</v>
      </c>
      <c r="K225" s="6">
        <f>I225*J225</f>
        <v>7189.940203159619</v>
      </c>
      <c r="L225" s="6"/>
      <c r="M225" s="6"/>
    </row>
    <row r="226" spans="3:13" ht="25.5">
      <c r="C226" s="27" t="s">
        <v>127</v>
      </c>
      <c r="D226">
        <f>D225</f>
        <v>3000</v>
      </c>
      <c r="E226" s="108">
        <f>'1. 2001 Approved Rate Schedule'!B$66</f>
        <v>8.3174</v>
      </c>
      <c r="F226" s="6">
        <f>D226*E226</f>
        <v>24952.199999999997</v>
      </c>
      <c r="H226" s="27" t="s">
        <v>127</v>
      </c>
      <c r="I226">
        <f>D226</f>
        <v>3000</v>
      </c>
      <c r="J226" s="107">
        <f>E226</f>
        <v>8.3174</v>
      </c>
      <c r="K226" s="6">
        <f>I226*J226</f>
        <v>24952.199999999997</v>
      </c>
      <c r="L226" s="6"/>
      <c r="M226" s="6"/>
    </row>
    <row r="227" spans="3:11" ht="25.5">
      <c r="C227" s="27" t="s">
        <v>128</v>
      </c>
      <c r="D227" s="14">
        <v>1500000</v>
      </c>
      <c r="E227" s="108">
        <f>'1. 2001 Approved Rate Schedule'!B$68</f>
        <v>0.052099999999999994</v>
      </c>
      <c r="F227" s="6">
        <f>D227*E227</f>
        <v>78149.99999999999</v>
      </c>
      <c r="H227" s="27" t="s">
        <v>128</v>
      </c>
      <c r="I227" s="147">
        <f>D227</f>
        <v>1500000</v>
      </c>
      <c r="J227" s="107">
        <f>E227</f>
        <v>0.052099999999999994</v>
      </c>
      <c r="K227" s="6">
        <f>I227*J227</f>
        <v>78149.99999999999</v>
      </c>
    </row>
    <row r="228" spans="3:11" ht="12.75">
      <c r="C228" s="7"/>
      <c r="H228" s="7"/>
      <c r="J228" s="107"/>
      <c r="K228" s="6"/>
    </row>
    <row r="229" spans="3:14" ht="12.75">
      <c r="C229" t="s">
        <v>121</v>
      </c>
      <c r="F229" s="111">
        <f>SUM(F224:F227)</f>
        <v>110188.38999999998</v>
      </c>
      <c r="H229" t="s">
        <v>124</v>
      </c>
      <c r="K229" s="111">
        <f>SUM(K224:K227)</f>
        <v>110323.2101962653</v>
      </c>
      <c r="L229" s="6"/>
      <c r="M229" s="6">
        <f>K229-F229</f>
        <v>134.8201962653111</v>
      </c>
      <c r="N229" s="112">
        <f>K229/F229-1</f>
        <v>0.0012235426642073222</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30.49</v>
      </c>
      <c r="H234" s="27" t="s">
        <v>22</v>
      </c>
      <c r="I234" s="37" t="s">
        <v>125</v>
      </c>
      <c r="J234" s="37" t="s">
        <v>125</v>
      </c>
      <c r="K234" s="6">
        <f>'4. 2002MARR Base Rate Schedule'!B$64</f>
        <v>31.069993105690738</v>
      </c>
      <c r="L234" s="6"/>
      <c r="M234" s="6"/>
    </row>
    <row r="235" spans="3:13" ht="25.5">
      <c r="C235" s="27" t="s">
        <v>114</v>
      </c>
      <c r="D235">
        <v>4000</v>
      </c>
      <c r="E235" s="108">
        <f>'1. 2001 Approved Rate Schedule'!B$62</f>
        <v>2.3519</v>
      </c>
      <c r="F235" s="6">
        <f>D235*E235</f>
        <v>9407.6</v>
      </c>
      <c r="H235" s="27" t="s">
        <v>114</v>
      </c>
      <c r="I235">
        <f>D235</f>
        <v>4000</v>
      </c>
      <c r="J235" s="119">
        <f>'4. 2002MARR Base Rate Schedule'!B$62</f>
        <v>2.3966467343865396</v>
      </c>
      <c r="K235" s="6">
        <f>I235*J235</f>
        <v>9586.586937546159</v>
      </c>
      <c r="L235" s="6"/>
      <c r="M235" s="6"/>
    </row>
    <row r="236" spans="3:13" ht="25.5">
      <c r="C236" s="27" t="s">
        <v>127</v>
      </c>
      <c r="D236">
        <f>D235</f>
        <v>4000</v>
      </c>
      <c r="E236" s="108">
        <f>'1. 2001 Approved Rate Schedule'!B$66</f>
        <v>8.3174</v>
      </c>
      <c r="F236" s="6">
        <f>D236*E236</f>
        <v>33269.6</v>
      </c>
      <c r="H236" s="27" t="s">
        <v>127</v>
      </c>
      <c r="I236">
        <f>D236</f>
        <v>4000</v>
      </c>
      <c r="J236" s="107">
        <f>E236</f>
        <v>8.3174</v>
      </c>
      <c r="K236" s="6">
        <f>I236*J236</f>
        <v>33269.6</v>
      </c>
      <c r="L236" s="6"/>
      <c r="M236" s="6"/>
    </row>
    <row r="237" spans="3:11" ht="25.5">
      <c r="C237" s="27" t="s">
        <v>128</v>
      </c>
      <c r="D237" s="14">
        <v>1200000</v>
      </c>
      <c r="E237" s="108">
        <f>'1. 2001 Approved Rate Schedule'!B$68</f>
        <v>0.052099999999999994</v>
      </c>
      <c r="F237" s="6">
        <f>D237*E237</f>
        <v>62519.99999999999</v>
      </c>
      <c r="H237" s="27" t="s">
        <v>128</v>
      </c>
      <c r="I237" s="147">
        <f>D237</f>
        <v>1200000</v>
      </c>
      <c r="J237" s="107">
        <f>E237</f>
        <v>0.052099999999999994</v>
      </c>
      <c r="K237" s="6">
        <f>I237*J237</f>
        <v>62519.99999999999</v>
      </c>
    </row>
    <row r="238" spans="3:11" ht="12.75">
      <c r="C238" s="7"/>
      <c r="H238" s="7"/>
      <c r="J238" s="107"/>
      <c r="K238" s="6"/>
    </row>
    <row r="239" spans="3:14" ht="12.75">
      <c r="C239" t="s">
        <v>121</v>
      </c>
      <c r="F239" s="111">
        <f>SUM(F234:F237)</f>
        <v>105227.69</v>
      </c>
      <c r="H239" t="s">
        <v>124</v>
      </c>
      <c r="K239" s="111">
        <f>SUM(K234:K237)</f>
        <v>105407.25693065184</v>
      </c>
      <c r="L239" s="6"/>
      <c r="M239" s="6">
        <f>K239-F239</f>
        <v>179.56693065183936</v>
      </c>
      <c r="N239" s="112">
        <f>K239/F239-1</f>
        <v>0.0017064608246351032</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30.49</v>
      </c>
      <c r="H244" s="27" t="s">
        <v>22</v>
      </c>
      <c r="I244" s="37" t="s">
        <v>125</v>
      </c>
      <c r="J244" s="37" t="s">
        <v>125</v>
      </c>
      <c r="K244" s="6">
        <f>'4. 2002MARR Base Rate Schedule'!B$64</f>
        <v>31.069993105690738</v>
      </c>
      <c r="L244" s="6"/>
      <c r="M244" s="6"/>
    </row>
    <row r="245" spans="3:13" ht="25.5">
      <c r="C245" s="27" t="s">
        <v>114</v>
      </c>
      <c r="D245">
        <v>4000</v>
      </c>
      <c r="E245" s="108">
        <f>'1. 2001 Approved Rate Schedule'!B$62</f>
        <v>2.3519</v>
      </c>
      <c r="F245" s="6">
        <f>D245*E245</f>
        <v>9407.6</v>
      </c>
      <c r="H245" s="27" t="s">
        <v>114</v>
      </c>
      <c r="I245">
        <f>D245</f>
        <v>4000</v>
      </c>
      <c r="J245" s="119">
        <f>'4. 2002MARR Base Rate Schedule'!B$62</f>
        <v>2.3966467343865396</v>
      </c>
      <c r="K245" s="6">
        <f>I245*J245</f>
        <v>9586.586937546159</v>
      </c>
      <c r="L245" s="6"/>
      <c r="M245" s="6"/>
    </row>
    <row r="246" spans="3:13" ht="25.5">
      <c r="C246" s="27" t="s">
        <v>127</v>
      </c>
      <c r="D246">
        <f>D245</f>
        <v>4000</v>
      </c>
      <c r="E246" s="108">
        <f>'1. 2001 Approved Rate Schedule'!B$66</f>
        <v>8.3174</v>
      </c>
      <c r="F246" s="6">
        <f>D246*E246</f>
        <v>33269.6</v>
      </c>
      <c r="H246" s="27" t="s">
        <v>127</v>
      </c>
      <c r="I246">
        <f>D246</f>
        <v>4000</v>
      </c>
      <c r="J246" s="107">
        <f>E246</f>
        <v>8.3174</v>
      </c>
      <c r="K246" s="6">
        <f>I246*J246</f>
        <v>33269.6</v>
      </c>
      <c r="L246" s="6"/>
      <c r="M246" s="6"/>
    </row>
    <row r="247" spans="3:11" ht="25.5">
      <c r="C247" s="27" t="s">
        <v>128</v>
      </c>
      <c r="D247" s="14">
        <v>1800000</v>
      </c>
      <c r="E247" s="108">
        <f>'1. 2001 Approved Rate Schedule'!B$68</f>
        <v>0.052099999999999994</v>
      </c>
      <c r="F247" s="6">
        <f>D247*E247</f>
        <v>93779.99999999999</v>
      </c>
      <c r="H247" s="27" t="s">
        <v>128</v>
      </c>
      <c r="I247" s="147">
        <f>D247</f>
        <v>1800000</v>
      </c>
      <c r="J247" s="107">
        <f>E247</f>
        <v>0.052099999999999994</v>
      </c>
      <c r="K247" s="6">
        <f>I247*J247</f>
        <v>93779.99999999999</v>
      </c>
    </row>
    <row r="248" spans="3:11" ht="12.75">
      <c r="C248" s="7"/>
      <c r="H248" s="7"/>
      <c r="J248" s="107"/>
      <c r="K248" s="6"/>
    </row>
    <row r="249" spans="3:14" ht="12.75">
      <c r="C249" t="s">
        <v>121</v>
      </c>
      <c r="F249" s="111">
        <f>SUM(F244:F247)</f>
        <v>136487.69</v>
      </c>
      <c r="H249" t="s">
        <v>124</v>
      </c>
      <c r="K249" s="111">
        <f>SUM(K244:K247)</f>
        <v>136667.25693065184</v>
      </c>
      <c r="L249" s="6"/>
      <c r="M249" s="6">
        <f>K249-F249</f>
        <v>179.56693065183936</v>
      </c>
      <c r="N249" s="112">
        <f>K249/F249-1</f>
        <v>0.0013156272968781746</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8.25">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8.25">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1.0878</v>
      </c>
      <c r="F294" s="6">
        <f>D294*E294</f>
        <v>4351.200000000001</v>
      </c>
      <c r="H294" s="7" t="s">
        <v>179</v>
      </c>
      <c r="I294">
        <f>D294</f>
        <v>4000</v>
      </c>
      <c r="J294" s="110">
        <f>'4. 2002MARR Base Rate Schedule'!B87</f>
        <v>1.1084947276536854</v>
      </c>
      <c r="K294" s="6">
        <f>I294*J294</f>
        <v>4433.978910614742</v>
      </c>
      <c r="L294" s="6"/>
      <c r="M294" s="6"/>
    </row>
    <row r="295" spans="3:14" ht="38.25">
      <c r="C295" s="7" t="s">
        <v>178</v>
      </c>
      <c r="D295">
        <v>4000</v>
      </c>
      <c r="E295" s="108">
        <f>'1. 2001 Approved Rate Schedule'!B$94</f>
        <v>8.0133</v>
      </c>
      <c r="F295" s="6">
        <f>D295*E295</f>
        <v>32053.199999999997</v>
      </c>
      <c r="H295" s="7" t="s">
        <v>178</v>
      </c>
      <c r="I295">
        <f>D295</f>
        <v>4000</v>
      </c>
      <c r="J295" s="107">
        <f>E295</f>
        <v>8.0133</v>
      </c>
      <c r="K295" s="6">
        <f>I295*J295</f>
        <v>32053.199999999997</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0.07100000000000001</v>
      </c>
      <c r="F298" s="6">
        <f>D298*E298</f>
        <v>42600.00000000001</v>
      </c>
      <c r="H298" t="s">
        <v>12</v>
      </c>
      <c r="I298" s="147">
        <f>D298</f>
        <v>600000</v>
      </c>
      <c r="J298" s="110">
        <f>E298</f>
        <v>0.07100000000000001</v>
      </c>
      <c r="K298" s="6">
        <f>I298*J298</f>
        <v>42600.00000000001</v>
      </c>
      <c r="L298" s="6"/>
      <c r="M298" s="6"/>
      <c r="N298" s="109"/>
    </row>
    <row r="299" spans="3:14" ht="25.5">
      <c r="C299" s="7" t="s">
        <v>118</v>
      </c>
      <c r="D299" s="14">
        <v>600000</v>
      </c>
      <c r="E299" s="108">
        <f>'1. 2001 Approved Rate Schedule'!E$94</f>
        <v>0.04240000000000001</v>
      </c>
      <c r="F299" s="6">
        <f>D299*E299</f>
        <v>25440.000000000004</v>
      </c>
      <c r="H299" s="7" t="s">
        <v>118</v>
      </c>
      <c r="I299" s="14">
        <f>D299</f>
        <v>600000</v>
      </c>
      <c r="J299" s="110">
        <f>E299</f>
        <v>0.04240000000000001</v>
      </c>
      <c r="K299" s="6">
        <f>I299*J299</f>
        <v>25440.000000000004</v>
      </c>
      <c r="L299" s="6"/>
      <c r="M299" s="6"/>
      <c r="N299" s="109"/>
    </row>
    <row r="300" spans="3:14" ht="38.25">
      <c r="C300" s="7" t="s">
        <v>22</v>
      </c>
      <c r="E300" s="107"/>
      <c r="F300" s="172">
        <f>'1. 2001 Approved Rate Schedule'!B$89</f>
        <v>310.68</v>
      </c>
      <c r="H300" s="7" t="s">
        <v>22</v>
      </c>
      <c r="J300" s="107"/>
      <c r="K300" s="6">
        <f>'4. 2002MARR Base Rate Schedule'!B89</f>
        <v>316.59083759703464</v>
      </c>
      <c r="L300" s="6"/>
      <c r="M300" s="6"/>
      <c r="N300" s="109"/>
    </row>
    <row r="301" spans="3:14" ht="12.75">
      <c r="C301" s="7"/>
      <c r="E301" s="110"/>
      <c r="F301" s="6"/>
      <c r="J301" s="107"/>
      <c r="K301" s="6"/>
      <c r="L301" s="6"/>
      <c r="M301" s="6"/>
      <c r="N301" s="109"/>
    </row>
    <row r="302" spans="3:14" ht="12.75">
      <c r="C302" s="5" t="s">
        <v>112</v>
      </c>
      <c r="F302" s="6">
        <f>SUM(F294:F301)</f>
        <v>104755.07999999999</v>
      </c>
      <c r="H302" s="5" t="s">
        <v>112</v>
      </c>
      <c r="K302" s="6">
        <f>SUM(K294:K301)</f>
        <v>104843.76974821178</v>
      </c>
      <c r="L302" s="6"/>
      <c r="M302" s="6">
        <f>K302-F302</f>
        <v>88.6897482117929</v>
      </c>
      <c r="N302" s="109">
        <f>K302/F302-1</f>
        <v>0.000846639114893355</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1.0878</v>
      </c>
      <c r="F308" s="6">
        <f>D308*E308</f>
        <v>4351.200000000001</v>
      </c>
      <c r="H308" s="7" t="s">
        <v>179</v>
      </c>
      <c r="I308">
        <f>D308</f>
        <v>4000</v>
      </c>
      <c r="J308" s="110">
        <f>'4. 2002MARR Base Rate Schedule'!B87</f>
        <v>1.1084947276536854</v>
      </c>
      <c r="K308" s="6">
        <f>I308*J308</f>
        <v>4433.978910614742</v>
      </c>
      <c r="L308" s="6"/>
      <c r="M308" s="6"/>
    </row>
    <row r="309" spans="3:14" ht="38.25">
      <c r="C309" s="7" t="s">
        <v>178</v>
      </c>
      <c r="D309">
        <v>4000</v>
      </c>
      <c r="E309" s="108">
        <f>'1. 2001 Approved Rate Schedule'!C$94</f>
        <v>6.2869</v>
      </c>
      <c r="F309" s="6">
        <f>D309*E309</f>
        <v>25147.600000000002</v>
      </c>
      <c r="H309" s="7" t="s">
        <v>178</v>
      </c>
      <c r="I309">
        <f>D309</f>
        <v>4000</v>
      </c>
      <c r="J309" s="107">
        <f>E309</f>
        <v>6.2869</v>
      </c>
      <c r="K309" s="6">
        <f>I309*J309</f>
        <v>25147.600000000002</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0.059899999999999995</v>
      </c>
      <c r="F312" s="6">
        <f>D312*E312</f>
        <v>35940</v>
      </c>
      <c r="H312" t="s">
        <v>14</v>
      </c>
      <c r="I312" s="147">
        <f>D312</f>
        <v>600000</v>
      </c>
      <c r="J312" s="110">
        <f>E312</f>
        <v>0.059899999999999995</v>
      </c>
      <c r="K312" s="6">
        <f>I312*J312</f>
        <v>35940</v>
      </c>
      <c r="L312" s="6"/>
      <c r="M312" s="6"/>
      <c r="N312" s="109"/>
    </row>
    <row r="313" spans="3:14" ht="25.5">
      <c r="C313" s="7" t="s">
        <v>119</v>
      </c>
      <c r="D313" s="14">
        <v>600000</v>
      </c>
      <c r="E313" s="108">
        <f>'1. 2001 Approved Rate Schedule'!G$94</f>
        <v>0.0314</v>
      </c>
      <c r="F313" s="6">
        <f>D313*E313</f>
        <v>18840</v>
      </c>
      <c r="H313" s="7" t="s">
        <v>119</v>
      </c>
      <c r="I313" s="14">
        <f>D313</f>
        <v>600000</v>
      </c>
      <c r="J313" s="110">
        <f>E313</f>
        <v>0.0314</v>
      </c>
      <c r="K313" s="6">
        <f>I313*J313</f>
        <v>18840</v>
      </c>
      <c r="L313" s="6"/>
      <c r="M313" s="6"/>
      <c r="N313" s="109"/>
    </row>
    <row r="314" spans="3:14" ht="38.25">
      <c r="C314" s="7" t="s">
        <v>22</v>
      </c>
      <c r="E314" s="107"/>
      <c r="F314" s="6">
        <f>'1. 2001 Approved Rate Schedule'!B$89</f>
        <v>310.68</v>
      </c>
      <c r="H314" s="7" t="s">
        <v>22</v>
      </c>
      <c r="J314" s="107"/>
      <c r="K314" s="6">
        <f>'4. 2002MARR Base Rate Schedule'!B89</f>
        <v>316.59083759703464</v>
      </c>
      <c r="L314" s="6"/>
      <c r="M314" s="6"/>
      <c r="N314" s="109"/>
    </row>
    <row r="315" spans="3:14" ht="12.75">
      <c r="C315" s="7"/>
      <c r="E315" s="110"/>
      <c r="F315" s="6"/>
      <c r="J315" s="107"/>
      <c r="K315" s="6"/>
      <c r="L315" s="6"/>
      <c r="M315" s="6"/>
      <c r="N315" s="109"/>
    </row>
    <row r="316" spans="3:14" ht="12.75">
      <c r="C316" s="5" t="s">
        <v>112</v>
      </c>
      <c r="F316" s="6">
        <f>SUM(F308:F315)</f>
        <v>84589.48</v>
      </c>
      <c r="H316" s="5" t="s">
        <v>112</v>
      </c>
      <c r="K316" s="6">
        <f>SUM(K308:K315)</f>
        <v>84678.16974821177</v>
      </c>
      <c r="L316" s="6"/>
      <c r="M316" s="6">
        <f>K316-F316</f>
        <v>88.68974821177835</v>
      </c>
      <c r="N316" s="109">
        <f>K316/F316-1</f>
        <v>0.0010484725548824958</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8.25">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8.25">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headerFooter alignWithMargins="0">
    <oddHeader>&amp;C&amp;F</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E25" sqref="E2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7" t="s">
        <v>0</v>
      </c>
      <c r="B3" s="133" t="str">
        <f>'1. 2001 Approved Rate Schedule'!B3</f>
        <v>Centre Wellington Hydro Ltd.</v>
      </c>
      <c r="C3" s="134"/>
      <c r="E3" s="167" t="s">
        <v>1</v>
      </c>
      <c r="F3" s="1"/>
      <c r="G3" s="135" t="str">
        <f>'1. 2001 Approved Rate Schedule'!F3</f>
        <v>ED-1999-0269</v>
      </c>
    </row>
    <row r="4" spans="1:7" ht="18">
      <c r="A4" s="167" t="s">
        <v>3</v>
      </c>
      <c r="B4" s="133" t="str">
        <f>'1. 2001 Approved Rate Schedule'!B4</f>
        <v>Florence Thiessen</v>
      </c>
      <c r="C4" s="17"/>
      <c r="E4" s="167" t="s">
        <v>4</v>
      </c>
      <c r="F4" s="1"/>
      <c r="G4" s="135" t="str">
        <f>'1. 2001 Approved Rate Schedule'!F4</f>
        <v>519-843-2900</v>
      </c>
    </row>
    <row r="5" spans="1:3" ht="18">
      <c r="A5" s="122" t="s">
        <v>51</v>
      </c>
      <c r="B5" s="133" t="str">
        <f>'1. 2001 Approved Rate Schedule'!B5</f>
        <v>thiessen@cwhydro.ca</v>
      </c>
      <c r="C5" s="17"/>
    </row>
    <row r="6" spans="1:3" ht="18">
      <c r="A6" s="167" t="s">
        <v>2</v>
      </c>
      <c r="B6" s="133" t="str">
        <f>'1. 2001 Approved Rate Schedule'!B6</f>
        <v>1.0</v>
      </c>
      <c r="C6" s="17"/>
    </row>
    <row r="7" spans="1:3" ht="18">
      <c r="A7" s="122" t="s">
        <v>52</v>
      </c>
      <c r="B7" s="136">
        <f>'1. 2001 Approved Rate Schedule'!B7</f>
        <v>37276</v>
      </c>
      <c r="C7" s="17"/>
    </row>
    <row r="8" spans="1:3" ht="18">
      <c r="A8" s="30"/>
      <c r="C8" s="17"/>
    </row>
    <row r="9" spans="1:3" ht="18">
      <c r="A9" s="30"/>
      <c r="C9" s="17"/>
    </row>
    <row r="10" ht="18">
      <c r="C10" s="17"/>
    </row>
    <row r="11" spans="1:2" ht="12.75">
      <c r="A11" t="s">
        <v>188</v>
      </c>
      <c r="B11" s="5"/>
    </row>
    <row r="13" spans="2:3" ht="12.75">
      <c r="B13" s="10"/>
      <c r="C13" s="77"/>
    </row>
    <row r="14" spans="1:7" ht="12.75">
      <c r="A14" t="s">
        <v>189</v>
      </c>
      <c r="B14" s="10"/>
      <c r="C14" s="77"/>
      <c r="E14" s="225">
        <v>79861</v>
      </c>
      <c r="F14" s="226" t="s">
        <v>357</v>
      </c>
      <c r="G14" s="227"/>
    </row>
    <row r="15" spans="2:6" ht="12.75">
      <c r="B15" s="10"/>
      <c r="C15" s="76"/>
      <c r="E15" s="223">
        <v>71868</v>
      </c>
      <c r="F15" s="224" t="s">
        <v>356</v>
      </c>
    </row>
    <row r="16" ht="12.75">
      <c r="A16" t="s">
        <v>201</v>
      </c>
    </row>
    <row r="17" ht="12.75">
      <c r="A17" t="s">
        <v>211</v>
      </c>
    </row>
    <row r="24" spans="1:8" ht="38.25">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40647000</v>
      </c>
      <c r="D26" s="79">
        <v>4770</v>
      </c>
      <c r="E26" s="80">
        <f>ROUND(D26*12.61*12+C26*0.0111,-3)</f>
        <v>1173000</v>
      </c>
      <c r="F26" s="81">
        <f>E26/E35</f>
        <v>0.5343963553530752</v>
      </c>
      <c r="G26" s="82">
        <f>G35*F26</f>
        <v>42677.427334851935</v>
      </c>
      <c r="H26" s="83"/>
    </row>
    <row r="27" spans="1:8" ht="12.75">
      <c r="A27" s="70" t="s">
        <v>148</v>
      </c>
      <c r="B27" s="78" t="s">
        <v>66</v>
      </c>
      <c r="C27" s="57">
        <v>22000000</v>
      </c>
      <c r="D27" s="84">
        <v>622</v>
      </c>
      <c r="E27" s="80">
        <f>ROUND(D27*12.71*12+C27*0.0146,-3)</f>
        <v>416000</v>
      </c>
      <c r="F27" s="81">
        <f>E27/E35</f>
        <v>0.18952164009111616</v>
      </c>
      <c r="G27" s="82">
        <f>G35*F27</f>
        <v>15135.387699316629</v>
      </c>
      <c r="H27" s="83"/>
    </row>
    <row r="28" spans="1:8" ht="12.75">
      <c r="A28" s="70" t="s">
        <v>149</v>
      </c>
      <c r="B28" s="85">
        <v>189000</v>
      </c>
      <c r="C28" s="86" t="s">
        <v>66</v>
      </c>
      <c r="D28" s="79">
        <v>48</v>
      </c>
      <c r="E28" s="80">
        <f>ROUND(D28*30.49*12+B28*2.3519,-3)</f>
        <v>462000</v>
      </c>
      <c r="F28" s="81">
        <f>E28/E35</f>
        <v>0.21047835990888383</v>
      </c>
      <c r="G28" s="82">
        <f>G35*F28</f>
        <v>16809.01230068337</v>
      </c>
      <c r="H28" s="83"/>
    </row>
    <row r="29" spans="1:8" ht="12.75">
      <c r="A29" s="70" t="s">
        <v>116</v>
      </c>
      <c r="B29" s="157">
        <v>0</v>
      </c>
      <c r="C29" s="45" t="s">
        <v>66</v>
      </c>
      <c r="D29" s="157">
        <v>0</v>
      </c>
      <c r="E29" s="164">
        <v>0</v>
      </c>
      <c r="F29" s="81">
        <f>E29/E35</f>
        <v>0</v>
      </c>
      <c r="G29" s="82">
        <f>G35*F29</f>
        <v>0</v>
      </c>
      <c r="H29" s="87"/>
    </row>
    <row r="30" spans="1:8" ht="12.75">
      <c r="A30" s="70" t="s">
        <v>5</v>
      </c>
      <c r="B30" s="157">
        <v>121000</v>
      </c>
      <c r="C30" s="45" t="s">
        <v>66</v>
      </c>
      <c r="D30" s="157">
        <v>2</v>
      </c>
      <c r="E30" s="164">
        <f>ROUND(D30*310.68*12+B30*1.0878,-3)</f>
        <v>139000</v>
      </c>
      <c r="F30" s="81">
        <f>E30/E35</f>
        <v>0.0633257403189066</v>
      </c>
      <c r="G30" s="82">
        <f>G35*F30</f>
        <v>5057.2569476082</v>
      </c>
      <c r="H30" s="87"/>
    </row>
    <row r="31" spans="1:8" ht="12.75">
      <c r="A31" s="70" t="s">
        <v>64</v>
      </c>
      <c r="B31" s="157">
        <v>0</v>
      </c>
      <c r="C31" s="45" t="s">
        <v>66</v>
      </c>
      <c r="D31" s="157">
        <v>0</v>
      </c>
      <c r="E31" s="164">
        <v>0</v>
      </c>
      <c r="F31" s="81">
        <f>E31/E35</f>
        <v>0</v>
      </c>
      <c r="G31" s="82">
        <f>G35*F31</f>
        <v>0</v>
      </c>
      <c r="H31" s="87"/>
    </row>
    <row r="32" spans="1:8" ht="12.75">
      <c r="A32" s="70" t="s">
        <v>62</v>
      </c>
      <c r="B32" s="85">
        <v>59</v>
      </c>
      <c r="C32" s="86" t="s">
        <v>66</v>
      </c>
      <c r="D32" s="79">
        <v>33</v>
      </c>
      <c r="E32" s="88">
        <f>ROUND(0.46*D32*12+B32*1.237,-3)</f>
        <v>0</v>
      </c>
      <c r="F32" s="81">
        <f>E32/E35</f>
        <v>0</v>
      </c>
      <c r="G32" s="82">
        <f>G35*F32</f>
        <v>0</v>
      </c>
      <c r="H32" s="83"/>
    </row>
    <row r="33" spans="1:8" ht="12.75">
      <c r="A33" s="70" t="s">
        <v>63</v>
      </c>
      <c r="B33" s="89">
        <v>3000</v>
      </c>
      <c r="C33" s="90" t="s">
        <v>66</v>
      </c>
      <c r="D33" s="91">
        <v>1472</v>
      </c>
      <c r="E33" s="92">
        <f>ROUND(0.16*D33*12+B33*0.5922,-3)</f>
        <v>5000</v>
      </c>
      <c r="F33" s="93">
        <f>E33/E35</f>
        <v>0.002277904328018223</v>
      </c>
      <c r="G33" s="94">
        <f>G35*F33</f>
        <v>181.91571753986332</v>
      </c>
      <c r="H33" s="95"/>
    </row>
    <row r="34" spans="1:8" ht="12.75">
      <c r="A34" s="70"/>
      <c r="B34" s="96"/>
      <c r="C34" s="97"/>
      <c r="D34" s="98"/>
      <c r="E34" s="96"/>
      <c r="F34" s="96"/>
      <c r="G34" s="82"/>
      <c r="H34" s="77"/>
    </row>
    <row r="35" spans="1:8" ht="12.75">
      <c r="A35" s="70" t="s">
        <v>60</v>
      </c>
      <c r="B35" s="42"/>
      <c r="C35" s="98"/>
      <c r="D35" s="96"/>
      <c r="E35" s="163">
        <f>SUM(E26:E33)</f>
        <v>2195000</v>
      </c>
      <c r="F35" s="98">
        <f>SUM(F26:F33)</f>
        <v>1</v>
      </c>
      <c r="G35" s="99">
        <f>E14</f>
        <v>79861</v>
      </c>
      <c r="H35" s="77"/>
    </row>
    <row r="36" spans="1:8" ht="12.75">
      <c r="A36" s="41"/>
      <c r="B36" s="42"/>
      <c r="C36" s="42"/>
      <c r="D36" s="42"/>
      <c r="E36" s="42"/>
      <c r="F36" s="42"/>
      <c r="G36" s="53">
        <f>SUM(G26:G33)</f>
        <v>79860.99999999999</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222">
        <v>1</v>
      </c>
      <c r="C45" s="38">
        <f>1-B45</f>
        <v>0</v>
      </c>
      <c r="D45" s="39">
        <f>B45+C45</f>
        <v>1</v>
      </c>
    </row>
    <row r="46" spans="2:4" ht="13.5" customHeight="1">
      <c r="B46" s="27"/>
      <c r="C46" s="27"/>
      <c r="D46" s="27"/>
    </row>
    <row r="47" spans="1:4" ht="12.75">
      <c r="A47" t="s">
        <v>197</v>
      </c>
      <c r="B47" s="77">
        <f>D47*B45</f>
        <v>42677.427334851935</v>
      </c>
      <c r="C47" s="77">
        <f>D47*C45</f>
        <v>0</v>
      </c>
      <c r="D47" s="77">
        <f>G26</f>
        <v>42677.427334851935</v>
      </c>
    </row>
    <row r="48" spans="1:4" ht="12.75">
      <c r="A48" t="s">
        <v>82</v>
      </c>
      <c r="B48" s="77"/>
      <c r="C48" s="77"/>
      <c r="D48" s="77"/>
    </row>
    <row r="49" spans="2:4" ht="12.75">
      <c r="B49" s="77"/>
      <c r="C49" s="77"/>
      <c r="D49" s="77"/>
    </row>
    <row r="50" spans="1:2" ht="12.75">
      <c r="A50" t="s">
        <v>70</v>
      </c>
      <c r="B50" s="14">
        <f>C26</f>
        <v>40647000</v>
      </c>
    </row>
    <row r="52" spans="1:3" ht="12.75">
      <c r="A52" t="s">
        <v>71</v>
      </c>
      <c r="C52" s="40">
        <f>D26</f>
        <v>4770</v>
      </c>
    </row>
    <row r="54" spans="1:2" ht="12.75">
      <c r="A54" t="s">
        <v>72</v>
      </c>
      <c r="B54" s="101">
        <f>B47/B50</f>
        <v>0.0010499526984734896</v>
      </c>
    </row>
    <row r="55" ht="12.75">
      <c r="A55" t="s">
        <v>219</v>
      </c>
    </row>
    <row r="56" ht="12.75">
      <c r="A56" t="s">
        <v>220</v>
      </c>
    </row>
    <row r="58" spans="1:3" ht="12.75">
      <c r="A58" t="s">
        <v>74</v>
      </c>
      <c r="C58" s="102">
        <f>C47/C52/12</f>
        <v>0</v>
      </c>
    </row>
    <row r="59" ht="12.75">
      <c r="A59" t="s">
        <v>221</v>
      </c>
    </row>
    <row r="60" ht="12.75">
      <c r="A60" t="s">
        <v>222</v>
      </c>
    </row>
    <row r="63" ht="15.75">
      <c r="A63" s="72" t="s">
        <v>76</v>
      </c>
    </row>
    <row r="64" ht="7.5" customHeight="1">
      <c r="A64" s="72"/>
    </row>
    <row r="65" ht="14.25">
      <c r="A65" s="166"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v>1</v>
      </c>
      <c r="C69" s="38">
        <f>1-B69</f>
        <v>0</v>
      </c>
      <c r="D69" s="39">
        <f>B69+C69</f>
        <v>1</v>
      </c>
    </row>
    <row r="70" spans="2:4" ht="12.75">
      <c r="B70" s="27"/>
      <c r="C70" s="27"/>
      <c r="D70" s="27"/>
    </row>
    <row r="71" spans="1:4" ht="12.75">
      <c r="A71" t="s">
        <v>197</v>
      </c>
      <c r="B71" s="77">
        <f>D71*B69</f>
        <v>15135.387699316629</v>
      </c>
      <c r="C71" s="77">
        <f>D71*C69</f>
        <v>0</v>
      </c>
      <c r="D71" s="77">
        <f>G27</f>
        <v>15135.387699316629</v>
      </c>
    </row>
    <row r="72" spans="1:4" ht="12.75">
      <c r="A72" t="s">
        <v>86</v>
      </c>
      <c r="B72" s="77"/>
      <c r="C72" s="77"/>
      <c r="D72" s="77"/>
    </row>
    <row r="73" spans="2:4" ht="12.75">
      <c r="B73" s="77"/>
      <c r="C73" s="77"/>
      <c r="D73" s="77"/>
    </row>
    <row r="74" spans="1:2" ht="12.75">
      <c r="A74" t="s">
        <v>70</v>
      </c>
      <c r="B74" s="14">
        <f>C27</f>
        <v>22000000</v>
      </c>
    </row>
    <row r="76" spans="1:3" ht="12.75">
      <c r="A76" t="s">
        <v>71</v>
      </c>
      <c r="C76" s="40">
        <f>D27</f>
        <v>622</v>
      </c>
    </row>
    <row r="78" spans="1:2" ht="12.75">
      <c r="A78" t="s">
        <v>72</v>
      </c>
      <c r="B78" s="101">
        <f>B71/B74</f>
        <v>0.0006879721681507558</v>
      </c>
    </row>
    <row r="79" ht="12.75">
      <c r="A79" t="s">
        <v>219</v>
      </c>
    </row>
    <row r="80" ht="12.75">
      <c r="A80" t="s">
        <v>220</v>
      </c>
    </row>
    <row r="82" spans="1:3" ht="12.75">
      <c r="A82" t="s">
        <v>74</v>
      </c>
      <c r="C82" s="102">
        <f>C71/C76/12</f>
        <v>0</v>
      </c>
    </row>
    <row r="83" ht="12.75">
      <c r="A83" t="s">
        <v>221</v>
      </c>
    </row>
    <row r="84" ht="12.75">
      <c r="A84" t="s">
        <v>222</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213</v>
      </c>
    </row>
    <row r="92" spans="1:3" ht="15">
      <c r="A92" s="36"/>
      <c r="B92" s="37" t="s">
        <v>67</v>
      </c>
      <c r="C92" s="37" t="s">
        <v>67</v>
      </c>
    </row>
    <row r="93" spans="1:4" ht="15">
      <c r="A93" s="36"/>
      <c r="B93" s="38">
        <v>1</v>
      </c>
      <c r="C93" s="38">
        <f>1-B93</f>
        <v>0</v>
      </c>
      <c r="D93" s="39">
        <f>B93+C93</f>
        <v>1</v>
      </c>
    </row>
    <row r="94" spans="2:4" ht="12.75">
      <c r="B94" s="27"/>
      <c r="C94" s="27"/>
      <c r="D94" s="27"/>
    </row>
    <row r="95" spans="1:4" ht="12.75">
      <c r="A95" t="s">
        <v>197</v>
      </c>
      <c r="B95" s="77">
        <f>D95*B93</f>
        <v>16809.01230068337</v>
      </c>
      <c r="C95" s="77">
        <f>D95*C93</f>
        <v>0</v>
      </c>
      <c r="D95" s="77">
        <f>G28</f>
        <v>16809.01230068337</v>
      </c>
    </row>
    <row r="96" spans="1:4" ht="12.75">
      <c r="A96" t="s">
        <v>88</v>
      </c>
      <c r="B96" s="77"/>
      <c r="C96" s="77"/>
      <c r="D96" s="77"/>
    </row>
    <row r="97" spans="2:4" ht="12.75">
      <c r="B97" s="77"/>
      <c r="C97" s="77"/>
      <c r="D97" s="77"/>
    </row>
    <row r="98" spans="1:2" ht="12.75">
      <c r="A98" t="s">
        <v>83</v>
      </c>
      <c r="B98" s="14">
        <f>B28</f>
        <v>189000</v>
      </c>
    </row>
    <row r="100" spans="1:3" ht="12.75">
      <c r="A100" t="s">
        <v>71</v>
      </c>
      <c r="C100" s="40">
        <f>D28</f>
        <v>48</v>
      </c>
    </row>
    <row r="102" spans="1:2" ht="12.75">
      <c r="A102" t="s">
        <v>84</v>
      </c>
      <c r="B102" s="101">
        <f>B95/B98</f>
        <v>0.08893657301948873</v>
      </c>
    </row>
    <row r="103" ht="12.75">
      <c r="A103" t="s">
        <v>223</v>
      </c>
    </row>
    <row r="104" ht="12.75">
      <c r="A104" t="s">
        <v>220</v>
      </c>
    </row>
    <row r="106" spans="1:3" ht="12.75">
      <c r="A106" t="s">
        <v>74</v>
      </c>
      <c r="C106" s="102">
        <f>C95/C100/12</f>
        <v>0</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v>1</v>
      </c>
      <c r="C117" s="38">
        <f>1-B117</f>
        <v>0</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v>1</v>
      </c>
      <c r="C141" s="38">
        <f>1-B141</f>
        <v>0</v>
      </c>
      <c r="D141" s="39">
        <f>B141+C141</f>
        <v>1</v>
      </c>
    </row>
    <row r="142" spans="2:4" ht="12.75">
      <c r="B142" s="27"/>
      <c r="C142" s="27"/>
      <c r="D142" s="27"/>
    </row>
    <row r="143" spans="2:4" ht="12.75">
      <c r="B143" s="27"/>
      <c r="C143" s="27"/>
      <c r="D143" s="27"/>
    </row>
    <row r="144" spans="1:4" ht="12.75">
      <c r="A144" t="s">
        <v>197</v>
      </c>
      <c r="B144" s="77">
        <f>D144*B141</f>
        <v>5057.2569476082</v>
      </c>
      <c r="C144" s="77">
        <f>D144*C141</f>
        <v>0</v>
      </c>
      <c r="D144" s="77">
        <f>G30</f>
        <v>5057.2569476082</v>
      </c>
    </row>
    <row r="145" spans="1:4" ht="12.75">
      <c r="A145" t="s">
        <v>92</v>
      </c>
      <c r="B145" s="77"/>
      <c r="C145" s="77"/>
      <c r="D145" s="77"/>
    </row>
    <row r="146" spans="2:4" ht="12.75">
      <c r="B146" s="77"/>
      <c r="C146" s="77"/>
      <c r="D146" s="77"/>
    </row>
    <row r="147" spans="1:2" ht="12.75">
      <c r="A147" t="s">
        <v>83</v>
      </c>
      <c r="B147" s="14">
        <f>B30</f>
        <v>121000</v>
      </c>
    </row>
    <row r="149" spans="1:3" ht="12.75">
      <c r="A149" t="s">
        <v>71</v>
      </c>
      <c r="C149" s="40">
        <f>D30</f>
        <v>2</v>
      </c>
    </row>
    <row r="151" spans="1:2" ht="12.75">
      <c r="A151" t="s">
        <v>84</v>
      </c>
      <c r="B151" s="101">
        <f>B144/B147</f>
        <v>0.04179551196370413</v>
      </c>
    </row>
    <row r="152" ht="12.75">
      <c r="A152" t="s">
        <v>223</v>
      </c>
    </row>
    <row r="153" ht="12.75">
      <c r="A153" t="s">
        <v>220</v>
      </c>
    </row>
    <row r="155" spans="1:3" ht="12.75">
      <c r="A155" t="s">
        <v>74</v>
      </c>
      <c r="C155" s="102">
        <f>C144/C149/12</f>
        <v>0</v>
      </c>
    </row>
    <row r="156" ht="12.75">
      <c r="A156" t="s">
        <v>221</v>
      </c>
    </row>
    <row r="157" ht="12.75">
      <c r="A157" t="s">
        <v>222</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v>1</v>
      </c>
      <c r="C166" s="38">
        <f>1-B166</f>
        <v>0</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v>1</v>
      </c>
      <c r="C191" s="38">
        <f>1-B191</f>
        <v>0</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59</v>
      </c>
    </row>
    <row r="199" spans="1:3" ht="12.75">
      <c r="A199" t="s">
        <v>71</v>
      </c>
      <c r="C199" s="40">
        <f>D32</f>
        <v>33</v>
      </c>
    </row>
    <row r="201" spans="1:2" ht="12.75">
      <c r="A201" t="s">
        <v>84</v>
      </c>
      <c r="B201" s="101">
        <f>B194/B197</f>
        <v>0</v>
      </c>
    </row>
    <row r="202" ht="12.75">
      <c r="A202" t="s">
        <v>223</v>
      </c>
    </row>
    <row r="203" ht="12.75">
      <c r="A203" t="s">
        <v>220</v>
      </c>
    </row>
    <row r="205" spans="1:3" ht="12.75">
      <c r="A205" t="s">
        <v>74</v>
      </c>
      <c r="C205" s="102">
        <f>C194/C199/12</f>
        <v>0</v>
      </c>
    </row>
    <row r="206" ht="12.75">
      <c r="A206" t="s">
        <v>221</v>
      </c>
    </row>
    <row r="207" ht="12.75">
      <c r="A207" t="s">
        <v>222</v>
      </c>
    </row>
    <row r="210" ht="15.75">
      <c r="A210" s="72" t="s">
        <v>91</v>
      </c>
    </row>
    <row r="211" ht="9.75" customHeight="1">
      <c r="A211" s="72"/>
    </row>
    <row r="212" ht="14.25">
      <c r="A212" s="166"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v>1</v>
      </c>
      <c r="C216" s="38">
        <f>1-B216</f>
        <v>0</v>
      </c>
      <c r="D216" s="39">
        <f>B216+C216</f>
        <v>1</v>
      </c>
    </row>
    <row r="217" spans="2:4" ht="12.75">
      <c r="B217" s="27"/>
      <c r="C217" s="27"/>
      <c r="D217" s="27"/>
    </row>
    <row r="218" spans="2:4" ht="12.75">
      <c r="B218" s="27"/>
      <c r="C218" s="27"/>
      <c r="D218" s="27"/>
    </row>
    <row r="219" spans="1:4" ht="12.75">
      <c r="A219" t="s">
        <v>197</v>
      </c>
      <c r="B219" s="77">
        <f>D219*B216</f>
        <v>181.91571753986332</v>
      </c>
      <c r="C219" s="77">
        <f>D219*C216</f>
        <v>0</v>
      </c>
      <c r="D219" s="77">
        <f>G33</f>
        <v>181.91571753986332</v>
      </c>
    </row>
    <row r="220" spans="1:4" ht="12.75">
      <c r="A220" t="s">
        <v>193</v>
      </c>
      <c r="B220" s="77"/>
      <c r="C220" s="77"/>
      <c r="D220" s="77"/>
    </row>
    <row r="221" spans="2:4" ht="12.75">
      <c r="B221" s="77"/>
      <c r="C221" s="77"/>
      <c r="D221" s="77"/>
    </row>
    <row r="222" spans="1:2" ht="12.75">
      <c r="A222" t="s">
        <v>83</v>
      </c>
      <c r="B222" s="14">
        <f>B33</f>
        <v>3000</v>
      </c>
    </row>
    <row r="224" spans="1:3" ht="12.75">
      <c r="A224" t="s">
        <v>99</v>
      </c>
      <c r="C224" s="40">
        <f>D33</f>
        <v>1472</v>
      </c>
    </row>
    <row r="226" spans="1:2" ht="12.75">
      <c r="A226" t="s">
        <v>84</v>
      </c>
      <c r="B226" s="101">
        <f>B219/B222</f>
        <v>0.060638572513287775</v>
      </c>
    </row>
    <row r="227" ht="12.75">
      <c r="A227" t="s">
        <v>223</v>
      </c>
    </row>
    <row r="228" ht="12.75">
      <c r="A228" t="s">
        <v>220</v>
      </c>
    </row>
    <row r="230" spans="1:3" ht="12.75">
      <c r="A230" t="s">
        <v>74</v>
      </c>
      <c r="C230" s="102">
        <f>C219/C224/12</f>
        <v>0</v>
      </c>
    </row>
    <row r="231" ht="12.75">
      <c r="A231" t="s">
        <v>221</v>
      </c>
    </row>
    <row r="232" ht="12.75">
      <c r="A232" t="s">
        <v>222</v>
      </c>
    </row>
  </sheetData>
  <sheetProtection/>
  <printOptions/>
  <pageMargins left="0.31" right="0.17" top="0.45" bottom="0.5" header="0.28" footer="0.23"/>
  <pageSetup horizontalDpi="600" verticalDpi="600" orientation="portrait" scale="75" r:id="rId1"/>
  <headerFooter alignWithMargins="0">
    <oddHeader>&amp;C&amp;F</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154"/>
  <sheetViews>
    <sheetView zoomScale="75" zoomScaleNormal="75" zoomScalePageLayoutView="0" workbookViewId="0" topLeftCell="A1">
      <selection activeCell="A15" sqref="A1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Centre Wellington Hydro Ltd.</v>
      </c>
      <c r="C3" s="134"/>
      <c r="E3" s="139" t="s">
        <v>1</v>
      </c>
      <c r="F3" s="135" t="str">
        <f>'1. 2001 Approved Rate Schedule'!F3</f>
        <v>ED-1999-0269</v>
      </c>
    </row>
    <row r="4" spans="1:6" ht="18">
      <c r="A4" s="139" t="s">
        <v>3</v>
      </c>
      <c r="B4" s="133" t="str">
        <f>'1. 2001 Approved Rate Schedule'!B4</f>
        <v>Florence Thiessen</v>
      </c>
      <c r="C4" s="17"/>
      <c r="E4" s="139" t="s">
        <v>4</v>
      </c>
      <c r="F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ht="18">
      <c r="C8" s="17"/>
    </row>
    <row r="9" ht="14.25">
      <c r="A9" s="166" t="s">
        <v>215</v>
      </c>
    </row>
    <row r="10" ht="14.25">
      <c r="A10" s="166"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0.012359932854270428</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12.85004326074483</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0.012359932854270428</v>
      </c>
      <c r="C26" s="16"/>
      <c r="D26" s="16"/>
      <c r="E26" s="16"/>
      <c r="F26" s="16"/>
      <c r="G26" s="16"/>
    </row>
    <row r="27" spans="2:7" ht="12.75">
      <c r="B27" s="16"/>
      <c r="C27" s="16"/>
      <c r="D27" s="16"/>
      <c r="E27" s="16"/>
      <c r="F27" s="16"/>
      <c r="G27" s="16"/>
    </row>
    <row r="28" spans="1:7" ht="12.75">
      <c r="A28" t="s">
        <v>133</v>
      </c>
      <c r="B28" s="22">
        <f>('4. 2002MARR Base Rate Schedule'!B28)+('6. 2001PILs DefAcct Adder Calc'!C58)</f>
        <v>12.85004326074483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0.015564308260109395</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12.951672758710751</v>
      </c>
      <c r="C41" s="16"/>
      <c r="D41" s="19"/>
      <c r="E41" s="16"/>
      <c r="F41" s="23"/>
      <c r="G41" s="23"/>
      <c r="H41" s="22"/>
    </row>
    <row r="42" spans="2:7" ht="12.75">
      <c r="B42" s="16"/>
      <c r="C42" s="16"/>
      <c r="D42" s="19"/>
      <c r="E42" s="16"/>
      <c r="F42" s="16"/>
      <c r="G42" s="16"/>
    </row>
    <row r="43" spans="1:7" ht="12.75">
      <c r="A43" t="s">
        <v>9</v>
      </c>
      <c r="B43" s="23">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0.015564308260109395</v>
      </c>
      <c r="C49" s="16"/>
      <c r="D49" s="19"/>
      <c r="E49" s="16"/>
      <c r="F49" s="16"/>
      <c r="G49" s="16"/>
    </row>
    <row r="50" spans="2:7" ht="12.75">
      <c r="B50" s="16"/>
      <c r="C50" s="16"/>
      <c r="D50" s="19"/>
      <c r="E50" s="16"/>
      <c r="F50" s="16"/>
      <c r="G50" s="16"/>
    </row>
    <row r="51" spans="1:7" ht="12.75">
      <c r="A51" t="s">
        <v>133</v>
      </c>
      <c r="B51" s="22">
        <f>('4. 2002MARR Base Rate Schedule'!B51)+('6. 2001PILs DefAcct Adder Calc'!C82)</f>
        <v>12.951672758710751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2.4855833074060283</v>
      </c>
      <c r="C62" s="16"/>
      <c r="D62" s="19"/>
      <c r="E62" s="16"/>
      <c r="F62" s="16"/>
      <c r="G62" s="16"/>
    </row>
    <row r="63" spans="2:7" ht="12.75">
      <c r="B63" s="16"/>
      <c r="C63" s="16"/>
      <c r="D63" s="19"/>
      <c r="E63" s="16"/>
      <c r="F63" s="16"/>
      <c r="G63" s="16"/>
    </row>
    <row r="64" spans="1:7" ht="12.75">
      <c r="A64" t="s">
        <v>133</v>
      </c>
      <c r="B64" s="22">
        <f>('4. 2002MARR Base Rate Schedule'!B64)+('6. 2001PILs DefAcct Adder Calc'!C106)</f>
        <v>31.069993105690738</v>
      </c>
      <c r="C64" s="16"/>
      <c r="D64" s="19"/>
      <c r="E64" s="16"/>
      <c r="F64" s="16"/>
      <c r="G64" s="16"/>
    </row>
    <row r="65" spans="2:7" ht="12.75">
      <c r="B65" s="16"/>
      <c r="C65" s="16"/>
      <c r="D65" s="19"/>
      <c r="E65" s="16"/>
      <c r="F65" s="16"/>
      <c r="G65" s="16"/>
    </row>
    <row r="66" spans="1:7" ht="12.75">
      <c r="A66" t="s">
        <v>23</v>
      </c>
      <c r="B66" s="23">
        <f>'1. 2001 Approved Rate Schedule'!B66</f>
        <v>8.3174</v>
      </c>
      <c r="C66" s="16"/>
      <c r="D66" s="19"/>
      <c r="E66" s="16"/>
      <c r="F66" s="16"/>
      <c r="G66" s="16"/>
    </row>
    <row r="67" spans="2:7" ht="12.75">
      <c r="B67" s="16"/>
      <c r="C67" s="16"/>
      <c r="D67" s="19"/>
      <c r="E67" s="16"/>
      <c r="F67" s="16"/>
      <c r="G67" s="16"/>
    </row>
    <row r="68" spans="1:7" ht="12.75">
      <c r="A68" t="s">
        <v>9</v>
      </c>
      <c r="B68" s="23">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2:7" ht="12.75">
      <c r="B72" s="16"/>
      <c r="C72" s="16"/>
      <c r="D72" s="19"/>
      <c r="E72" s="16"/>
      <c r="F72" s="16"/>
      <c r="G72" s="16"/>
    </row>
    <row r="73" spans="2:7" ht="12.75">
      <c r="B73" s="16"/>
      <c r="C73" s="16"/>
      <c r="D73" s="19"/>
      <c r="E73" s="16"/>
      <c r="F73" s="16"/>
      <c r="G73" s="16"/>
    </row>
    <row r="74" spans="1:7" ht="18">
      <c r="A74" s="123" t="s">
        <v>24</v>
      </c>
      <c r="B74" s="18"/>
      <c r="C74" s="7"/>
      <c r="D74" s="19"/>
      <c r="E74" s="16"/>
      <c r="F74" s="16"/>
      <c r="G74" s="16"/>
    </row>
    <row r="75" spans="1:7" ht="18">
      <c r="A75" s="17"/>
      <c r="B75" s="16"/>
      <c r="C75" s="16"/>
      <c r="D75" s="19"/>
      <c r="E75" s="16"/>
      <c r="F75" s="16"/>
      <c r="G75" s="16"/>
    </row>
    <row r="76" spans="1:7" ht="12.75">
      <c r="A76" t="s">
        <v>21</v>
      </c>
      <c r="B76" s="22" t="e">
        <f>('4. 2002MARR Base Rate Schedule'!B74)+('6. 2001PILs DefAcct Adder Calc'!B126)</f>
        <v>#DIV/0!</v>
      </c>
      <c r="C76" s="16"/>
      <c r="D76" s="19"/>
      <c r="E76" s="16"/>
      <c r="F76" s="16"/>
      <c r="G76" s="16"/>
    </row>
    <row r="77" spans="2:7" ht="12.75">
      <c r="B77" s="16"/>
      <c r="C77" s="16"/>
      <c r="D77" s="19"/>
      <c r="E77" s="16"/>
      <c r="F77" s="16"/>
      <c r="G77" s="16"/>
    </row>
    <row r="78" spans="1:7" ht="12.75">
      <c r="A78" t="s">
        <v>133</v>
      </c>
      <c r="B78" s="22" t="e">
        <f>('4. 2002MARR Base Rate Schedule'!B76)+('6. 2001PILs DefAcct Adder Calc'!C130)</f>
        <v>#DIV/0!</v>
      </c>
      <c r="C78" s="16"/>
      <c r="D78" s="19"/>
      <c r="E78" s="16"/>
      <c r="F78" s="16"/>
      <c r="G78" s="16"/>
    </row>
    <row r="79" spans="2:7" ht="12.75">
      <c r="B79" s="16"/>
      <c r="C79" s="16"/>
      <c r="D79" s="19"/>
      <c r="E79" s="16"/>
      <c r="F79" s="16"/>
      <c r="G79" s="16"/>
    </row>
    <row r="80" spans="1:7" ht="12.75">
      <c r="A80" t="s">
        <v>11</v>
      </c>
      <c r="B80" s="125" t="s">
        <v>12</v>
      </c>
      <c r="C80" s="125" t="s">
        <v>14</v>
      </c>
      <c r="D80" s="125" t="s">
        <v>12</v>
      </c>
      <c r="E80" s="125" t="s">
        <v>13</v>
      </c>
      <c r="F80" s="126" t="s">
        <v>14</v>
      </c>
      <c r="G80" s="125" t="s">
        <v>15</v>
      </c>
    </row>
    <row r="81" spans="2:7" ht="12.75">
      <c r="B81" s="125"/>
      <c r="C81" s="125"/>
      <c r="D81" s="125"/>
      <c r="E81" s="125" t="s">
        <v>16</v>
      </c>
      <c r="F81" s="126"/>
      <c r="G81" s="125" t="s">
        <v>16</v>
      </c>
    </row>
    <row r="82" spans="2:7" ht="12.75">
      <c r="B82" s="125" t="s">
        <v>25</v>
      </c>
      <c r="C82" s="125" t="s">
        <v>25</v>
      </c>
      <c r="D82" s="125" t="s">
        <v>17</v>
      </c>
      <c r="E82" s="125" t="s">
        <v>17</v>
      </c>
      <c r="F82" s="126" t="s">
        <v>17</v>
      </c>
      <c r="G82" s="125" t="s">
        <v>17</v>
      </c>
    </row>
    <row r="83" spans="1:7" ht="18">
      <c r="A83" s="17"/>
      <c r="B83" s="125">
        <f>'1. 2001 Approved Rate Schedule'!B81</f>
        <v>0</v>
      </c>
      <c r="C83" s="125">
        <f>'1. 2001 Approved Rate Schedule'!C81</f>
        <v>0</v>
      </c>
      <c r="D83" s="125">
        <f>'1. 2001 Approved Rate Schedule'!D81</f>
        <v>0</v>
      </c>
      <c r="E83" s="125">
        <f>'1. 2001 Approved Rate Schedule'!E81</f>
        <v>0</v>
      </c>
      <c r="F83" s="125">
        <f>'1. 2001 Approved Rate Schedule'!F81</f>
        <v>0</v>
      </c>
      <c r="G83" s="125">
        <f>'1. 2001 Approved Rate Schedule'!G81</f>
        <v>0</v>
      </c>
    </row>
    <row r="84" spans="1:7" ht="12.75" customHeight="1">
      <c r="A84" s="17"/>
      <c r="B84" s="125"/>
      <c r="C84" s="125"/>
      <c r="D84" s="125"/>
      <c r="E84" s="125"/>
      <c r="F84" s="125"/>
      <c r="G84" s="125"/>
    </row>
    <row r="85" spans="1:7" ht="12" customHeight="1">
      <c r="A85" s="17"/>
      <c r="B85" s="125"/>
      <c r="C85" s="125"/>
      <c r="D85" s="125"/>
      <c r="E85" s="125"/>
      <c r="F85" s="125"/>
      <c r="G85" s="125"/>
    </row>
    <row r="86" spans="1:7" ht="12" customHeight="1">
      <c r="A86" s="17"/>
      <c r="B86" s="16"/>
      <c r="C86" s="16"/>
      <c r="D86" s="19"/>
      <c r="E86" s="16"/>
      <c r="F86" s="16"/>
      <c r="G86" s="16"/>
    </row>
    <row r="87" spans="1:7" ht="18">
      <c r="A87" s="123" t="s">
        <v>26</v>
      </c>
      <c r="B87" s="16"/>
      <c r="C87" s="16"/>
      <c r="D87" s="19"/>
      <c r="E87" s="16"/>
      <c r="F87" s="16"/>
      <c r="G87" s="16"/>
    </row>
    <row r="88" spans="2:7" ht="12.75">
      <c r="B88" s="16"/>
      <c r="C88" s="16"/>
      <c r="D88" s="19"/>
      <c r="E88" s="16"/>
      <c r="F88" s="16"/>
      <c r="G88" s="16"/>
    </row>
    <row r="89" spans="1:7" ht="12.75">
      <c r="A89" t="s">
        <v>21</v>
      </c>
      <c r="B89" s="22">
        <f>('4. 2002MARR Base Rate Schedule'!B87)+('6. 2001PILs DefAcct Adder Calc'!B151)</f>
        <v>1.1502902396173895</v>
      </c>
      <c r="C89" s="16"/>
      <c r="D89" s="19"/>
      <c r="E89" s="16"/>
      <c r="F89" s="16"/>
      <c r="G89" s="16"/>
    </row>
    <row r="90" spans="2:7" ht="12.75">
      <c r="B90" s="16"/>
      <c r="C90" s="16"/>
      <c r="D90" s="19"/>
      <c r="E90" s="16"/>
      <c r="F90" s="16"/>
      <c r="G90" s="16"/>
    </row>
    <row r="91" spans="1:7" ht="12.75">
      <c r="A91" t="s">
        <v>133</v>
      </c>
      <c r="B91" s="22">
        <f>('4. 2002MARR Base Rate Schedule'!B89)+('6. 2001PILs DefAcct Adder Calc'!C155)</f>
        <v>316.59083759703464</v>
      </c>
      <c r="C91" s="16"/>
      <c r="D91" s="19"/>
      <c r="E91" s="16"/>
      <c r="F91" s="16"/>
      <c r="G91" s="16"/>
    </row>
    <row r="92" spans="2:7" ht="12.75">
      <c r="B92" s="16"/>
      <c r="C92" s="16"/>
      <c r="D92" s="19"/>
      <c r="E92" s="16"/>
      <c r="F92" s="16"/>
      <c r="G92" s="16"/>
    </row>
    <row r="93" spans="1:7" ht="12.75">
      <c r="A93" t="s">
        <v>11</v>
      </c>
      <c r="B93" s="125" t="s">
        <v>12</v>
      </c>
      <c r="C93" s="125" t="s">
        <v>14</v>
      </c>
      <c r="D93" s="125" t="s">
        <v>12</v>
      </c>
      <c r="E93" s="125" t="s">
        <v>13</v>
      </c>
      <c r="F93" s="126" t="s">
        <v>14</v>
      </c>
      <c r="G93" s="125" t="s">
        <v>15</v>
      </c>
    </row>
    <row r="94" spans="2:7" ht="12.75">
      <c r="B94" s="125"/>
      <c r="C94" s="125"/>
      <c r="D94" s="125"/>
      <c r="E94" s="125" t="s">
        <v>16</v>
      </c>
      <c r="F94" s="126"/>
      <c r="G94" s="125" t="s">
        <v>16</v>
      </c>
    </row>
    <row r="95" spans="2:7" ht="12.75">
      <c r="B95" s="125" t="s">
        <v>25</v>
      </c>
      <c r="C95" s="125" t="s">
        <v>25</v>
      </c>
      <c r="D95" s="125" t="s">
        <v>17</v>
      </c>
      <c r="E95" s="125" t="s">
        <v>17</v>
      </c>
      <c r="F95" s="126" t="s">
        <v>17</v>
      </c>
      <c r="G95" s="125" t="s">
        <v>17</v>
      </c>
    </row>
    <row r="96" spans="1:7" ht="12.75">
      <c r="A96" s="5"/>
      <c r="B96" s="125">
        <f>'1. 2001 Approved Rate Schedule'!B94</f>
        <v>8.0133</v>
      </c>
      <c r="C96" s="125">
        <f>'1. 2001 Approved Rate Schedule'!C94</f>
        <v>6.2869</v>
      </c>
      <c r="D96" s="125">
        <f>'1. 2001 Approved Rate Schedule'!D94</f>
        <v>0.07100000000000001</v>
      </c>
      <c r="E96" s="125">
        <f>'1. 2001 Approved Rate Schedule'!E94</f>
        <v>0.04240000000000001</v>
      </c>
      <c r="F96" s="125">
        <f>'1. 2001 Approved Rate Schedule'!F94</f>
        <v>0.059899999999999995</v>
      </c>
      <c r="G96" s="125">
        <f>'1. 2001 Approved Rate Schedule'!G94</f>
        <v>0.0314</v>
      </c>
    </row>
    <row r="97" spans="2:7" ht="12.75">
      <c r="B97" s="16"/>
      <c r="C97" s="16"/>
      <c r="D97" s="19"/>
      <c r="E97" s="16"/>
      <c r="F97" s="16"/>
      <c r="G97" s="16"/>
    </row>
    <row r="98" spans="2:7" ht="12.75" hidden="1">
      <c r="B98" s="16"/>
      <c r="C98" s="16"/>
      <c r="D98" s="19"/>
      <c r="E98" s="16"/>
      <c r="F98" s="16"/>
      <c r="G98" s="16"/>
    </row>
    <row r="99" spans="2:7" ht="12.75" hidden="1">
      <c r="B99" s="16"/>
      <c r="C99" s="16"/>
      <c r="D99" s="19"/>
      <c r="E99" s="16"/>
      <c r="F99" s="16"/>
      <c r="G99" s="16"/>
    </row>
    <row r="100" spans="1:7" ht="18">
      <c r="A100" s="123" t="s">
        <v>7</v>
      </c>
      <c r="B100" s="16"/>
      <c r="C100" s="16"/>
      <c r="D100" s="19"/>
      <c r="E100" s="16"/>
      <c r="F100" s="16"/>
      <c r="G100" s="16"/>
    </row>
    <row r="101" spans="2:7" ht="12.75">
      <c r="B101" s="16"/>
      <c r="C101" s="16"/>
      <c r="D101" s="19"/>
      <c r="E101" s="16"/>
      <c r="F101" s="16"/>
      <c r="G101" s="16"/>
    </row>
    <row r="102" spans="1:7" ht="12.75">
      <c r="A102" t="s">
        <v>21</v>
      </c>
      <c r="B102" s="22" t="e">
        <f>('4. 2002MARR Base Rate Schedule'!B100)+('6. 2001PILs DefAcct Adder Calc'!B176)</f>
        <v>#DIV/0!</v>
      </c>
      <c r="C102" s="16"/>
      <c r="D102" s="19"/>
      <c r="E102" s="16"/>
      <c r="F102" s="16"/>
      <c r="G102" s="16"/>
    </row>
    <row r="103" spans="2:7" ht="12.75">
      <c r="B103" s="16"/>
      <c r="C103" s="16"/>
      <c r="D103" s="19"/>
      <c r="E103" s="16"/>
      <c r="F103" s="16"/>
      <c r="G103" s="16"/>
    </row>
    <row r="104" spans="1:7" ht="12.75">
      <c r="A104" t="s">
        <v>133</v>
      </c>
      <c r="B104" s="22" t="e">
        <f>('4. 2002MARR Base Rate Schedule'!B102)+('6. 2001PILs DefAcct Adder Calc'!C180)</f>
        <v>#DIV/0!</v>
      </c>
      <c r="C104" s="16"/>
      <c r="D104" s="19"/>
      <c r="E104" s="16"/>
      <c r="F104" s="16"/>
      <c r="G104" s="16"/>
    </row>
    <row r="105" spans="2:7" ht="12.75">
      <c r="B105" s="16"/>
      <c r="C105" s="16"/>
      <c r="D105" s="19"/>
      <c r="E105" s="16"/>
      <c r="F105" s="16"/>
      <c r="G105" s="16"/>
    </row>
    <row r="106" spans="1:7" ht="12.75">
      <c r="A106" t="s">
        <v>11</v>
      </c>
      <c r="B106" s="125" t="s">
        <v>12</v>
      </c>
      <c r="C106" s="125" t="s">
        <v>14</v>
      </c>
      <c r="D106" s="125" t="s">
        <v>12</v>
      </c>
      <c r="E106" s="125" t="s">
        <v>13</v>
      </c>
      <c r="F106" s="126" t="s">
        <v>14</v>
      </c>
      <c r="G106" s="125" t="s">
        <v>15</v>
      </c>
    </row>
    <row r="107" spans="2:7" ht="12.75">
      <c r="B107" s="125"/>
      <c r="C107" s="125"/>
      <c r="D107" s="125"/>
      <c r="E107" s="125" t="s">
        <v>16</v>
      </c>
      <c r="F107" s="126"/>
      <c r="G107" s="125" t="s">
        <v>16</v>
      </c>
    </row>
    <row r="108" spans="2:7" ht="12.75">
      <c r="B108" s="125" t="s">
        <v>25</v>
      </c>
      <c r="C108" s="125" t="s">
        <v>25</v>
      </c>
      <c r="D108" s="125" t="s">
        <v>17</v>
      </c>
      <c r="E108" s="125" t="s">
        <v>17</v>
      </c>
      <c r="F108" s="126" t="s">
        <v>17</v>
      </c>
      <c r="G108" s="125" t="s">
        <v>17</v>
      </c>
    </row>
    <row r="109" spans="1:7" ht="12.75">
      <c r="A109" s="5"/>
      <c r="B109" s="125">
        <f>'1. 2001 Approved Rate Schedule'!B107</f>
        <v>0</v>
      </c>
      <c r="C109" s="125">
        <f>'1. 2001 Approved Rate Schedule'!C107</f>
        <v>0</v>
      </c>
      <c r="D109" s="125">
        <f>'1. 2001 Approved Rate Schedule'!D107</f>
        <v>0</v>
      </c>
      <c r="E109" s="125">
        <f>'1. 2001 Approved Rate Schedule'!E107</f>
        <v>0</v>
      </c>
      <c r="F109" s="125">
        <f>'1. 2001 Approved Rate Schedule'!F107</f>
        <v>0</v>
      </c>
      <c r="G109" s="125">
        <f>'1. 2001 Approved Rate Schedule'!G107</f>
        <v>0</v>
      </c>
    </row>
    <row r="110" spans="1:7" ht="12.75">
      <c r="A110" s="5"/>
      <c r="B110" s="125"/>
      <c r="C110" s="125"/>
      <c r="D110" s="125"/>
      <c r="E110" s="125"/>
      <c r="F110" s="125"/>
      <c r="G110" s="125"/>
    </row>
    <row r="111" spans="1:7" ht="12.75" hidden="1">
      <c r="A111" s="5"/>
      <c r="B111" s="125"/>
      <c r="C111" s="125"/>
      <c r="D111" s="125"/>
      <c r="E111" s="125"/>
      <c r="F111" s="125"/>
      <c r="G111" s="125"/>
    </row>
    <row r="112" spans="3:7" ht="12.75" hidden="1">
      <c r="C112" s="16"/>
      <c r="E112" s="16"/>
      <c r="F112" s="16"/>
      <c r="G112" s="16"/>
    </row>
    <row r="113" spans="1:7" ht="18">
      <c r="A113" s="123" t="s">
        <v>27</v>
      </c>
      <c r="B113" s="16"/>
      <c r="C113" s="16"/>
      <c r="D113" s="19"/>
      <c r="E113" s="16"/>
      <c r="F113" s="16"/>
      <c r="G113" s="16"/>
    </row>
    <row r="114" spans="2:7" ht="12.75">
      <c r="B114" s="16"/>
      <c r="C114" s="16"/>
      <c r="D114" s="19"/>
      <c r="E114" s="16"/>
      <c r="F114" s="16"/>
      <c r="G114" s="16"/>
    </row>
    <row r="115" spans="1:7" ht="12.75">
      <c r="A115" t="s">
        <v>21</v>
      </c>
      <c r="B115" s="22">
        <f>('4. 2002MARR Base Rate Schedule'!B113)+('6. 2001PILs DefAcct Adder Calc'!B201)</f>
        <v>1.2607931451399994</v>
      </c>
      <c r="C115" s="16"/>
      <c r="D115" s="19"/>
      <c r="E115" s="16"/>
      <c r="F115" s="16"/>
      <c r="G115" s="16"/>
    </row>
    <row r="116" spans="2:7" ht="12.75">
      <c r="B116" s="16"/>
      <c r="C116" s="16"/>
      <c r="D116" s="19"/>
      <c r="E116" s="16"/>
      <c r="F116" s="16"/>
      <c r="G116" s="16"/>
    </row>
    <row r="117" spans="1:7" ht="12.75">
      <c r="A117" t="s">
        <v>136</v>
      </c>
      <c r="B117" s="22">
        <f>('4. 2002MARR Base Rate Schedule'!B115)+('6. 2001PILs DefAcct Adder Calc'!C205)</f>
        <v>0.4646479324107414</v>
      </c>
      <c r="C117" s="16"/>
      <c r="D117" s="19"/>
      <c r="E117" s="16"/>
      <c r="F117" s="16"/>
      <c r="G117" s="16"/>
    </row>
    <row r="118" spans="2:7" ht="12.75">
      <c r="B118" s="16"/>
      <c r="C118" s="16"/>
      <c r="D118" s="19"/>
      <c r="E118" s="16"/>
      <c r="F118" s="16"/>
      <c r="G118" s="16"/>
    </row>
    <row r="119" spans="1:7" ht="12.75">
      <c r="A119" t="s">
        <v>23</v>
      </c>
      <c r="B119" s="16">
        <f>'1. 2001 Approved Rate Schedule'!B117</f>
        <v>22.5825</v>
      </c>
      <c r="C119" s="16"/>
      <c r="D119" s="19"/>
      <c r="E119" s="16"/>
      <c r="F119" s="16"/>
      <c r="G119" s="16"/>
    </row>
    <row r="120" spans="2:7" ht="12.75">
      <c r="B120" s="16"/>
      <c r="C120" s="16"/>
      <c r="D120" s="19"/>
      <c r="E120" s="16"/>
      <c r="F120" s="16"/>
      <c r="G120" s="16"/>
    </row>
    <row r="121" spans="1:7" ht="12.75">
      <c r="A121" s="5" t="s">
        <v>28</v>
      </c>
      <c r="B121" s="16"/>
      <c r="C121" s="16"/>
      <c r="D121" s="19"/>
      <c r="E121" s="16"/>
      <c r="F121" s="16"/>
      <c r="G121" s="16"/>
    </row>
    <row r="122" spans="2:7" ht="12.75">
      <c r="B122" s="16"/>
      <c r="C122" s="16"/>
      <c r="D122" s="19"/>
      <c r="E122" s="16"/>
      <c r="F122" s="16"/>
      <c r="G122" s="16"/>
    </row>
    <row r="123" spans="1:7" ht="18">
      <c r="A123" s="123" t="s">
        <v>29</v>
      </c>
      <c r="B123" s="16"/>
      <c r="C123" s="16"/>
      <c r="D123" s="19"/>
      <c r="E123" s="16"/>
      <c r="F123" s="16"/>
      <c r="G123" s="16"/>
    </row>
    <row r="124" spans="2:7" ht="12.75">
      <c r="B124" s="16"/>
      <c r="C124" s="16"/>
      <c r="D124" s="19"/>
      <c r="E124" s="16"/>
      <c r="F124" s="16"/>
      <c r="G124" s="16"/>
    </row>
    <row r="125" spans="1:7" ht="12.75">
      <c r="A125" t="s">
        <v>21</v>
      </c>
      <c r="B125" s="22">
        <f>('4. 2002MARR Base Rate Schedule'!B123)+('6. 2001PILs DefAcct Adder Calc'!B201)</f>
        <v>0.037400145139999154</v>
      </c>
      <c r="C125" s="16"/>
      <c r="D125" s="19"/>
      <c r="E125" s="16"/>
      <c r="F125" s="16"/>
      <c r="G125" s="16"/>
    </row>
    <row r="126" spans="2:7" ht="12.75">
      <c r="B126" s="16"/>
      <c r="C126" s="16"/>
      <c r="D126" s="19"/>
      <c r="E126" s="16"/>
      <c r="F126" s="16"/>
      <c r="G126" s="16"/>
    </row>
    <row r="127" spans="1:7" ht="12.75">
      <c r="A127" t="s">
        <v>136</v>
      </c>
      <c r="B127" s="22">
        <f>('4. 2002MARR Base Rate Schedule'!B125)+('6. 2001PILs DefAcct Adder Calc'!C205)</f>
        <v>0.009707932410741409</v>
      </c>
      <c r="C127" s="16"/>
      <c r="D127" s="19"/>
      <c r="E127" s="16"/>
      <c r="F127" s="16"/>
      <c r="G127" s="16"/>
    </row>
    <row r="128" spans="2:7" ht="12.75">
      <c r="B128" s="16"/>
      <c r="C128" s="16"/>
      <c r="D128" s="19"/>
      <c r="E128" s="16"/>
      <c r="F128" s="16"/>
      <c r="G128" s="16"/>
    </row>
    <row r="129" spans="1:7" ht="12.75">
      <c r="A129" t="s">
        <v>11</v>
      </c>
      <c r="B129" s="125" t="s">
        <v>12</v>
      </c>
      <c r="C129" s="125" t="s">
        <v>14</v>
      </c>
      <c r="D129" s="19"/>
      <c r="E129" s="16"/>
      <c r="F129" s="16"/>
      <c r="G129" s="16"/>
    </row>
    <row r="130" spans="2:7" ht="12.75">
      <c r="B130" s="125" t="s">
        <v>25</v>
      </c>
      <c r="C130" s="125" t="s">
        <v>25</v>
      </c>
      <c r="D130" s="19"/>
      <c r="E130" s="16"/>
      <c r="F130" s="16"/>
      <c r="G130" s="16"/>
    </row>
    <row r="131" spans="2:7" ht="12.75">
      <c r="B131" s="125">
        <f>'1. 2001 Approved Rate Schedule'!B129</f>
        <v>0</v>
      </c>
      <c r="C131" s="125">
        <f>'1. 2001 Approved Rate Schedule'!C129</f>
        <v>0</v>
      </c>
      <c r="D131" s="19"/>
      <c r="E131" s="16"/>
      <c r="F131" s="16"/>
      <c r="G131" s="16"/>
    </row>
    <row r="132" spans="1:7" ht="12" customHeight="1">
      <c r="A132" s="17"/>
      <c r="B132" s="16"/>
      <c r="C132" s="16"/>
      <c r="D132" s="19"/>
      <c r="E132" s="16"/>
      <c r="F132" s="16"/>
      <c r="G132" s="16"/>
    </row>
    <row r="133" spans="1:7" ht="14.25" customHeight="1" hidden="1">
      <c r="A133" s="17"/>
      <c r="B133" s="16"/>
      <c r="C133" s="16"/>
      <c r="D133" s="19"/>
      <c r="E133" s="16"/>
      <c r="F133" s="16"/>
      <c r="G133" s="16"/>
    </row>
    <row r="134" spans="2:7" ht="12.75" hidden="1">
      <c r="B134" s="16"/>
      <c r="C134" s="16"/>
      <c r="D134" s="19"/>
      <c r="E134" s="16"/>
      <c r="F134" s="16"/>
      <c r="G134" s="16"/>
    </row>
    <row r="135" spans="1:7" ht="18">
      <c r="A135" s="123" t="s">
        <v>30</v>
      </c>
      <c r="B135" s="16"/>
      <c r="C135" s="16"/>
      <c r="D135" s="19"/>
      <c r="E135" s="16"/>
      <c r="F135" s="16"/>
      <c r="G135" s="16"/>
    </row>
    <row r="136" spans="2:7" ht="12.75">
      <c r="B136" s="16"/>
      <c r="C136" s="16"/>
      <c r="D136" s="19"/>
      <c r="E136" s="16"/>
      <c r="F136" s="16"/>
      <c r="G136" s="16"/>
    </row>
    <row r="137" spans="1:7" ht="12.75">
      <c r="A137" t="s">
        <v>21</v>
      </c>
      <c r="B137" s="22">
        <f>('4. 2002MARR Base Rate Schedule'!B135)+('6. 2001PILs DefAcct Adder Calc'!B226)</f>
        <v>0.07841717242695756</v>
      </c>
      <c r="C137" s="16"/>
      <c r="D137" s="19"/>
      <c r="E137" s="16"/>
      <c r="F137" s="16"/>
      <c r="G137" s="16"/>
    </row>
    <row r="138" spans="2:7" ht="12.75">
      <c r="B138" s="16"/>
      <c r="C138" s="16"/>
      <c r="D138" s="19"/>
      <c r="E138" s="16"/>
      <c r="F138" s="16"/>
      <c r="G138" s="16"/>
    </row>
    <row r="139" spans="1:7" ht="12.75">
      <c r="A139" t="s">
        <v>136</v>
      </c>
      <c r="B139" s="22">
        <f>('4. 2002MARR Base Rate Schedule'!B137)+('6. 2001PILs DefAcct Adder Calc'!C230)</f>
        <v>0.004907473610519073</v>
      </c>
      <c r="C139" s="16"/>
      <c r="D139" s="19"/>
      <c r="E139" s="16"/>
      <c r="F139" s="16"/>
      <c r="G139" s="16"/>
    </row>
    <row r="140" spans="2:7" ht="12.75">
      <c r="B140" s="16"/>
      <c r="C140" s="16"/>
      <c r="D140" s="19"/>
      <c r="E140" s="16"/>
      <c r="F140" s="16"/>
      <c r="G140" s="16"/>
    </row>
    <row r="141" spans="1:7" ht="12.75">
      <c r="A141" t="s">
        <v>23</v>
      </c>
      <c r="B141" s="16">
        <f>'1. 2001 Approved Rate Schedule'!B139</f>
        <v>0</v>
      </c>
      <c r="C141" s="16"/>
      <c r="D141" s="19"/>
      <c r="E141" s="16"/>
      <c r="F141" s="16"/>
      <c r="G141" s="16"/>
    </row>
    <row r="142" spans="2:7" ht="12.75">
      <c r="B142" s="16"/>
      <c r="C142" s="16"/>
      <c r="D142" s="19"/>
      <c r="E142" s="16"/>
      <c r="F142" s="16"/>
      <c r="G142" s="16"/>
    </row>
    <row r="143" spans="1:7" ht="12.75">
      <c r="A143" s="5" t="s">
        <v>28</v>
      </c>
      <c r="B143" s="16"/>
      <c r="C143" s="16"/>
      <c r="D143" s="19"/>
      <c r="E143" s="16"/>
      <c r="F143" s="16"/>
      <c r="G143" s="16"/>
    </row>
    <row r="144" spans="2:7" ht="12.75">
      <c r="B144" s="16"/>
      <c r="C144" s="16"/>
      <c r="D144" s="19"/>
      <c r="E144" s="16"/>
      <c r="F144" s="16"/>
      <c r="G144" s="16"/>
    </row>
    <row r="145" spans="1:7" ht="18">
      <c r="A145" s="123" t="s">
        <v>31</v>
      </c>
      <c r="B145" s="16"/>
      <c r="C145" s="16"/>
      <c r="D145" s="19"/>
      <c r="E145" s="16"/>
      <c r="F145" s="16"/>
      <c r="G145" s="16"/>
    </row>
    <row r="146" spans="2:7" ht="12.75">
      <c r="B146" s="16"/>
      <c r="C146" s="16"/>
      <c r="D146" s="19"/>
      <c r="E146" s="16"/>
      <c r="F146" s="16"/>
      <c r="G146" s="16"/>
    </row>
    <row r="147" spans="1:7" ht="12.75">
      <c r="A147" t="s">
        <v>21</v>
      </c>
      <c r="B147" s="22">
        <f>('4. 2002MARR Base Rate Schedule'!B145)+('6. 2001PILs DefAcct Adder Calc'!B226)</f>
        <v>0.6641029724269575</v>
      </c>
      <c r="C147" s="16"/>
      <c r="D147" s="19"/>
      <c r="E147" s="16"/>
      <c r="F147" s="16"/>
      <c r="G147" s="16"/>
    </row>
    <row r="148" spans="2:7" ht="12.75">
      <c r="B148" s="16"/>
      <c r="C148" s="16"/>
      <c r="D148" s="19"/>
      <c r="E148" s="16"/>
      <c r="F148" s="16"/>
      <c r="G148" s="16"/>
    </row>
    <row r="149" spans="1:7" ht="12.75">
      <c r="A149" t="s">
        <v>136</v>
      </c>
      <c r="B149" s="22">
        <f>('4. 2002MARR Base Rate Schedule'!B147)+('6. 2001PILs DefAcct Adder Calc'!C230)</f>
        <v>0.16314747361051907</v>
      </c>
      <c r="C149" s="16"/>
      <c r="D149" s="19"/>
      <c r="E149" s="16"/>
      <c r="F149" s="16"/>
      <c r="G149" s="16"/>
    </row>
    <row r="150" spans="2:7" ht="12.75">
      <c r="B150" s="16"/>
      <c r="C150" s="16"/>
      <c r="D150" s="19"/>
      <c r="E150" s="16"/>
      <c r="F150" s="16"/>
      <c r="G150" s="16"/>
    </row>
    <row r="151" spans="1:7" ht="12.75">
      <c r="A151" t="s">
        <v>11</v>
      </c>
      <c r="B151" s="125" t="s">
        <v>12</v>
      </c>
      <c r="C151" s="125" t="s">
        <v>14</v>
      </c>
      <c r="D151" s="19"/>
      <c r="E151" s="16"/>
      <c r="F151" s="16"/>
      <c r="G151" s="16"/>
    </row>
    <row r="152" spans="2:7" ht="12.75">
      <c r="B152" s="125" t="s">
        <v>25</v>
      </c>
      <c r="C152" s="125" t="s">
        <v>25</v>
      </c>
      <c r="D152" s="19"/>
      <c r="E152" s="16"/>
      <c r="F152" s="16"/>
      <c r="G152" s="16"/>
    </row>
    <row r="153" spans="2:7" ht="12.75">
      <c r="B153" s="125">
        <f>'1. 2001 Approved Rate Schedule'!B151</f>
        <v>32.0654</v>
      </c>
      <c r="C153" s="125">
        <f>'1. 2001 Approved Rate Schedule'!C151</f>
        <v>12.7337</v>
      </c>
      <c r="E153" s="16"/>
      <c r="F153" s="16"/>
      <c r="G153" s="16"/>
    </row>
    <row r="154" spans="2:7" ht="12.75">
      <c r="B154" s="16"/>
      <c r="C154" s="16"/>
      <c r="D154" s="19"/>
      <c r="E154" s="16"/>
      <c r="F154" s="16"/>
      <c r="G154" s="16"/>
    </row>
  </sheetData>
  <sheetProtection/>
  <printOptions/>
  <pageMargins left="0.28" right="0.18" top="0.45" bottom="0.37" header="0.27" footer="0.23"/>
  <pageSetup horizontalDpi="600" verticalDpi="600" orientation="portrait" scale="75" r:id="rId1"/>
  <headerFooter alignWithMargins="0">
    <oddHeader>&amp;C&amp;F</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E25" sqref="E2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9" t="s">
        <v>0</v>
      </c>
      <c r="B3" s="133" t="str">
        <f>'1. 2001 Approved Rate Schedule'!B3</f>
        <v>Centre Wellington Hydro Ltd.</v>
      </c>
      <c r="C3" s="134"/>
      <c r="E3" s="167" t="s">
        <v>1</v>
      </c>
      <c r="F3" s="1"/>
      <c r="G3" s="135" t="str">
        <f>'1. 2001 Approved Rate Schedule'!F3</f>
        <v>ED-1999-0269</v>
      </c>
    </row>
    <row r="4" spans="1:7" ht="18">
      <c r="A4" s="139" t="s">
        <v>3</v>
      </c>
      <c r="B4" s="133" t="str">
        <f>'1. 2001 Approved Rate Schedule'!B4</f>
        <v>Florence Thiessen</v>
      </c>
      <c r="C4" s="17"/>
      <c r="E4" s="167" t="s">
        <v>4</v>
      </c>
      <c r="F4" s="1"/>
      <c r="G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spans="1:3" ht="18">
      <c r="A8" s="30"/>
      <c r="C8" s="17"/>
    </row>
    <row r="9" spans="1:3" ht="18">
      <c r="A9" s="30"/>
      <c r="C9" s="17"/>
    </row>
    <row r="10" ht="18">
      <c r="C10" s="17"/>
    </row>
    <row r="11" spans="1:2" ht="12.75">
      <c r="A11" s="106" t="s">
        <v>338</v>
      </c>
      <c r="B11" s="5"/>
    </row>
    <row r="13" spans="2:3" ht="12.75">
      <c r="B13" s="10"/>
      <c r="C13" s="77"/>
    </row>
    <row r="14" spans="1:7" ht="12.75">
      <c r="A14" t="s">
        <v>337</v>
      </c>
      <c r="B14" s="10"/>
      <c r="C14" s="77"/>
      <c r="E14" s="225">
        <v>269036</v>
      </c>
      <c r="F14" s="226" t="s">
        <v>357</v>
      </c>
      <c r="G14" s="227"/>
    </row>
    <row r="15" spans="2:6" ht="12.75">
      <c r="B15" s="10"/>
      <c r="C15" s="76"/>
      <c r="E15" s="223">
        <v>234968</v>
      </c>
      <c r="F15" s="224" t="s">
        <v>356</v>
      </c>
    </row>
    <row r="16" ht="12.75">
      <c r="A16" t="s">
        <v>339</v>
      </c>
    </row>
    <row r="17" ht="12.75">
      <c r="A17" t="s">
        <v>211</v>
      </c>
    </row>
    <row r="19" ht="12.75">
      <c r="A19" t="s">
        <v>216</v>
      </c>
    </row>
    <row r="24" spans="1:8" ht="38.25">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40647000</v>
      </c>
      <c r="D26" s="79">
        <f>'6. 2001PILs DefAcct Adder Calc'!D26</f>
        <v>4770</v>
      </c>
      <c r="E26" s="80">
        <f>'6. 2001PILs DefAcct Adder Calc'!E26</f>
        <v>1173000</v>
      </c>
      <c r="F26" s="81">
        <f>E26/E35</f>
        <v>0.5343963553530752</v>
      </c>
      <c r="G26" s="82">
        <f>G35*F26</f>
        <v>143771.85785876994</v>
      </c>
      <c r="H26" s="83"/>
    </row>
    <row r="27" spans="1:8" ht="12.75">
      <c r="A27" s="70" t="s">
        <v>148</v>
      </c>
      <c r="B27" s="78" t="s">
        <v>66</v>
      </c>
      <c r="C27" s="57">
        <f>'6. 2001PILs DefAcct Adder Calc'!C27</f>
        <v>22000000</v>
      </c>
      <c r="D27" s="79">
        <f>'6. 2001PILs DefAcct Adder Calc'!D27</f>
        <v>622</v>
      </c>
      <c r="E27" s="80">
        <f>'6. 2001PILs DefAcct Adder Calc'!E27</f>
        <v>416000</v>
      </c>
      <c r="F27" s="81">
        <f>E27/E35</f>
        <v>0.18952164009111616</v>
      </c>
      <c r="G27" s="82">
        <f>G35*F27</f>
        <v>50988.14396355353</v>
      </c>
      <c r="H27" s="83"/>
    </row>
    <row r="28" spans="1:8" ht="12.75">
      <c r="A28" s="70" t="s">
        <v>149</v>
      </c>
      <c r="B28" s="85">
        <f>'6. 2001PILs DefAcct Adder Calc'!B28</f>
        <v>189000</v>
      </c>
      <c r="C28" s="86" t="s">
        <v>66</v>
      </c>
      <c r="D28" s="79">
        <f>'6. 2001PILs DefAcct Adder Calc'!D28</f>
        <v>48</v>
      </c>
      <c r="E28" s="80">
        <f>'6. 2001PILs DefAcct Adder Calc'!E28</f>
        <v>462000</v>
      </c>
      <c r="F28" s="81">
        <f>E28/E35</f>
        <v>0.21047835990888383</v>
      </c>
      <c r="G28" s="82">
        <f>G35*F28</f>
        <v>56626.25603644647</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121000</v>
      </c>
      <c r="C30" s="45" t="s">
        <v>66</v>
      </c>
      <c r="D30" s="79">
        <f>'6. 2001PILs DefAcct Adder Calc'!D30</f>
        <v>2</v>
      </c>
      <c r="E30" s="80">
        <f>'6. 2001PILs DefAcct Adder Calc'!E30</f>
        <v>139000</v>
      </c>
      <c r="F30" s="81">
        <f>E30/E35</f>
        <v>0.0633257403189066</v>
      </c>
      <c r="G30" s="82">
        <f>G35*F30</f>
        <v>17036.903872437357</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59</v>
      </c>
      <c r="C32" s="86" t="s">
        <v>66</v>
      </c>
      <c r="D32" s="79">
        <f>'6. 2001PILs DefAcct Adder Calc'!D32</f>
        <v>33</v>
      </c>
      <c r="E32" s="80">
        <f>'6. 2001PILs DefAcct Adder Calc'!E32</f>
        <v>0</v>
      </c>
      <c r="F32" s="81">
        <f>E32/E35</f>
        <v>0</v>
      </c>
      <c r="G32" s="82">
        <f>G35*F32</f>
        <v>0</v>
      </c>
      <c r="H32" s="83"/>
    </row>
    <row r="33" spans="1:8" ht="12.75">
      <c r="A33" s="70" t="s">
        <v>63</v>
      </c>
      <c r="B33" s="89">
        <f>'6. 2001PILs DefAcct Adder Calc'!B33</f>
        <v>3000</v>
      </c>
      <c r="C33" s="90" t="s">
        <v>66</v>
      </c>
      <c r="D33" s="91">
        <f>'6. 2001PILs DefAcct Adder Calc'!D33</f>
        <v>1472</v>
      </c>
      <c r="E33" s="165">
        <f>'6. 2001PILs DefAcct Adder Calc'!E33</f>
        <v>5000</v>
      </c>
      <c r="F33" s="93">
        <f>E33/E35</f>
        <v>0.002277904328018223</v>
      </c>
      <c r="G33" s="94">
        <f>G35*F33</f>
        <v>612.8382687927107</v>
      </c>
      <c r="H33" s="95"/>
    </row>
    <row r="34" spans="1:8" ht="12.75">
      <c r="A34" s="70"/>
      <c r="B34" s="96"/>
      <c r="C34" s="97"/>
      <c r="D34" s="98"/>
      <c r="E34" s="96"/>
      <c r="F34" s="96"/>
      <c r="G34" s="82"/>
      <c r="H34" s="77"/>
    </row>
    <row r="35" spans="1:8" ht="12.75">
      <c r="A35" s="70" t="s">
        <v>60</v>
      </c>
      <c r="B35" s="42"/>
      <c r="C35" s="98"/>
      <c r="D35" s="96"/>
      <c r="E35" s="163">
        <f>SUM(E26:E33)</f>
        <v>2195000</v>
      </c>
      <c r="F35" s="98">
        <f>SUM(F26:F33)</f>
        <v>1</v>
      </c>
      <c r="G35" s="99">
        <f>E14</f>
        <v>269036</v>
      </c>
      <c r="H35" s="77"/>
    </row>
    <row r="36" spans="1:8" ht="12.75">
      <c r="A36" s="41"/>
      <c r="B36" s="42"/>
      <c r="C36" s="42"/>
      <c r="D36" s="42"/>
      <c r="E36" s="42"/>
      <c r="F36" s="42"/>
      <c r="G36" s="53">
        <f>SUM(G26:G33)</f>
        <v>269036.00000000006</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222">
        <v>1</v>
      </c>
      <c r="C45" s="38">
        <f>1-B45</f>
        <v>0</v>
      </c>
      <c r="D45" s="39">
        <f>B45+C45</f>
        <v>1</v>
      </c>
    </row>
    <row r="46" spans="2:4" ht="13.5" customHeight="1">
      <c r="B46" s="27"/>
      <c r="C46" s="27"/>
      <c r="D46" s="27"/>
    </row>
    <row r="47" spans="1:4" ht="12.75">
      <c r="A47" t="s">
        <v>242</v>
      </c>
      <c r="B47" s="77">
        <f>D47*B45</f>
        <v>143771.85785876994</v>
      </c>
      <c r="C47" s="77">
        <f>D47*C45</f>
        <v>0</v>
      </c>
      <c r="D47" s="77">
        <f>G26</f>
        <v>143771.85785876994</v>
      </c>
    </row>
    <row r="48" spans="1:4" ht="12.75">
      <c r="A48" t="s">
        <v>82</v>
      </c>
      <c r="B48" s="77"/>
      <c r="C48" s="77"/>
      <c r="D48" s="77"/>
    </row>
    <row r="49" spans="2:4" ht="12.75">
      <c r="B49" s="77"/>
      <c r="C49" s="77"/>
      <c r="D49" s="77"/>
    </row>
    <row r="50" spans="1:2" ht="12.75">
      <c r="A50" t="s">
        <v>70</v>
      </c>
      <c r="B50" s="14">
        <f>C26</f>
        <v>40647000</v>
      </c>
    </row>
    <row r="52" spans="1:3" ht="12.75">
      <c r="A52" t="s">
        <v>71</v>
      </c>
      <c r="C52" s="40">
        <f>D26</f>
        <v>4770</v>
      </c>
    </row>
    <row r="54" spans="1:2" ht="12.75">
      <c r="A54" t="s">
        <v>72</v>
      </c>
      <c r="B54" s="101">
        <f>B47/B50</f>
        <v>0.0035370841109742404</v>
      </c>
    </row>
    <row r="55" ht="12.75">
      <c r="A55" t="s">
        <v>224</v>
      </c>
    </row>
    <row r="56" ht="12.75">
      <c r="A56" t="s">
        <v>225</v>
      </c>
    </row>
    <row r="58" spans="1:3" ht="12.75">
      <c r="A58" t="s">
        <v>74</v>
      </c>
      <c r="C58" s="102">
        <f>C47/C52/12</f>
        <v>0</v>
      </c>
    </row>
    <row r="59" ht="12.75">
      <c r="A59" t="s">
        <v>226</v>
      </c>
    </row>
    <row r="60" ht="12.75">
      <c r="A60" t="s">
        <v>227</v>
      </c>
    </row>
    <row r="63" ht="15.75">
      <c r="A63" s="72" t="s">
        <v>76</v>
      </c>
    </row>
    <row r="64" ht="7.5" customHeight="1">
      <c r="A64" s="72"/>
    </row>
    <row r="65" ht="14.25">
      <c r="A65" s="166"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v>1</v>
      </c>
      <c r="C69" s="38">
        <f>1-B69</f>
        <v>0</v>
      </c>
      <c r="D69" s="39">
        <f>B69+C69</f>
        <v>1</v>
      </c>
    </row>
    <row r="70" spans="2:4" ht="12.75">
      <c r="B70" s="27"/>
      <c r="C70" s="27"/>
      <c r="D70" s="27"/>
    </row>
    <row r="71" spans="1:4" ht="12.75">
      <c r="A71" t="s">
        <v>242</v>
      </c>
      <c r="B71" s="77">
        <f>D71*B69</f>
        <v>50988.14396355353</v>
      </c>
      <c r="C71" s="77">
        <f>D71*C69</f>
        <v>0</v>
      </c>
      <c r="D71" s="77">
        <f>G27</f>
        <v>50988.14396355353</v>
      </c>
    </row>
    <row r="72" spans="1:4" ht="12.75">
      <c r="A72" t="s">
        <v>86</v>
      </c>
      <c r="B72" s="77"/>
      <c r="C72" s="77"/>
      <c r="D72" s="77"/>
    </row>
    <row r="73" spans="2:4" ht="12.75">
      <c r="B73" s="77"/>
      <c r="C73" s="77"/>
      <c r="D73" s="77"/>
    </row>
    <row r="74" spans="1:2" ht="12.75">
      <c r="A74" t="s">
        <v>70</v>
      </c>
      <c r="B74" s="14">
        <f>C27</f>
        <v>22000000</v>
      </c>
    </row>
    <row r="76" spans="1:3" ht="12.75">
      <c r="A76" t="s">
        <v>71</v>
      </c>
      <c r="C76" s="40">
        <f>D27</f>
        <v>622</v>
      </c>
    </row>
    <row r="78" spans="1:2" ht="12.75">
      <c r="A78" t="s">
        <v>72</v>
      </c>
      <c r="B78" s="101">
        <f>B71/B74</f>
        <v>0.0023176429074342514</v>
      </c>
    </row>
    <row r="79" ht="12.75">
      <c r="A79" t="s">
        <v>224</v>
      </c>
    </row>
    <row r="80" ht="12.75">
      <c r="A80" t="s">
        <v>225</v>
      </c>
    </row>
    <row r="82" spans="1:3" ht="12.75">
      <c r="A82" t="s">
        <v>74</v>
      </c>
      <c r="C82" s="102">
        <f>C71/C76/12</f>
        <v>0</v>
      </c>
    </row>
    <row r="83" ht="12.75">
      <c r="A83" t="s">
        <v>226</v>
      </c>
    </row>
    <row r="84" ht="12.75">
      <c r="A84" t="s">
        <v>227</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218</v>
      </c>
    </row>
    <row r="92" spans="1:3" ht="15">
      <c r="A92" s="36"/>
      <c r="B92" s="37" t="s">
        <v>67</v>
      </c>
      <c r="C92" s="37" t="s">
        <v>67</v>
      </c>
    </row>
    <row r="93" spans="1:4" ht="15">
      <c r="A93" s="36"/>
      <c r="B93" s="38">
        <v>1</v>
      </c>
      <c r="C93" s="38">
        <f>1-B93</f>
        <v>0</v>
      </c>
      <c r="D93" s="39">
        <f>B93+C93</f>
        <v>1</v>
      </c>
    </row>
    <row r="94" spans="2:4" ht="12.75">
      <c r="B94" s="27"/>
      <c r="C94" s="27"/>
      <c r="D94" s="27"/>
    </row>
    <row r="95" spans="1:4" ht="12.75">
      <c r="A95" t="s">
        <v>242</v>
      </c>
      <c r="B95" s="77">
        <f>D95*B93</f>
        <v>56626.25603644647</v>
      </c>
      <c r="C95" s="77">
        <f>D95*C93</f>
        <v>0</v>
      </c>
      <c r="D95" s="77">
        <f>G28</f>
        <v>56626.25603644647</v>
      </c>
    </row>
    <row r="96" spans="1:4" ht="12.75">
      <c r="A96" t="s">
        <v>88</v>
      </c>
      <c r="B96" s="77"/>
      <c r="C96" s="77"/>
      <c r="D96" s="77"/>
    </row>
    <row r="97" spans="2:4" ht="12.75">
      <c r="B97" s="77"/>
      <c r="C97" s="77"/>
      <c r="D97" s="77"/>
    </row>
    <row r="98" spans="1:2" ht="12.75">
      <c r="A98" t="s">
        <v>83</v>
      </c>
      <c r="B98" s="14">
        <f>B28</f>
        <v>189000</v>
      </c>
    </row>
    <row r="100" spans="1:3" ht="12.75">
      <c r="A100" t="s">
        <v>71</v>
      </c>
      <c r="C100" s="40">
        <f>D28</f>
        <v>48</v>
      </c>
    </row>
    <row r="102" spans="1:2" ht="12.75">
      <c r="A102" t="s">
        <v>84</v>
      </c>
      <c r="B102" s="101">
        <f>B95/B98</f>
        <v>0.29960982029865857</v>
      </c>
    </row>
    <row r="103" ht="12.75">
      <c r="A103" t="s">
        <v>228</v>
      </c>
    </row>
    <row r="104" ht="12.75">
      <c r="A104" t="s">
        <v>225</v>
      </c>
    </row>
    <row r="106" spans="1:3" ht="12.75">
      <c r="A106" t="s">
        <v>74</v>
      </c>
      <c r="C106" s="102">
        <f>C95/C100/12</f>
        <v>0</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v>1</v>
      </c>
      <c r="C117" s="38">
        <f>1-B117</f>
        <v>0</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v>1</v>
      </c>
      <c r="C141" s="38">
        <f>1-B141</f>
        <v>0</v>
      </c>
      <c r="D141" s="39">
        <f>B141+C141</f>
        <v>1</v>
      </c>
    </row>
    <row r="142" spans="2:4" ht="12.75">
      <c r="B142" s="27"/>
      <c r="C142" s="27"/>
      <c r="D142" s="27"/>
    </row>
    <row r="143" spans="2:4" ht="12.75">
      <c r="B143" s="27"/>
      <c r="C143" s="27"/>
      <c r="D143" s="27"/>
    </row>
    <row r="144" spans="1:4" ht="12.75">
      <c r="A144" t="s">
        <v>242</v>
      </c>
      <c r="B144" s="77">
        <f>D144*B141</f>
        <v>17036.903872437357</v>
      </c>
      <c r="C144" s="77">
        <f>D144*C141</f>
        <v>0</v>
      </c>
      <c r="D144" s="77">
        <f>G30</f>
        <v>17036.903872437357</v>
      </c>
    </row>
    <row r="145" spans="1:4" ht="12.75">
      <c r="A145" t="s">
        <v>92</v>
      </c>
      <c r="B145" s="77"/>
      <c r="C145" s="77"/>
      <c r="D145" s="77"/>
    </row>
    <row r="146" spans="2:4" ht="12.75">
      <c r="B146" s="77"/>
      <c r="C146" s="77"/>
      <c r="D146" s="77"/>
    </row>
    <row r="147" spans="1:2" ht="12.75">
      <c r="A147" t="s">
        <v>83</v>
      </c>
      <c r="B147" s="14">
        <f>B30</f>
        <v>121000</v>
      </c>
    </row>
    <row r="149" spans="1:3" ht="12.75">
      <c r="A149" t="s">
        <v>71</v>
      </c>
      <c r="C149" s="40">
        <f>D30</f>
        <v>2</v>
      </c>
    </row>
    <row r="151" spans="1:2" ht="12.75">
      <c r="A151" t="s">
        <v>84</v>
      </c>
      <c r="B151" s="101">
        <f>B144/B147</f>
        <v>0.1408008584498955</v>
      </c>
    </row>
    <row r="152" ht="12.75">
      <c r="A152" t="s">
        <v>228</v>
      </c>
    </row>
    <row r="153" ht="12.75">
      <c r="A153" t="s">
        <v>225</v>
      </c>
    </row>
    <row r="155" spans="1:3" ht="12.75">
      <c r="A155" t="s">
        <v>74</v>
      </c>
      <c r="C155" s="102">
        <f>C144/C149/12</f>
        <v>0</v>
      </c>
    </row>
    <row r="156" ht="12.75">
      <c r="A156" t="s">
        <v>226</v>
      </c>
    </row>
    <row r="157" ht="12.75">
      <c r="A157" t="s">
        <v>227</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v>1</v>
      </c>
      <c r="C166" s="38">
        <f>1-B166</f>
        <v>0</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v>1</v>
      </c>
      <c r="C191" s="38">
        <f>1-B191</f>
        <v>0</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59</v>
      </c>
    </row>
    <row r="199" spans="1:3" ht="12.75">
      <c r="A199" t="s">
        <v>71</v>
      </c>
      <c r="C199" s="40">
        <f>D32</f>
        <v>33</v>
      </c>
    </row>
    <row r="201" spans="1:2" ht="12.75">
      <c r="A201" t="s">
        <v>84</v>
      </c>
      <c r="B201" s="101">
        <f>B194/B197</f>
        <v>0</v>
      </c>
    </row>
    <row r="202" ht="12.75">
      <c r="A202" t="s">
        <v>228</v>
      </c>
    </row>
    <row r="203" ht="12.75">
      <c r="A203" t="s">
        <v>225</v>
      </c>
    </row>
    <row r="205" spans="1:3" ht="12.75">
      <c r="A205" t="s">
        <v>74</v>
      </c>
      <c r="C205" s="102">
        <f>C194/C199/12</f>
        <v>0</v>
      </c>
    </row>
    <row r="206" ht="12.75">
      <c r="A206" t="s">
        <v>226</v>
      </c>
    </row>
    <row r="207" ht="12.75">
      <c r="A207" t="s">
        <v>227</v>
      </c>
    </row>
    <row r="210" ht="15.75">
      <c r="A210" s="72" t="s">
        <v>91</v>
      </c>
    </row>
    <row r="211" ht="9.75" customHeight="1">
      <c r="A211" s="72"/>
    </row>
    <row r="212" ht="14.25">
      <c r="A212" s="166"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v>1</v>
      </c>
      <c r="C216" s="38">
        <f>1-B216</f>
        <v>0</v>
      </c>
      <c r="D216" s="39">
        <f>B216+C216</f>
        <v>1</v>
      </c>
    </row>
    <row r="217" spans="2:4" ht="12.75">
      <c r="B217" s="27"/>
      <c r="C217" s="27"/>
      <c r="D217" s="27"/>
    </row>
    <row r="218" spans="2:4" ht="12.75">
      <c r="B218" s="27"/>
      <c r="C218" s="27"/>
      <c r="D218" s="27"/>
    </row>
    <row r="219" spans="1:4" ht="12.75">
      <c r="A219" t="s">
        <v>242</v>
      </c>
      <c r="B219" s="77">
        <f>D219*B216</f>
        <v>612.8382687927107</v>
      </c>
      <c r="C219" s="77">
        <f>D219*C216</f>
        <v>0</v>
      </c>
      <c r="D219" s="77">
        <f>G33</f>
        <v>612.8382687927107</v>
      </c>
    </row>
    <row r="220" spans="1:4" ht="12.75">
      <c r="A220" t="s">
        <v>193</v>
      </c>
      <c r="B220" s="77"/>
      <c r="C220" s="77"/>
      <c r="D220" s="77"/>
    </row>
    <row r="221" spans="2:4" ht="12.75">
      <c r="B221" s="77"/>
      <c r="C221" s="77"/>
      <c r="D221" s="77"/>
    </row>
    <row r="222" spans="1:2" ht="12.75">
      <c r="A222" t="s">
        <v>83</v>
      </c>
      <c r="B222" s="14">
        <f>B33</f>
        <v>3000</v>
      </c>
    </row>
    <row r="224" spans="1:3" ht="12.75">
      <c r="A224" t="s">
        <v>99</v>
      </c>
      <c r="C224" s="40">
        <f>D33</f>
        <v>1472</v>
      </c>
    </row>
    <row r="226" spans="1:2" ht="12.75">
      <c r="A226" t="s">
        <v>84</v>
      </c>
      <c r="B226" s="101">
        <f>B219/B222</f>
        <v>0.20427942293090356</v>
      </c>
    </row>
    <row r="227" ht="12.75">
      <c r="A227" t="s">
        <v>228</v>
      </c>
    </row>
    <row r="228" ht="12.75">
      <c r="A228" t="s">
        <v>225</v>
      </c>
    </row>
    <row r="230" spans="1:3" ht="12.75">
      <c r="A230" t="s">
        <v>74</v>
      </c>
      <c r="C230" s="102">
        <f>C219/C224/12</f>
        <v>0</v>
      </c>
    </row>
    <row r="231" ht="12.75">
      <c r="A231" t="s">
        <v>226</v>
      </c>
    </row>
    <row r="232" ht="12.75">
      <c r="A232" t="s">
        <v>227</v>
      </c>
    </row>
  </sheetData>
  <sheetProtection/>
  <printOptions/>
  <pageMargins left="0.31" right="0.17" top="0.45" bottom="0.5" header="0.28" footer="0.23"/>
  <pageSetup horizontalDpi="600" verticalDpi="600" orientation="portrait" scale="75" r:id="rId1"/>
  <headerFooter alignWithMargins="0">
    <oddHeader>&amp;C&amp;F</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A9" sqref="A9"/>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Centre Wellington Hydro Ltd.</v>
      </c>
      <c r="C3" s="134"/>
      <c r="E3" s="139" t="s">
        <v>1</v>
      </c>
      <c r="F3" s="135" t="str">
        <f>'1. 2001 Approved Rate Schedule'!F3</f>
        <v>ED-1999-0269</v>
      </c>
    </row>
    <row r="4" spans="1:6" ht="18">
      <c r="A4" s="139" t="s">
        <v>3</v>
      </c>
      <c r="B4" s="133" t="str">
        <f>'1. 2001 Approved Rate Schedule'!B4</f>
        <v>Florence Thiessen</v>
      </c>
      <c r="C4" s="17"/>
      <c r="E4" s="139" t="s">
        <v>4</v>
      </c>
      <c r="F4" s="135" t="str">
        <f>'1. 2001 Approved Rate Schedule'!F4</f>
        <v>519-843-2900</v>
      </c>
    </row>
    <row r="5" spans="1:3" ht="18">
      <c r="A5" s="30" t="s">
        <v>51</v>
      </c>
      <c r="B5" s="133" t="str">
        <f>'1. 2001 Approved Rate Schedule'!B5</f>
        <v>thiessen@cwhydro.ca</v>
      </c>
      <c r="C5" s="17"/>
    </row>
    <row r="6" spans="1:3" ht="18">
      <c r="A6" s="139" t="s">
        <v>2</v>
      </c>
      <c r="B6" s="133" t="str">
        <f>'1. 2001 Approved Rate Schedule'!B6</f>
        <v>1.0</v>
      </c>
      <c r="C6" s="17"/>
    </row>
    <row r="7" spans="1:3" ht="18">
      <c r="A7" s="30" t="s">
        <v>52</v>
      </c>
      <c r="B7" s="136">
        <f>'1. 2001 Approved Rate Schedule'!B7</f>
        <v>37276</v>
      </c>
      <c r="C7" s="17"/>
    </row>
    <row r="8" ht="18">
      <c r="C8" s="17"/>
    </row>
    <row r="9" ht="14.25">
      <c r="A9" s="166" t="s">
        <v>231</v>
      </c>
    </row>
    <row r="10" ht="14.25">
      <c r="A10" s="166" t="s">
        <v>230</v>
      </c>
    </row>
    <row r="11" ht="14.25">
      <c r="A11" s="166" t="s">
        <v>326</v>
      </c>
    </row>
    <row r="12" ht="14.25">
      <c r="A12" s="166" t="s">
        <v>327</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0.01589701696524467</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12.85004326074483</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0.01589701696524467</v>
      </c>
      <c r="C26" s="16"/>
      <c r="D26" s="16"/>
      <c r="E26" s="16"/>
      <c r="F26" s="16"/>
      <c r="G26" s="16"/>
    </row>
    <row r="27" spans="2:7" ht="12.75">
      <c r="B27" s="16"/>
      <c r="C27" s="16"/>
      <c r="D27" s="16"/>
      <c r="E27" s="16"/>
      <c r="F27" s="16"/>
      <c r="G27" s="16"/>
    </row>
    <row r="28" spans="1:7" ht="12.75">
      <c r="A28" t="s">
        <v>133</v>
      </c>
      <c r="B28" s="22">
        <f>('7. 2001 PILs DefAcct Adder Sch'!B28)+('8. 2002PILs Proxy Adder Calc'!C58)</f>
        <v>12.85004326074483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0.017881951167543646</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12.951672758710751</v>
      </c>
      <c r="C41" s="16"/>
      <c r="D41" s="19"/>
      <c r="E41" s="16"/>
      <c r="F41" s="23"/>
      <c r="G41" s="23"/>
      <c r="H41" s="22"/>
    </row>
    <row r="42" spans="2:7" ht="12.75">
      <c r="B42" s="16"/>
      <c r="C42" s="16"/>
      <c r="D42" s="19"/>
      <c r="E42" s="16"/>
      <c r="F42" s="16"/>
      <c r="G42" s="16"/>
    </row>
    <row r="43" spans="1:7" ht="12.75">
      <c r="A43" t="s">
        <v>9</v>
      </c>
      <c r="B43" s="23">
        <f>'1. 2001 Approved Rate Schedule'!B43</f>
        <v>0.07250000000000001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0.017881951167543646</v>
      </c>
      <c r="C49" s="16"/>
      <c r="D49" s="19"/>
      <c r="E49" s="16"/>
      <c r="F49" s="16"/>
      <c r="G49" s="16"/>
    </row>
    <row r="50" spans="2:7" ht="12.75">
      <c r="B50" s="16"/>
      <c r="C50" s="16"/>
      <c r="D50" s="19"/>
      <c r="E50" s="16"/>
      <c r="F50" s="16"/>
      <c r="G50" s="16"/>
    </row>
    <row r="51" spans="1:7" ht="12.75">
      <c r="A51" t="s">
        <v>133</v>
      </c>
      <c r="B51" s="22">
        <f>('7. 2001 PILs DefAcct Adder Sch'!B51)+('8. 2002PILs Proxy Adder Calc'!C82)</f>
        <v>12.951672758710751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2.785193127704687</v>
      </c>
      <c r="C62" s="16"/>
      <c r="D62" s="19"/>
      <c r="E62" s="16"/>
      <c r="F62" s="16"/>
      <c r="G62" s="16"/>
    </row>
    <row r="63" spans="2:7" ht="12.75">
      <c r="B63" s="16"/>
      <c r="C63" s="16"/>
      <c r="D63" s="19"/>
      <c r="E63" s="16"/>
      <c r="F63" s="16"/>
      <c r="G63" s="16"/>
    </row>
    <row r="64" spans="1:7" ht="12.75">
      <c r="A64" t="s">
        <v>133</v>
      </c>
      <c r="B64" s="22">
        <f>('7. 2001 PILs DefAcct Adder Sch'!B64)+('8. 2002PILs Proxy Adder Calc'!C106)</f>
        <v>31.069993105690738</v>
      </c>
      <c r="C64" s="16"/>
      <c r="D64" s="19"/>
      <c r="E64" s="16"/>
      <c r="F64" s="16"/>
      <c r="G64" s="16"/>
    </row>
    <row r="65" spans="2:7" ht="12.75">
      <c r="B65" s="16"/>
      <c r="C65" s="16"/>
      <c r="D65" s="19"/>
      <c r="E65" s="16"/>
      <c r="F65" s="16"/>
      <c r="G65" s="16"/>
    </row>
    <row r="66" spans="1:7" ht="12.75">
      <c r="A66" t="s">
        <v>23</v>
      </c>
      <c r="B66" s="23">
        <f>'1. 2001 Approved Rate Schedule'!B66</f>
        <v>8.3174</v>
      </c>
      <c r="C66" s="16"/>
      <c r="D66" s="19"/>
      <c r="E66" s="16"/>
      <c r="F66" s="16"/>
      <c r="G66" s="16"/>
    </row>
    <row r="67" spans="2:7" ht="12.75">
      <c r="B67" s="16"/>
      <c r="C67" s="16"/>
      <c r="D67" s="19"/>
      <c r="E67" s="16"/>
      <c r="F67" s="16"/>
      <c r="G67" s="16"/>
    </row>
    <row r="68" spans="1:7" ht="12.75">
      <c r="A68" t="s">
        <v>9</v>
      </c>
      <c r="B68" s="23">
        <f>'1. 2001 Approved Rate Schedule'!B68</f>
        <v>0.052099999999999994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Sch'!B76)+('8.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Sch'!B78)+('8.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hidden="1">
      <c r="A83" s="17"/>
      <c r="B83" s="125"/>
      <c r="C83" s="125"/>
      <c r="D83" s="125"/>
      <c r="E83" s="125"/>
      <c r="F83" s="125"/>
      <c r="G83" s="125"/>
    </row>
    <row r="84" spans="1:7" ht="12" customHeight="1" hidden="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f>('7. 2001 PILs DefAcct Adder Sch'!B89)+('8. 2002PILs Proxy Adder Calc'!B151)</f>
        <v>1.291091098067285</v>
      </c>
      <c r="C87" s="16"/>
      <c r="D87" s="19"/>
      <c r="E87" s="16"/>
      <c r="F87" s="16"/>
      <c r="G87" s="16"/>
    </row>
    <row r="88" spans="2:7" ht="12.75">
      <c r="B88" s="16"/>
      <c r="C88" s="16"/>
      <c r="D88" s="19"/>
      <c r="E88" s="16"/>
      <c r="F88" s="16"/>
      <c r="G88" s="16"/>
    </row>
    <row r="89" spans="1:7" ht="12.75">
      <c r="A89" t="s">
        <v>133</v>
      </c>
      <c r="B89" s="22">
        <f>('7. 2001 PILs DefAcct Adder Sch'!B91)+('8. 2002PILs Proxy Adder Calc'!C155)</f>
        <v>316.59083759703464</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8.0133</v>
      </c>
      <c r="C94" s="125">
        <f>'1. 2001 Approved Rate Schedule'!C94</f>
        <v>6.2869</v>
      </c>
      <c r="D94" s="125">
        <f>'1. 2001 Approved Rate Schedule'!D94</f>
        <v>0.07100000000000001</v>
      </c>
      <c r="E94" s="125">
        <f>'1. 2001 Approved Rate Schedule'!E94</f>
        <v>0.04240000000000001</v>
      </c>
      <c r="F94" s="125">
        <f>'1. 2001 Approved Rate Schedule'!F94</f>
        <v>0.059899999999999995</v>
      </c>
      <c r="G94" s="125">
        <f>'1. 2001 Approved Rate Schedule'!G94</f>
        <v>0.0314</v>
      </c>
    </row>
    <row r="95" spans="2:7" ht="12.75">
      <c r="B95" s="16"/>
      <c r="C95" s="16"/>
      <c r="D95" s="19"/>
      <c r="E95" s="16"/>
      <c r="F95" s="16"/>
      <c r="G95" s="16"/>
    </row>
    <row r="96" spans="2:7" ht="12.75" hidden="1">
      <c r="B96" s="16"/>
      <c r="C96" s="16"/>
      <c r="D96" s="19"/>
      <c r="E96" s="16"/>
      <c r="F96" s="16"/>
      <c r="G96" s="16"/>
    </row>
    <row r="97" spans="2:7" ht="12.75" hidden="1">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Sch'!B102)+('8.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Sch'!B104)+('8.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hidden="1">
      <c r="A109" s="5"/>
      <c r="B109" s="125"/>
      <c r="C109" s="125"/>
      <c r="D109" s="125"/>
      <c r="E109" s="125"/>
      <c r="F109" s="125"/>
      <c r="G109" s="125"/>
    </row>
    <row r="110" spans="3:7" ht="12.75" hidden="1">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Sch'!B115)+('8. 2002PILs Proxy Adder Calc'!B201)</f>
        <v>1.2607931451399994</v>
      </c>
      <c r="C113" s="16"/>
      <c r="D113" s="19"/>
      <c r="E113" s="16"/>
      <c r="F113" s="16"/>
      <c r="G113" s="16"/>
    </row>
    <row r="114" spans="2:7" ht="12.75">
      <c r="B114" s="16"/>
      <c r="C114" s="16"/>
      <c r="D114" s="19"/>
      <c r="E114" s="16"/>
      <c r="F114" s="16"/>
      <c r="G114" s="16"/>
    </row>
    <row r="115" spans="1:7" ht="12.75">
      <c r="A115" t="s">
        <v>136</v>
      </c>
      <c r="B115" s="22">
        <f>('7. 2001 PILs DefAcct Adder Sch'!B117)+('8. 2002PILs Proxy Adder Calc'!C205)</f>
        <v>0.4646479324107414</v>
      </c>
      <c r="C115" s="16"/>
      <c r="D115" s="19"/>
      <c r="E115" s="16"/>
      <c r="F115" s="16"/>
      <c r="G115" s="16"/>
    </row>
    <row r="116" spans="2:7" ht="12.75">
      <c r="B116" s="16"/>
      <c r="C116" s="16"/>
      <c r="D116" s="19"/>
      <c r="E116" s="16"/>
      <c r="F116" s="16"/>
      <c r="G116" s="16"/>
    </row>
    <row r="117" spans="1:7" ht="12.75">
      <c r="A117" t="s">
        <v>23</v>
      </c>
      <c r="B117" s="16">
        <f>'1. 2001 Approved Rate Schedule'!B117</f>
        <v>22.5825</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Sch'!B125)+('8. 2002PILs Proxy Adder Calc'!B201)</f>
        <v>0.037400145139999154</v>
      </c>
      <c r="C123" s="16"/>
      <c r="D123" s="19"/>
      <c r="E123" s="16"/>
      <c r="F123" s="16"/>
      <c r="G123" s="16"/>
    </row>
    <row r="124" spans="2:7" ht="12.75">
      <c r="B124" s="16"/>
      <c r="C124" s="16"/>
      <c r="D124" s="19"/>
      <c r="E124" s="16"/>
      <c r="F124" s="16"/>
      <c r="G124" s="16"/>
    </row>
    <row r="125" spans="1:7" ht="12.75">
      <c r="A125" t="s">
        <v>136</v>
      </c>
      <c r="B125" s="22">
        <f>('7. 2001 PILs DefAcct Adder Sch'!B127)+('8. 2002PILs Proxy Adder Calc'!C205)</f>
        <v>0.009707932410741409</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Sch'!B137)+('8. 2002PILs Proxy Adder Calc'!B226)</f>
        <v>0.2826965953578611</v>
      </c>
      <c r="C135" s="16"/>
      <c r="D135" s="19"/>
      <c r="E135" s="16"/>
      <c r="F135" s="16"/>
      <c r="G135" s="16"/>
    </row>
    <row r="136" spans="2:7" ht="12.75">
      <c r="B136" s="16"/>
      <c r="C136" s="16"/>
      <c r="D136" s="19"/>
      <c r="E136" s="16"/>
      <c r="F136" s="16"/>
      <c r="G136" s="16"/>
    </row>
    <row r="137" spans="1:7" ht="12.75">
      <c r="A137" t="s">
        <v>136</v>
      </c>
      <c r="B137" s="22">
        <f>('7. 2001 PILs DefAcct Adder Sch'!B139)+('8. 2002PILs Proxy Adder Calc'!C230)</f>
        <v>0.004907473610519073</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Sch'!B147)+('8. 2002PILs Proxy Adder Calc'!B226)</f>
        <v>0.8683823953578611</v>
      </c>
      <c r="C145" s="16"/>
      <c r="D145" s="19"/>
      <c r="E145" s="16"/>
      <c r="F145" s="16"/>
      <c r="G145" s="16"/>
    </row>
    <row r="146" spans="2:7" ht="12.75">
      <c r="B146" s="16"/>
      <c r="C146" s="16"/>
      <c r="D146" s="19"/>
      <c r="E146" s="16"/>
      <c r="F146" s="16"/>
      <c r="G146" s="16"/>
    </row>
    <row r="147" spans="1:7" ht="12.75">
      <c r="A147" t="s">
        <v>136</v>
      </c>
      <c r="B147" s="22">
        <f>('7. 2001 PILs DefAcct Adder Sch'!B149)+('8. 2002PILs Proxy Adder Calc'!C230)</f>
        <v>0.16314747361051907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32.0654</v>
      </c>
      <c r="C151" s="125">
        <f>'1. 2001 Approved Rate Schedule'!C151</f>
        <v>12.7337</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headerFooter alignWithMargins="0">
    <oddHeader>&amp;C&amp;F</oddHeader>
    <oddFooter>&amp;C&amp;A&amp;RPage &amp;P</oddFooter>
  </headerFooter>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Lenovo User</cp:lastModifiedBy>
  <cp:lastPrinted>2011-09-28T02:24:04Z</cp:lastPrinted>
  <dcterms:created xsi:type="dcterms:W3CDTF">2001-10-05T18:25:02Z</dcterms:created>
  <dcterms:modified xsi:type="dcterms:W3CDTF">2011-09-28T02:24:14Z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