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PILs 1562 Calculation" sheetId="7" r:id="rId7"/>
    <sheet name="Checklist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'Checklist'!$A$1:$E$52</definedName>
    <definedName name="_xlnm.Print_Area" localSheetId="6">'PILs 1562 Calculation'!$A$1:$O$78</definedName>
    <definedName name="_xlnm.Print_Area" localSheetId="0">'REGINFO'!$A$1:$E$72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'TAXCALC'!$A$1:$L$210</definedName>
    <definedName name="_xlnm.Print_Area" localSheetId="2">'TAXREC'!$A$1:$F$315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<sst xmlns="http://schemas.openxmlformats.org/spreadsheetml/2006/main" count="1064" uniqueCount="640">
  <si>
    <t xml:space="preserve">         trued up in 2002, 2003 and for the period January 1- March 31, 2004.  Input the variance in the whole year reconcilation.</t>
  </si>
  <si>
    <t xml:space="preserve">         trued up in 2002, 2003 and for the period January 1- March 31, 2004.  Input the deferral variance in the whole year reconciliation. </t>
  </si>
  <si>
    <t xml:space="preserve">         2002 PILs tax proxy recovered by the volumetric rate by class as calculated on sheet 7 of the 2004 RAM.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</si>
  <si>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</si>
  <si>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 xml:space="preserve">Please identify if Method 1, 2 or 3 was used to account for the PILs proxy and recovery.  ANSWER:  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</si>
  <si>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</si>
  <si>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</si>
  <si>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</si>
  <si>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 by the PILs volumetric proxy rates by class (from the Q4, 2001and 2002 RAM worksheets) for 2002, 2003 and January 1 to March 31, 2004;   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</si>
  <si>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</si>
  <si>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</si>
  <si>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</si>
  <si>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</si>
  <si>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</si>
  <si>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</si>
  <si>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</si>
  <si>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</si>
  <si>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</si>
  <si>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</si>
  <si>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</si>
  <si>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</si>
  <si>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</si>
  <si>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</si>
  <si>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</si>
  <si>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</si>
  <si>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</si>
  <si>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</si>
  <si>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</si>
  <si>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</si>
  <si>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</si>
  <si>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</si>
  <si>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</si>
  <si>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</si>
  <si>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</si>
  <si>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</si>
  <si>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</si>
  <si>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</si>
  <si>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</si>
  <si>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</si>
  <si>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</si>
  <si>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</si>
  <si>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</si>
  <si>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</si>
  <si>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</si>
  <si>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</si>
  <si>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</si>
  <si>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</si>
  <si>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</si>
  <si>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</si>
  <si>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</si>
  <si>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</si>
  <si>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</si>
  <si>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</si>
  <si>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</si>
  <si>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</si>
  <si>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</si>
  <si>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</si>
  <si>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</si>
  <si>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</si>
  <si>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</si>
  <si>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Capital and other surplus excluding</t>
  </si>
  <si>
    <t xml:space="preserve">   appraisal surplus</t>
  </si>
  <si>
    <t>Bank loans</t>
  </si>
  <si>
    <t>Bankers acceptances</t>
  </si>
  <si>
    <t>Bonds and debentures payable</t>
  </si>
  <si>
    <t>Lien notes payable</t>
  </si>
  <si>
    <t>Deferred credits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</si>
  <si>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</si>
  <si>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</si>
  <si>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</si>
  <si>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</si>
  <si>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</si>
  <si>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</si>
  <si>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</si>
  <si>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</si>
  <si>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</si>
  <si>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</si>
  <si>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</si>
  <si>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</si>
  <si>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</si>
  <si>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</si>
  <si>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</si>
  <si>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</si>
  <si>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</si>
  <si>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</si>
  <si>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</si>
  <si>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</si>
  <si>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</si>
  <si>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</si>
  <si>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</si>
  <si>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</si>
  <si>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Contributed surplus</t>
  </si>
  <si>
    <t>Any other surpluses</t>
  </si>
  <si>
    <t>Deferred unrealized foreign exchange gains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</si>
  <si>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</si>
  <si>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</si>
  <si>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</si>
  <si>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</si>
  <si>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</si>
  <si>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</si>
  <si>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</si>
  <si>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</si>
  <si>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</si>
  <si>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</si>
  <si>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</si>
  <si>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</si>
  <si>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</si>
  <si>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</si>
  <si>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</si>
  <si>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</si>
  <si>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</si>
  <si>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</si>
  <si>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</si>
  <si>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</si>
  <si>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</si>
  <si>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</si>
  <si>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</si>
  <si>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</si>
  <si>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</si>
  <si>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</si>
  <si>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</si>
  <si>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</si>
  <si>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</si>
  <si>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</si>
  <si>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</si>
  <si>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</si>
  <si>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</si>
  <si>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</si>
  <si>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</si>
  <si>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</si>
  <si>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</si>
  <si>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</si>
  <si>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</si>
  <si>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</si>
  <si>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</si>
  <si>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</si>
  <si>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</si>
  <si>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</si>
  <si>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</si>
  <si>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</si>
  <si>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</si>
  <si>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</si>
  <si>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</si>
  <si>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</si>
  <si>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</si>
  <si>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</si>
  <si>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</si>
  <si>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</si>
  <si>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</si>
  <si>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</si>
  <si>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</si>
  <si>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</si>
  <si>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</si>
  <si>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</si>
  <si>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</si>
  <si>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</si>
  <si>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</si>
  <si>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</si>
  <si>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</si>
  <si>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</si>
  <si>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</si>
  <si>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</si>
  <si>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</si>
  <si>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</si>
  <si>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</si>
  <si>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</si>
  <si>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</si>
  <si>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</si>
  <si>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</si>
  <si>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</si>
  <si>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</si>
  <si>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</si>
  <si>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</si>
  <si>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</si>
  <si>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</si>
  <si>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</si>
  <si>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</si>
  <si>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</si>
  <si>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</si>
  <si>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</si>
  <si>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</si>
  <si>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</si>
  <si>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</si>
  <si>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</si>
  <si>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</si>
  <si>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</si>
  <si>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</si>
  <si>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</si>
  <si>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</si>
  <si>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</si>
  <si>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</si>
  <si>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</si>
  <si>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</si>
  <si>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</si>
  <si>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</si>
  <si>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</si>
  <si>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</si>
  <si>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</si>
  <si>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</si>
  <si>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</si>
  <si>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</si>
  <si>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</si>
  <si>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</si>
  <si>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</si>
  <si>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</si>
  <si>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</si>
  <si>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</si>
  <si>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</si>
  <si>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</si>
  <si>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</si>
  <si>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</si>
  <si>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</si>
  <si>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</si>
  <si>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</si>
  <si>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</si>
  <si>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</si>
  <si>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Note: Carry forward Wires-only Data to Tab "TAXCALC" Column K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</si>
  <si>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</si>
  <si>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</si>
  <si>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</si>
  <si>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</si>
  <si>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</si>
  <si>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</si>
  <si>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</si>
  <si>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</si>
  <si>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</si>
  <si>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</si>
  <si>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</si>
  <si>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</si>
  <si>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</si>
  <si>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</si>
  <si>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</si>
  <si>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</si>
  <si>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</si>
  <si>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</si>
  <si>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</si>
  <si>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</si>
  <si>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</si>
  <si>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</si>
  <si>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</si>
  <si>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</si>
  <si>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</si>
  <si>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</si>
  <si>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</si>
  <si>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</si>
  <si>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</si>
  <si>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</si>
  <si>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</si>
  <si>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</si>
  <si>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</si>
  <si>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</si>
  <si>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</si>
  <si>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</si>
  <si>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</si>
  <si>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</si>
  <si>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</si>
  <si>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</si>
  <si>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</si>
  <si>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</si>
  <si>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</si>
  <si>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</si>
  <si>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</si>
  <si>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</si>
  <si>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</si>
  <si>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</si>
  <si>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</si>
  <si>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</si>
  <si>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</si>
  <si>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</si>
  <si>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</si>
  <si>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</si>
  <si>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</si>
  <si>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</si>
  <si>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</si>
  <si>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</si>
  <si>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</si>
  <si>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</si>
  <si>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</si>
  <si>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</si>
  <si>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</si>
  <si>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</si>
  <si>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</si>
  <si>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</si>
  <si>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</si>
  <si>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</si>
  <si>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</si>
  <si>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</si>
  <si>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</si>
  <si>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</si>
  <si>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</si>
  <si>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</si>
  <si>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</si>
  <si>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</si>
  <si>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</si>
  <si>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</si>
  <si>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</si>
  <si>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</si>
  <si>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</si>
  <si>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</si>
  <si>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</si>
  <si>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</si>
  <si>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</si>
  <si>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</si>
  <si>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</si>
  <si>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</si>
  <si>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</si>
  <si>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</si>
  <si>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</si>
  <si>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</si>
  <si>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</si>
  <si>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</si>
  <si>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</si>
  <si>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</si>
  <si>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</si>
  <si>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</si>
  <si>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</si>
  <si>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</si>
  <si>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</si>
  <si>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</si>
  <si>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</si>
  <si>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</si>
  <si>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</si>
  <si>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</si>
  <si>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</si>
  <si>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</si>
  <si>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</si>
  <si>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</si>
  <si>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</si>
  <si>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</si>
  <si>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</si>
  <si>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</si>
  <si>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</si>
  <si>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</si>
  <si>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</si>
  <si>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</si>
  <si>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</si>
  <si>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</si>
  <si>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</si>
  <si>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</si>
  <si>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</si>
  <si>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</si>
  <si>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</si>
  <si>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</si>
  <si>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</si>
  <si>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</si>
  <si>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</si>
  <si>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</si>
  <si>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</si>
  <si>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</si>
  <si>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</si>
  <si>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</si>
  <si>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</si>
  <si>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</si>
  <si>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</si>
  <si>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</si>
  <si>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</si>
  <si>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</si>
  <si>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</si>
  <si>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</si>
  <si>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</si>
  <si>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</si>
  <si>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</si>
  <si>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</si>
  <si>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</si>
  <si>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</si>
  <si>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</si>
  <si>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</si>
  <si>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</si>
  <si>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</si>
  <si>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</si>
  <si>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</si>
  <si>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</si>
  <si>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</si>
  <si>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</si>
  <si>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</si>
  <si>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</si>
  <si>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</si>
  <si>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</si>
  <si>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</si>
  <si>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</si>
  <si>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</si>
  <si>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</si>
  <si>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</si>
  <si>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</si>
  <si>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</si>
  <si>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</si>
  <si>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   unless authorized by the Minister and the Board)</t>
  </si>
  <si>
    <t xml:space="preserve">           Total Regulatory Income</t>
  </si>
  <si>
    <t>Phase-in of interest - Year 1 (2001)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</si>
  <si>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</si>
  <si>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</si>
  <si>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</si>
  <si>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</si>
  <si>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</si>
  <si>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</si>
  <si>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</si>
  <si>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</si>
  <si>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</si>
  <si>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</si>
  <si>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</si>
  <si>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</si>
  <si>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>Exemptions, Deductions, or Thresholds</t>
  </si>
  <si>
    <t>Deduct:  Capital Deduction - maximum of $50,000,000</t>
  </si>
  <si>
    <t xml:space="preserve">                                                               RAM DECISION</t>
  </si>
  <si>
    <t>MAX $50MM</t>
  </si>
  <si>
    <t>Deemed interest amount in 100% of MARR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</si>
  <si>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</si>
  <si>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</si>
  <si>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</si>
  <si>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</si>
  <si>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</si>
  <si>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</si>
  <si>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</si>
  <si>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</si>
  <si>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</si>
  <si>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t xml:space="preserve"> Rate       </t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</si>
  <si>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</si>
  <si>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</si>
  <si>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</si>
  <si>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</si>
  <si>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>TAXABLE INCOME/ (LOSS)</t>
  </si>
  <si>
    <t xml:space="preserve">   Blended Income Tax Rate</t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</si>
  <si>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</si>
  <si>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</si>
  <si>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</si>
  <si>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</si>
  <si>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</si>
  <si>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</si>
  <si>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</si>
  <si>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</si>
  <si>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</si>
  <si>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</si>
  <si>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</si>
  <si>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</si>
  <si>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</si>
  <si>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</si>
  <si>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</si>
  <si>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</si>
  <si>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</si>
  <si>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</si>
  <si>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</si>
  <si>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RRR # 2.1.8</t>
  </si>
  <si>
    <t>REGINFO</t>
  </si>
  <si>
    <t xml:space="preserve">TAXCALC </t>
  </si>
  <si>
    <t>Tax Reserves</t>
  </si>
  <si>
    <t>Tax Rates</t>
  </si>
  <si>
    <t>TAXREC 2</t>
  </si>
  <si>
    <t>8)</t>
  </si>
  <si>
    <t>11)</t>
  </si>
  <si>
    <t>12)</t>
  </si>
  <si>
    <t>13)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</si>
  <si>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</si>
  <si>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</si>
  <si>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</si>
  <si>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</si>
  <si>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</si>
  <si>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</si>
  <si>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</si>
  <si>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</si>
  <si>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</si>
  <si>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</si>
  <si>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</si>
  <si>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</si>
  <si>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</si>
  <si>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</si>
  <si>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</si>
  <si>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</si>
  <si>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</si>
  <si>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</si>
  <si>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</si>
  <si>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</si>
  <si>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</si>
  <si>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</si>
  <si>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Ending balance: # 1562 </t>
  </si>
  <si>
    <t>Bad debts</t>
  </si>
  <si>
    <t>Deferred Payments in lieu of Taxes</t>
  </si>
  <si>
    <t>Reporting period:   2005</t>
  </si>
  <si>
    <t>12-31-2005</t>
  </si>
  <si>
    <t>Phase-in of interest - Years 2, 3 &amp; 4  (2002, 2003,2004)</t>
  </si>
  <si>
    <t>Actual 2005</t>
  </si>
  <si>
    <t>Version 2005.1</t>
  </si>
  <si>
    <t>Expected Rates and Exemptions for 2005</t>
  </si>
  <si>
    <t>Expected Rates 2005</t>
  </si>
  <si>
    <t>Input Information from Utility's Actual 2005 Tax Returns</t>
  </si>
  <si>
    <t>MAX   $7.5MM</t>
  </si>
  <si>
    <t>Rates Used in 2005 RAM PILs Applications</t>
  </si>
  <si>
    <t>MAX $7.5MM</t>
  </si>
  <si>
    <t>RAM 2005</t>
  </si>
  <si>
    <t>**Exemption amounts must agree with the Board-approved 2005 RAM PILs filing</t>
  </si>
  <si>
    <t xml:space="preserve">   Amount allowed in 2003 and 2004 (will be zero due to Bill 210;</t>
  </si>
  <si>
    <t xml:space="preserve">   Amount allowed in Year 1 - 2001 </t>
  </si>
  <si>
    <t xml:space="preserve">   Amount allowed in Year 2 - 2002</t>
  </si>
  <si>
    <t xml:space="preserve">  Other adjustments approved by the Board</t>
  </si>
  <si>
    <t>Phase-in of interest - Year 3  (2005) and forward</t>
  </si>
  <si>
    <t xml:space="preserve">   ((D43+D47)/D41)*D62</t>
  </si>
  <si>
    <t xml:space="preserve">   ((D43+D47+D48)/D41)*D62  (Due to Bill 210)</t>
  </si>
  <si>
    <t>Y</t>
  </si>
  <si>
    <t>N</t>
  </si>
  <si>
    <r>
      <t xml:space="preserve">   Amount allowed in Year 3 - 2005; </t>
    </r>
    <r>
      <rPr>
        <sz val="10"/>
        <color indexed="10"/>
        <rFont val="Arial"/>
        <family val="2"/>
      </rPr>
      <t>no gross-up</t>
    </r>
    <r>
      <rPr>
        <sz val="10"/>
        <rFont val="Arial"/>
        <family val="0"/>
      </rPr>
      <t>; (with approved CDM plan)</t>
    </r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</si>
  <si>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</si>
  <si>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>Regulatory Net Income  REGINFO E54</t>
  </si>
  <si>
    <t>Divide days by 365</t>
  </si>
  <si>
    <t>Deduction from taxable capital up to maximum of $7,5000,000</t>
  </si>
  <si>
    <t xml:space="preserve">Rate 0.225% in 2002 and 2003; 0.200% in 2004; 0.175% in 2005    </t>
  </si>
  <si>
    <t xml:space="preserve">          plus, (b) customer counts by class in the same period multiplied by the PILs fixed charge rate components.</t>
  </si>
  <si>
    <t xml:space="preserve">          In 2004, use the Board-approved 2002 PILs proxy, recovered on a volumetric basis by class as calculated by the 2004 RAM, sheet 7,</t>
  </si>
  <si>
    <t xml:space="preserve">          for the period April 1 to December 31, 2004, and add this total to the results from the sentence above for January 1 to March 31, 2004.</t>
  </si>
  <si>
    <t xml:space="preserve">          to calculate the recovery for the period January 1 to March 31, 2005.</t>
  </si>
  <si>
    <t xml:space="preserve">     (ii) Collections should equal: (a) the actual volumes/ load (kWhs, kWs, Kva) for the period (including net unbilled at period end), multiplied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</si>
  <si>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</si>
  <si>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</si>
  <si>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>Regulatory Assets - to balance to tax return</t>
  </si>
  <si>
    <t>Regulatory Assets changes</t>
  </si>
  <si>
    <t>True-up Variance Adjustment  Q4, 2001     (2)</t>
  </si>
  <si>
    <t>Adjustments to reported prior years' variances    (6)</t>
  </si>
  <si>
    <t>Board-approved PILs tax proxy from Decisions    (1)</t>
  </si>
  <si>
    <t xml:space="preserve">(1)  (i)  From the Board's Decision - see Inclusion in Rates, Part III of the TAXCALC spreadsheet for Q4 2001 and 2002.  </t>
  </si>
  <si>
    <t>Deferral Account Variance Adjustment Q4, 2001      (4)</t>
  </si>
  <si>
    <t>True-up Variance Adjustment                    (3)</t>
  </si>
  <si>
    <t>Deferral Account Variance Adjustment                    (5)</t>
  </si>
  <si>
    <t>(6) The correcting entry should be shown in the year the entry was made.  The true-up of the carrying charges will have to be reviewed.</t>
  </si>
  <si>
    <t xml:space="preserve">         The true-up will compare to the 2002 proxy for 2002, 2003, 2004 and January 1 to March 31, 2005.</t>
  </si>
  <si>
    <t>Rate (as a result of legislative changes) tab 'Tax Rates' cell C55</t>
  </si>
  <si>
    <t>Interest phased-in  (Cell C38)</t>
  </si>
  <si>
    <t xml:space="preserve">Interest deducted on MoF filing  (Cell K38+K43) </t>
  </si>
  <si>
    <t>Total deemed interest  (REGINFO CELL D62)</t>
  </si>
  <si>
    <t>For explanation of Account 1562 please refer to Accounting Procedures Handbook for Electric Distribution Utilities and FAQ April 2003.</t>
  </si>
  <si>
    <t xml:space="preserve">     (v)  Column K - The 2002 PILs tax proxy applies to January 1 to March 31, 2005, and the new 2005 PILs tax proxy from April 1 to December 31, 2005.</t>
  </si>
  <si>
    <t>Carrying charges           (7)</t>
  </si>
  <si>
    <t>PILs collected from customers -    Proxy       (8)</t>
  </si>
  <si>
    <t xml:space="preserve">        Ontario Capital Tax (as calculated)</t>
  </si>
  <si>
    <t xml:space="preserve">  CDM 2005 incremental OM&amp;A expenses per 2005 PILs model</t>
  </si>
  <si>
    <t>Income Tax Rate from 2005 Utility's tax return</t>
  </si>
  <si>
    <t>Income Tax Rate used for gross-up</t>
  </si>
  <si>
    <t>Actual Income Tax Rate used for gross-up</t>
  </si>
  <si>
    <t>Less: Federal LCT reported in the initial estimate column  (Cell C85)</t>
  </si>
  <si>
    <t xml:space="preserve">  SEC 20(1) (e)</t>
  </si>
  <si>
    <t xml:space="preserve">  Capital gains adjustment</t>
  </si>
  <si>
    <t xml:space="preserve">  Equipment</t>
  </si>
  <si>
    <t>Capital tax accrued in income statement</t>
  </si>
  <si>
    <t>Capital tax per CT23</t>
  </si>
  <si>
    <t>APPLICABLE TAX RATES FROM ACTUAL TAX RETURNS</t>
  </si>
  <si>
    <t>Input in C57</t>
  </si>
  <si>
    <t>Input in C58</t>
  </si>
  <si>
    <t>Input in C54</t>
  </si>
  <si>
    <t>Input in C55</t>
  </si>
  <si>
    <t>Input in C56</t>
  </si>
  <si>
    <t>Input in C36</t>
  </si>
  <si>
    <t>Input in C37</t>
  </si>
  <si>
    <t>Input in C38</t>
  </si>
  <si>
    <t>Input in C39</t>
  </si>
  <si>
    <t>Input in C40</t>
  </si>
  <si>
    <t>Input in C18</t>
  </si>
  <si>
    <t>Input in C19</t>
  </si>
  <si>
    <t>Input in C20</t>
  </si>
  <si>
    <t>Input in C21</t>
  </si>
  <si>
    <t>Input in C22</t>
  </si>
  <si>
    <t xml:space="preserve">          In 2006, use the Board-approved 2005 PILs proxy, recovered on a volumetric basis by class as calculated by the 2005 RAM, sheet 4,</t>
  </si>
  <si>
    <t xml:space="preserve">          for the period January 1 to April 30, 2006.</t>
  </si>
  <si>
    <t xml:space="preserve">     CDM Expenses for 2005</t>
  </si>
  <si>
    <t xml:space="preserve">     Amortization  (links to C61 below) </t>
  </si>
  <si>
    <t>Colour Code</t>
  </si>
  <si>
    <t>Input Cell</t>
  </si>
  <si>
    <t>Formula in Cell</t>
  </si>
  <si>
    <t xml:space="preserve">Number </t>
  </si>
  <si>
    <t>of Copies</t>
  </si>
  <si>
    <t>Notices of Assessments, Re-assessments, Statement of Adjustments for:</t>
  </si>
  <si>
    <t>PILs 1562 Calculation</t>
  </si>
  <si>
    <t>Income Tax Rate used for gross- up</t>
  </si>
  <si>
    <t>Please file 2 sets of copies of the SIMPIL worksheets and 1 CD or disk</t>
  </si>
  <si>
    <t>SIMPIL RRR FILING</t>
  </si>
  <si>
    <t>Please identify the % used to allocate the OCT and LCT exemptions in Cells C68 &amp; C77 in the TAXCALC spreadsheet.</t>
  </si>
  <si>
    <r>
      <t xml:space="preserve">Gross Part I.3 Tax    LCT            </t>
    </r>
    <r>
      <rPr>
        <b/>
        <sz val="10"/>
        <color indexed="10"/>
        <rFont val="Arial"/>
        <family val="2"/>
      </rPr>
      <t>(Must agree with tax return)</t>
    </r>
  </si>
  <si>
    <r>
      <t xml:space="preserve">                                                         </t>
    </r>
    <r>
      <rPr>
        <b/>
        <sz val="10"/>
        <color indexed="10"/>
        <rFont val="Arial"/>
        <family val="2"/>
      </rPr>
      <t>(Input in tab Tax Rates)</t>
    </r>
  </si>
  <si>
    <r>
      <t xml:space="preserve">  Non-capital loss applied                                  </t>
    </r>
    <r>
      <rPr>
        <sz val="10"/>
        <color indexed="10"/>
        <rFont val="Arial"/>
        <family val="2"/>
      </rPr>
      <t>positive number</t>
    </r>
  </si>
  <si>
    <r>
      <t xml:space="preserve">Less: Miscellaneous tax credits      </t>
    </r>
    <r>
      <rPr>
        <sz val="10"/>
        <color indexed="10"/>
        <rFont val="Arial"/>
        <family val="2"/>
      </rPr>
      <t>(Must agree with tax returns)</t>
    </r>
  </si>
  <si>
    <t>* Include copies of the actual tax returns - Ontario CT23, federal T2. Please see the Checklist.</t>
  </si>
  <si>
    <t xml:space="preserve">         The 2005 PILs tax proxy is being recovered on a volumetric basis by class. Input negative number for collections.</t>
  </si>
  <si>
    <t>Name of person to contact about this SIMPIL filing: ====================&gt;</t>
  </si>
  <si>
    <t>Contact Telephone Number: ======================================&gt;</t>
  </si>
  <si>
    <t>Contact Email Address: ==========================================&gt;</t>
  </si>
  <si>
    <r>
      <t xml:space="preserve">Federal T2 tax return and schedules </t>
    </r>
    <r>
      <rPr>
        <b/>
        <sz val="10"/>
        <color indexed="10"/>
        <rFont val="Arial"/>
        <family val="2"/>
      </rPr>
      <t>(with dollar amounts)</t>
    </r>
    <r>
      <rPr>
        <b/>
        <sz val="10"/>
        <rFont val="Arial"/>
        <family val="2"/>
      </rPr>
      <t xml:space="preserve">                                2005</t>
    </r>
  </si>
  <si>
    <t>Ontario CT23 tax return and schedules                                                               2005</t>
  </si>
  <si>
    <t>Financial statements used to prepare tax returns if different from the audited financial statements submitted to the Board in April 2006 (See 12, 13)</t>
  </si>
  <si>
    <t xml:space="preserve">NOTE:  These are the tax returns that were sent to the Ontario Minstry of Finance, </t>
  </si>
  <si>
    <t xml:space="preserve">                not the NIL tax returns sent to the Canada Revenue Agency.</t>
  </si>
  <si>
    <t xml:space="preserve">     (vi) Column M - In 2006, the prorated 2005 PILs tax proxy will used for the period from January 1, 2006 to April 30, 2006.</t>
  </si>
  <si>
    <t xml:space="preserve">           Please insert the Q4, 2001 proxy in column C even though it was approved effective March 1, 2002.  Per APH entries began October 1, 2001.</t>
  </si>
  <si>
    <t xml:space="preserve">     (ii)  If the Board approved different amounts, input the Board-approved amounts in cells C12 and E12.</t>
  </si>
  <si>
    <t xml:space="preserve">(2) From the Ministry of Finance Variance Column, under Future True-ups, Part IV a, cell I133, of the TAXCALC spreadsheet. The Q4, 2001 proxy has to be </t>
  </si>
  <si>
    <t xml:space="preserve">(3) From the Ministry of Finance Variance Column, under Future True-ups, Part IV a, cell I133, of the TAXCALC spreadsheet.  </t>
  </si>
  <si>
    <t>(4) From the Ministry of Finance Variance Column, under Future True-ups, Part IV b, cell I182, of the TAXCALC spreadsheet.  The Q4, 2001 proxy has to be</t>
  </si>
  <si>
    <t>(5) From the Ministry of Finance Variance Column, under Future True-ups, Part IV a, cell I182, of the TAXCALC spreadsheet.</t>
  </si>
  <si>
    <r>
      <t xml:space="preserve">Interest Adjustment for tax purposes   </t>
    </r>
    <r>
      <rPr>
        <b/>
        <sz val="10"/>
        <rFont val="Arial"/>
        <family val="2"/>
      </rPr>
      <t>(See Below - cell I207)</t>
    </r>
  </si>
  <si>
    <t>Interest Adjustment for Tax Purposes  (carry forward to Cell I113)</t>
  </si>
  <si>
    <t>Less: Regulatory Income Tax reported in the Initial Estimate Column (Cell C61)</t>
  </si>
  <si>
    <t>Less: Ontario Capital Tax reported in the initial estimate column (Cell C73)</t>
  </si>
  <si>
    <t>TRUE-UP VARIANCE (from cell I133)</t>
  </si>
  <si>
    <t>(Normally in July of the year following the reporting period)</t>
  </si>
  <si>
    <t>Formula</t>
  </si>
  <si>
    <r>
      <t xml:space="preserve">  Net capital loss applied                                  </t>
    </r>
    <r>
      <rPr>
        <sz val="10"/>
        <color indexed="10"/>
        <rFont val="Arial"/>
        <family val="2"/>
      </rPr>
      <t xml:space="preserve"> positive number</t>
    </r>
  </si>
  <si>
    <t>(The Net Income (loss) in the MoF column should equal to the net income (loss) per financial statements on Schedule 1 of the tax return. )</t>
  </si>
  <si>
    <t>S.12(1)(x)</t>
  </si>
  <si>
    <t>s.13(7.4)</t>
  </si>
  <si>
    <t>Filing Requirements related to the SIMPIL model</t>
  </si>
  <si>
    <t>Section B: Financial statement data:</t>
  </si>
  <si>
    <t xml:space="preserve">Federal large corporations tax </t>
  </si>
  <si>
    <t>Section E: Detailed calculation of Large Corporations Tax</t>
  </si>
  <si>
    <t xml:space="preserve">LARGE CORPORATIONS TAX </t>
  </si>
  <si>
    <t>Electronic Excel format of the SIMPIL worksheets on disk or CD</t>
  </si>
  <si>
    <t>(positive numbers)</t>
  </si>
  <si>
    <t>Utility Name:  Centre Wellington Hydro Ltd</t>
  </si>
  <si>
    <t>Non-deductible meals and entertainment expense-(Sch1 L 121)</t>
  </si>
  <si>
    <t>Regulatory adjustments-(Sch 1 Line 601)</t>
  </si>
  <si>
    <t>Regulatory Assets changes-(Sch 1 Line 600)</t>
  </si>
  <si>
    <t>Capital cost allowance-(Sch 1 Line 403)</t>
  </si>
  <si>
    <t>Recapture of CCA (Sch 1 Line 104 less cell C61)</t>
  </si>
  <si>
    <t>Employee benefit plans-accrued, not paid (Sch1 Line292)</t>
  </si>
  <si>
    <r>
      <t>Net Ontario Income Tax-(CT23 Pg17 L320)</t>
    </r>
    <r>
      <rPr>
        <sz val="8"/>
        <color indexed="10"/>
        <rFont val="Arial"/>
        <family val="2"/>
      </rPr>
      <t>(Must agree with tax return)</t>
    </r>
    <r>
      <rPr>
        <sz val="8"/>
        <rFont val="Arial"/>
        <family val="2"/>
      </rPr>
      <t xml:space="preserve"> </t>
    </r>
  </si>
  <si>
    <r>
      <t xml:space="preserve">Net Federal Income Tax- (T2 pg 8 of 8)      </t>
    </r>
    <r>
      <rPr>
        <sz val="8"/>
        <color indexed="10"/>
        <rFont val="Arial"/>
        <family val="2"/>
      </rPr>
      <t>(Must agree with tax return)</t>
    </r>
  </si>
  <si>
    <t>Paid-up capital stock-(CT23 Pg 9 L350)</t>
  </si>
  <si>
    <t>Retained earnings (if deficit, deduct) (CT23 Pg9 L351)</t>
  </si>
  <si>
    <t>Loans and advances (CT23 Pg9 L353)</t>
  </si>
  <si>
    <t>Other reserves not allowed as deductions (Ct23 Pg9 L361)</t>
  </si>
  <si>
    <t>Total assets per balance sheet (CT23 Pg10 L420)</t>
  </si>
  <si>
    <r>
      <t xml:space="preserve">        Ontario Capital Tax-</t>
    </r>
    <r>
      <rPr>
        <b/>
        <sz val="8"/>
        <rFont val="Arial"/>
        <family val="2"/>
      </rPr>
      <t>(CT23 Pg12 L550)</t>
    </r>
    <r>
      <rPr>
        <b/>
        <sz val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(Must agree with CT23 return)</t>
    </r>
  </si>
  <si>
    <t>Charitable donations-(T2 Sch1 L112)</t>
  </si>
  <si>
    <t>Settlement Variance-(T2 Sch1 L390)</t>
  </si>
  <si>
    <t>Ontario Capital Tax per tax return-(T2 Sch1 L391)</t>
  </si>
  <si>
    <t>Regulatory Assets recovered-(T2 Sch1 L392)</t>
  </si>
  <si>
    <t xml:space="preserve">Charitable donations - tax basis </t>
  </si>
  <si>
    <r>
      <t xml:space="preserve">  Taxable Dividends Deductible </t>
    </r>
    <r>
      <rPr>
        <sz val="8"/>
        <rFont val="Arial"/>
        <family val="2"/>
      </rPr>
      <t>(Sch 3 Line 240 or T2 Sch 7 Line 520)</t>
    </r>
  </si>
  <si>
    <r>
      <t>Net Ontario Income Tax Rate -</t>
    </r>
    <r>
      <rPr>
        <sz val="8"/>
        <rFont val="Arial"/>
        <family val="2"/>
      </rPr>
      <t xml:space="preserve">(CT23 Pg5 L78) </t>
    </r>
    <r>
      <rPr>
        <sz val="8"/>
        <color indexed="10"/>
        <rFont val="Arial"/>
        <family val="2"/>
      </rPr>
      <t>(Must agree with tax status)</t>
    </r>
    <r>
      <rPr>
        <sz val="8"/>
        <rFont val="Arial"/>
        <family val="2"/>
      </rPr>
      <t xml:space="preserve"> </t>
    </r>
  </si>
  <si>
    <r>
      <t>Net Federal Income Tax Rate-</t>
    </r>
    <r>
      <rPr>
        <sz val="8"/>
        <rFont val="Arial"/>
        <family val="2"/>
      </rPr>
      <t xml:space="preserve">(T2 Pg7 L550) </t>
    </r>
    <r>
      <rPr>
        <sz val="8"/>
        <color indexed="10"/>
        <rFont val="Arial"/>
        <family val="2"/>
      </rPr>
      <t>(Must agree with tax status)</t>
    </r>
  </si>
  <si>
    <r>
      <t>Eligible loans and advances to related corporations-</t>
    </r>
    <r>
      <rPr>
        <sz val="8"/>
        <rFont val="Arial"/>
        <family val="2"/>
      </rPr>
      <t>(CT23 Pg9 L405)</t>
    </r>
  </si>
  <si>
    <t>Capital stock-(T2 Sch33 L103)</t>
  </si>
  <si>
    <t>Retained earnings-(T2 Sch33 L104)</t>
  </si>
  <si>
    <t>All loans and advances to the corporation-(T2 Sch33 L108)</t>
  </si>
  <si>
    <t>Shares in another corporation-(T2 Sch33 L401)</t>
  </si>
  <si>
    <r>
      <t>Less: Federal Surtax =</t>
    </r>
    <r>
      <rPr>
        <sz val="8"/>
        <rFont val="Arial"/>
        <family val="2"/>
      </rPr>
      <t>(T2 Sch33 L821)</t>
    </r>
    <r>
      <rPr>
        <sz val="10"/>
        <rFont val="Arial"/>
        <family val="0"/>
      </rPr>
      <t xml:space="preserve">  </t>
    </r>
    <r>
      <rPr>
        <b/>
        <sz val="8"/>
        <color indexed="10"/>
        <rFont val="Arial"/>
        <family val="2"/>
      </rPr>
      <t>Actual Surtax from tax return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</si>
</sst>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[$-1009]d\-mmm\-yy;@"/>
    <numFmt numFmtId="212" formatCode="mmm\-yyyy"/>
  </numFmts>
  <fonts count="5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4" applyNumberFormat="0" applyFill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0" fontId="51" fillId="27" borderId="6" applyNumberFormat="0" applyAlignment="0" applyProtection="0"/>
    <xf numFmtId="1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3" fillId="0" borderId="0" applyNumberFormat="0" applyFill="0" applyBorder="0" applyAlignment="0" applyProtection="0"/>
  </cellStyleXfs>
  <cellXfs count="55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37" fontId="0" fillId="0" borderId="23" xfId="0" applyNumberFormat="1" applyBorder="1" applyAlignment="1">
      <alignment horizontal="center" vertical="top"/>
    </xf>
    <xf numFmtId="37" fontId="0" fillId="0" borderId="23" xfId="0" applyNumberFormat="1" applyFill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5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5" xfId="0" applyFont="1" applyBorder="1" applyAlignment="1" applyProtection="1">
      <alignment vertical="top"/>
      <protection/>
    </xf>
    <xf numFmtId="0" fontId="15" fillId="0" borderId="25" xfId="0" applyFont="1" applyBorder="1" applyAlignment="1" applyProtection="1">
      <alignment vertical="top"/>
      <protection/>
    </xf>
    <xf numFmtId="0" fontId="6" fillId="0" borderId="25" xfId="0" applyFont="1" applyBorder="1" applyAlignment="1" applyProtection="1">
      <alignment vertical="top"/>
      <protection/>
    </xf>
    <xf numFmtId="0" fontId="0" fillId="0" borderId="25" xfId="0" applyFont="1" applyFill="1" applyBorder="1" applyAlignment="1" applyProtection="1">
      <alignment vertical="top"/>
      <protection/>
    </xf>
    <xf numFmtId="0" fontId="7" fillId="0" borderId="25" xfId="0" applyFont="1" applyBorder="1" applyAlignment="1" applyProtection="1">
      <alignment vertical="top"/>
      <protection/>
    </xf>
    <xf numFmtId="0" fontId="0" fillId="0" borderId="25" xfId="0" applyFill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5" fillId="0" borderId="25" xfId="0" applyFont="1" applyBorder="1" applyAlignment="1" applyProtection="1">
      <alignment vertical="top"/>
      <protection/>
    </xf>
    <xf numFmtId="0" fontId="4" fillId="0" borderId="25" xfId="0" applyFont="1" applyBorder="1" applyAlignment="1" applyProtection="1">
      <alignment vertical="top"/>
      <protection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5" xfId="0" applyFont="1" applyBorder="1" applyAlignment="1" applyProtection="1">
      <alignment vertical="top" wrapText="1"/>
      <protection/>
    </xf>
    <xf numFmtId="0" fontId="7" fillId="0" borderId="25" xfId="0" applyFont="1" applyBorder="1" applyAlignment="1" applyProtection="1" quotePrefix="1">
      <alignment vertical="top"/>
      <protection/>
    </xf>
    <xf numFmtId="0" fontId="3" fillId="0" borderId="25" xfId="0" applyFont="1" applyFill="1" applyBorder="1" applyAlignment="1" applyProtection="1">
      <alignment vertical="top"/>
      <protection/>
    </xf>
    <xf numFmtId="0" fontId="16" fillId="0" borderId="25" xfId="0" applyFont="1" applyFill="1" applyBorder="1" applyAlignment="1" applyProtection="1">
      <alignment vertical="top" wrapText="1"/>
      <protection/>
    </xf>
    <xf numFmtId="0" fontId="3" fillId="0" borderId="25" xfId="0" applyFont="1" applyFill="1" applyBorder="1" applyAlignment="1" applyProtection="1">
      <alignment vertical="top" wrapText="1"/>
      <protection/>
    </xf>
    <xf numFmtId="0" fontId="0" fillId="0" borderId="25" xfId="0" applyFont="1" applyFill="1" applyBorder="1" applyAlignment="1" applyProtection="1">
      <alignment vertical="top" wrapText="1"/>
      <protection/>
    </xf>
    <xf numFmtId="0" fontId="0" fillId="0" borderId="25" xfId="0" applyFont="1" applyFill="1" applyBorder="1" applyAlignment="1" applyProtection="1">
      <alignment vertical="top"/>
      <protection locked="0"/>
    </xf>
    <xf numFmtId="0" fontId="16" fillId="0" borderId="25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8" xfId="0" applyBorder="1" applyAlignment="1">
      <alignment vertical="top"/>
    </xf>
    <xf numFmtId="0" fontId="6" fillId="0" borderId="25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3" fillId="0" borderId="33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5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5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7" xfId="0" applyFill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41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5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6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5" fontId="0" fillId="36" borderId="14" xfId="0" applyNumberFormat="1" applyFill="1" applyBorder="1" applyAlignment="1" applyProtection="1">
      <alignment vertical="top"/>
      <protection/>
    </xf>
    <xf numFmtId="175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7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5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3" fontId="3" fillId="0" borderId="48" xfId="42" applyNumberFormat="1" applyFont="1" applyFill="1" applyBorder="1" applyAlignment="1" applyProtection="1">
      <alignment horizontal="center" vertical="top"/>
      <protection locked="0"/>
    </xf>
    <xf numFmtId="4" fontId="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3" fontId="3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9" xfId="42" applyNumberFormat="1" applyFont="1" applyFill="1" applyBorder="1" applyAlignment="1" applyProtection="1">
      <alignment horizontal="center" vertical="top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10" fontId="0" fillId="36" borderId="24" xfId="0" applyNumberFormat="1" applyFill="1" applyBorder="1" applyAlignment="1" applyProtection="1">
      <alignment horizontal="center" vertical="top"/>
      <protection locked="0"/>
    </xf>
    <xf numFmtId="10" fontId="0" fillId="36" borderId="53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9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2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3" fillId="0" borderId="54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24" xfId="0" applyNumberFormat="1" applyFill="1" applyBorder="1" applyAlignment="1" applyProtection="1">
      <alignment horizontal="center" vertical="top"/>
      <protection locked="0"/>
    </xf>
    <xf numFmtId="10" fontId="0" fillId="40" borderId="53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2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7" xfId="0" applyNumberFormat="1" applyFill="1" applyBorder="1" applyAlignment="1" applyProtection="1">
      <alignment horizontal="center" vertical="center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2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3" fontId="3" fillId="41" borderId="54" xfId="42" applyNumberFormat="1" applyFont="1" applyFill="1" applyBorder="1" applyAlignment="1" applyProtection="1">
      <alignment horizontal="center" vertical="top"/>
      <protection locked="0"/>
    </xf>
    <xf numFmtId="0" fontId="9" fillId="41" borderId="52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2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2" xfId="0" applyFont="1" applyFill="1" applyBorder="1" applyAlignment="1" applyProtection="1">
      <alignment horizontal="center" vertical="center" wrapText="1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5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5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top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0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5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3" fillId="0" borderId="41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0" fillId="40" borderId="0" xfId="0" applyFill="1" applyAlignment="1">
      <alignment vertical="top" wrapText="1"/>
    </xf>
    <xf numFmtId="3" fontId="0" fillId="41" borderId="18" xfId="0" applyNumberFormat="1" applyFill="1" applyBorder="1" applyAlignment="1">
      <alignment vertical="top"/>
    </xf>
    <xf numFmtId="0" fontId="0" fillId="35" borderId="0" xfId="0" applyFill="1" applyAlignment="1">
      <alignment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0" borderId="57" xfId="0" applyBorder="1" applyAlignment="1">
      <alignment horizontal="center" vertical="top"/>
    </xf>
    <xf numFmtId="0" fontId="0" fillId="0" borderId="57" xfId="0" applyBorder="1" applyAlignment="1">
      <alignment vertical="top"/>
    </xf>
    <xf numFmtId="37" fontId="0" fillId="36" borderId="14" xfId="0" applyNumberForma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3" fillId="34" borderId="0" xfId="0" applyFon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8" fillId="0" borderId="25" xfId="0" applyFont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0" fillId="40" borderId="0" xfId="0" applyFill="1" applyAlignment="1">
      <alignment vertical="top"/>
    </xf>
    <xf numFmtId="0" fontId="19" fillId="0" borderId="0" xfId="0" applyFont="1" applyAlignment="1">
      <alignment horizontal="left" vertical="top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58" xfId="0" applyFont="1" applyBorder="1" applyAlignment="1" applyProtection="1">
      <alignment vertical="top"/>
      <protection locked="0"/>
    </xf>
    <xf numFmtId="0" fontId="19" fillId="38" borderId="0" xfId="0" applyFont="1" applyFill="1" applyAlignment="1">
      <alignment vertical="top"/>
    </xf>
    <xf numFmtId="0" fontId="19" fillId="38" borderId="0" xfId="0" applyFont="1" applyFill="1" applyAlignment="1" applyProtection="1">
      <alignment vertical="top"/>
      <protection locked="0"/>
    </xf>
    <xf numFmtId="0" fontId="10" fillId="40" borderId="0" xfId="57" applyFill="1" applyAlignment="1" applyProtection="1">
      <alignment vertical="top"/>
      <protection locked="0"/>
    </xf>
    <xf numFmtId="0" fontId="0" fillId="40" borderId="0" xfId="0" applyFill="1" applyAlignment="1" applyProtection="1">
      <alignment horizontal="center" vertical="top"/>
      <protection locked="0"/>
    </xf>
    <xf numFmtId="0" fontId="0" fillId="40" borderId="0" xfId="0" applyFill="1" applyAlignment="1" applyProtection="1">
      <alignment vertical="top"/>
      <protection locked="0"/>
    </xf>
    <xf numFmtId="37" fontId="0" fillId="0" borderId="14" xfId="0" applyNumberFormat="1" applyFill="1" applyBorder="1" applyAlignment="1" applyProtection="1">
      <alignment/>
      <protection locked="0"/>
    </xf>
    <xf numFmtId="0" fontId="3" fillId="40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top"/>
      <protection locked="0"/>
    </xf>
    <xf numFmtId="0" fontId="3" fillId="37" borderId="0" xfId="0" applyFont="1" applyFill="1" applyAlignment="1">
      <alignment vertical="top"/>
    </xf>
    <xf numFmtId="0" fontId="3" fillId="36" borderId="11" xfId="0" applyFont="1" applyFill="1" applyBorder="1" applyAlignment="1" applyProtection="1">
      <alignment vertical="top"/>
      <protection locked="0"/>
    </xf>
    <xf numFmtId="0" fontId="18" fillId="0" borderId="0" xfId="0" applyFont="1" applyAlignment="1">
      <alignment horizontal="center" vertical="top"/>
    </xf>
    <xf numFmtId="211" fontId="0" fillId="41" borderId="14" xfId="0" applyNumberFormat="1" applyFill="1" applyBorder="1" applyAlignment="1">
      <alignment horizontal="righ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8" fillId="36" borderId="45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10" fontId="8" fillId="36" borderId="45" xfId="0" applyNumberFormat="1" applyFont="1" applyFill="1" applyBorder="1" applyAlignment="1" applyProtection="1">
      <alignment horizontal="center" vertical="center"/>
      <protection locked="0"/>
    </xf>
    <xf numFmtId="0" fontId="8" fillId="36" borderId="46" xfId="0" applyFont="1" applyFill="1" applyBorder="1" applyAlignment="1">
      <alignment horizontal="center" vertical="center"/>
    </xf>
    <xf numFmtId="0" fontId="8" fillId="36" borderId="9" xfId="0" applyFont="1" applyFill="1" applyBorder="1" applyAlignment="1">
      <alignment horizontal="center" vertical="center"/>
    </xf>
    <xf numFmtId="0" fontId="19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" fillId="36" borderId="45" xfId="0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Alignment="1">
      <alignment vertical="top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36" borderId="0" xfId="0" applyFont="1" applyFill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40" borderId="0" xfId="0" applyFill="1" applyAlignment="1">
      <alignment vertical="top"/>
    </xf>
    <xf numFmtId="0" fontId="3" fillId="40" borderId="0" xfId="0" applyFont="1" applyFill="1" applyAlignment="1" applyProtection="1">
      <alignment vertical="top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570</v>
      </c>
      <c r="C1" s="8"/>
      <c r="E1" s="2" t="s">
        <v>480</v>
      </c>
      <c r="H1" s="8"/>
    </row>
    <row r="2" spans="1:8" ht="12.75">
      <c r="A2" s="2" t="s">
        <v>124</v>
      </c>
      <c r="B2" s="8"/>
      <c r="C2" s="8"/>
      <c r="E2" s="27" t="s">
        <v>441</v>
      </c>
      <c r="H2" s="8"/>
    </row>
    <row r="3" spans="1:8" ht="12.75">
      <c r="A3" s="526" t="s">
        <v>611</v>
      </c>
      <c r="C3" s="8"/>
      <c r="D3" s="512" t="s">
        <v>561</v>
      </c>
      <c r="E3" s="8"/>
      <c r="F3" s="8"/>
      <c r="G3" s="8"/>
      <c r="H3" s="8"/>
    </row>
    <row r="4" spans="1:8" ht="12.75">
      <c r="A4" s="526" t="s">
        <v>476</v>
      </c>
      <c r="C4" s="8"/>
      <c r="D4" s="513" t="s">
        <v>562</v>
      </c>
      <c r="E4" s="514"/>
      <c r="H4" s="8"/>
    </row>
    <row r="5" spans="1:8" ht="12.75">
      <c r="A5" s="58"/>
      <c r="C5" s="8"/>
      <c r="D5" s="515" t="s">
        <v>563</v>
      </c>
      <c r="E5" s="448"/>
      <c r="H5" s="8"/>
    </row>
    <row r="6" spans="1:8" ht="12.75">
      <c r="A6" s="2" t="s">
        <v>192</v>
      </c>
      <c r="B6" s="438">
        <v>365</v>
      </c>
      <c r="C6" s="8" t="s">
        <v>193</v>
      </c>
      <c r="D6" s="27"/>
      <c r="H6" s="8"/>
    </row>
    <row r="7" spans="1:8" ht="13.5" thickBot="1">
      <c r="A7" s="58" t="s">
        <v>351</v>
      </c>
      <c r="B7" s="281">
        <v>365</v>
      </c>
      <c r="C7" s="8" t="s">
        <v>193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125</v>
      </c>
      <c r="B9" s="3"/>
      <c r="C9" s="26"/>
      <c r="D9" s="3"/>
      <c r="E9" s="3"/>
      <c r="F9" s="3"/>
      <c r="G9" s="3"/>
      <c r="H9" s="3"/>
    </row>
    <row r="10" spans="1:8" ht="12.75">
      <c r="A10" s="3" t="s">
        <v>126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127</v>
      </c>
      <c r="C11" s="26"/>
      <c r="D11" s="26"/>
      <c r="E11" s="3"/>
      <c r="F11" s="3"/>
      <c r="G11" s="3"/>
      <c r="H11" s="3"/>
    </row>
    <row r="12" spans="1:8" ht="13.5" thickBot="1">
      <c r="A12" s="3" t="s">
        <v>128</v>
      </c>
      <c r="C12" s="26" t="s">
        <v>129</v>
      </c>
      <c r="D12" s="290" t="s">
        <v>496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130</v>
      </c>
      <c r="C14" s="26"/>
      <c r="D14" s="26"/>
      <c r="E14" s="3"/>
      <c r="F14" s="3"/>
      <c r="G14" s="3"/>
    </row>
    <row r="15" spans="1:4" ht="13.5" customHeight="1" thickBot="1">
      <c r="A15" s="3" t="s">
        <v>131</v>
      </c>
      <c r="C15" s="8" t="s">
        <v>129</v>
      </c>
      <c r="D15" s="290" t="s">
        <v>497</v>
      </c>
    </row>
    <row r="16" spans="1:4" ht="7.5" customHeight="1">
      <c r="A16" s="51"/>
      <c r="C16" s="8"/>
      <c r="D16" s="8"/>
    </row>
    <row r="17" spans="1:4" ht="13.5" thickBot="1">
      <c r="A17" s="51" t="s">
        <v>251</v>
      </c>
      <c r="C17" s="8" t="s">
        <v>129</v>
      </c>
      <c r="D17" s="290" t="s">
        <v>497</v>
      </c>
    </row>
    <row r="18" spans="1:4" ht="15" customHeight="1">
      <c r="A18" s="439" t="s">
        <v>408</v>
      </c>
      <c r="C18" s="8"/>
      <c r="D18" s="8"/>
    </row>
    <row r="19" spans="1:4" ht="15" customHeight="1">
      <c r="A19" s="532" t="s">
        <v>409</v>
      </c>
      <c r="B19" s="8" t="s">
        <v>406</v>
      </c>
      <c r="C19" s="8" t="s">
        <v>129</v>
      </c>
      <c r="D19" s="438" t="s">
        <v>496</v>
      </c>
    </row>
    <row r="20" spans="1:4" ht="13.5" thickBot="1">
      <c r="A20" s="533"/>
      <c r="B20" s="8" t="s">
        <v>407</v>
      </c>
      <c r="C20" s="8" t="s">
        <v>129</v>
      </c>
      <c r="D20" s="290" t="s">
        <v>497</v>
      </c>
    </row>
    <row r="21" spans="1:4" ht="12.75">
      <c r="A21" s="532" t="s">
        <v>571</v>
      </c>
      <c r="B21" s="8" t="s">
        <v>406</v>
      </c>
      <c r="C21" s="8"/>
      <c r="D21" s="476">
        <v>1</v>
      </c>
    </row>
    <row r="22" spans="1:4" ht="12.75">
      <c r="A22" s="532"/>
      <c r="B22" s="8" t="s">
        <v>407</v>
      </c>
      <c r="C22" s="8"/>
      <c r="D22" s="476">
        <v>1</v>
      </c>
    </row>
    <row r="23" spans="1:4" ht="7.5" customHeight="1">
      <c r="A23" s="51"/>
      <c r="C23" s="8"/>
      <c r="D23" s="438"/>
    </row>
    <row r="24" spans="1:4" ht="12.75">
      <c r="A24" s="51" t="s">
        <v>305</v>
      </c>
      <c r="C24" s="8" t="s">
        <v>306</v>
      </c>
      <c r="D24" s="477" t="s">
        <v>477</v>
      </c>
    </row>
    <row r="25" ht="6.75" customHeight="1" thickBot="1">
      <c r="A25" s="12"/>
    </row>
    <row r="26" spans="1:5" ht="12.75">
      <c r="A26" s="287" t="s">
        <v>132</v>
      </c>
      <c r="C26" s="8"/>
      <c r="E26" s="494" t="s">
        <v>389</v>
      </c>
    </row>
    <row r="27" spans="1:5" ht="12.75">
      <c r="A27" s="288" t="s">
        <v>133</v>
      </c>
      <c r="C27" s="8"/>
      <c r="E27" s="495" t="s">
        <v>390</v>
      </c>
    </row>
    <row r="28" spans="1:3" ht="12.75">
      <c r="A28" s="288" t="s">
        <v>134</v>
      </c>
      <c r="C28" s="44"/>
    </row>
    <row r="29" ht="12.75">
      <c r="A29" s="289" t="s">
        <v>135</v>
      </c>
    </row>
    <row r="30" ht="12.75">
      <c r="A30" s="41"/>
    </row>
    <row r="31" spans="1:8" ht="12.75">
      <c r="A31" t="s">
        <v>384</v>
      </c>
      <c r="D31" s="474">
        <v>8553726</v>
      </c>
      <c r="H31" s="5"/>
    </row>
    <row r="32" ht="6" customHeight="1"/>
    <row r="33" spans="1:8" ht="12.75">
      <c r="A33" t="s">
        <v>136</v>
      </c>
      <c r="D33" s="475">
        <v>0.5</v>
      </c>
      <c r="F33" t="s">
        <v>167</v>
      </c>
      <c r="H33" s="45"/>
    </row>
    <row r="34" spans="6:8" ht="6" customHeight="1">
      <c r="F34" t="s">
        <v>167</v>
      </c>
      <c r="H34" s="40"/>
    </row>
    <row r="35" spans="1:10" ht="12.75">
      <c r="A35" t="s">
        <v>137</v>
      </c>
      <c r="D35" s="282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138</v>
      </c>
      <c r="D37" s="475">
        <v>0.0988</v>
      </c>
      <c r="H37" s="47"/>
    </row>
    <row r="38" ht="4.5" customHeight="1">
      <c r="H38" s="40"/>
    </row>
    <row r="39" spans="1:8" ht="12.75">
      <c r="A39" t="s">
        <v>139</v>
      </c>
      <c r="D39" s="475">
        <v>0.0725</v>
      </c>
      <c r="H39" s="47"/>
    </row>
    <row r="40" ht="6" customHeight="1">
      <c r="H40" s="40"/>
    </row>
    <row r="41" spans="1:8" ht="12.75">
      <c r="A41" t="s">
        <v>140</v>
      </c>
      <c r="D41" s="283">
        <f>D31*((D33*D37)+(D35*D39))</f>
        <v>732626.6319</v>
      </c>
      <c r="H41" s="46"/>
    </row>
    <row r="42" spans="4:8" ht="6" customHeight="1">
      <c r="D42" s="28"/>
      <c r="H42" s="46"/>
    </row>
    <row r="43" spans="1:11" ht="12.75">
      <c r="A43" t="s">
        <v>141</v>
      </c>
      <c r="D43" s="478">
        <v>555088</v>
      </c>
      <c r="E43" s="437">
        <f>D43</f>
        <v>555088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142</v>
      </c>
      <c r="D45" s="283">
        <f>D41-D43</f>
        <v>177538.63190000004</v>
      </c>
      <c r="H45" s="46"/>
      <c r="J45" s="5"/>
      <c r="K45" s="5"/>
    </row>
    <row r="46" spans="1:11" ht="12.75">
      <c r="A46" s="2" t="s">
        <v>385</v>
      </c>
      <c r="D46" s="46"/>
      <c r="H46" s="46"/>
      <c r="J46" s="5"/>
      <c r="K46" s="5"/>
    </row>
    <row r="47" spans="1:11" ht="12.75">
      <c r="A47" t="s">
        <v>490</v>
      </c>
      <c r="D47" s="479">
        <v>59180</v>
      </c>
      <c r="E47" s="437">
        <f aca="true" t="shared" si="0" ref="E47:E53">D47</f>
        <v>59180</v>
      </c>
      <c r="H47" s="46"/>
      <c r="J47" s="5"/>
      <c r="K47" s="5"/>
    </row>
    <row r="48" spans="1:11" ht="12.75">
      <c r="A48" t="s">
        <v>491</v>
      </c>
      <c r="D48" s="479">
        <v>59180</v>
      </c>
      <c r="E48" s="437">
        <f t="shared" si="0"/>
        <v>59180</v>
      </c>
      <c r="F48" s="28"/>
      <c r="H48" s="46"/>
      <c r="J48" s="5"/>
      <c r="K48" s="5"/>
    </row>
    <row r="49" spans="1:11" ht="12.75">
      <c r="A49" t="s">
        <v>489</v>
      </c>
      <c r="D49" s="479">
        <v>0</v>
      </c>
      <c r="E49" s="437"/>
      <c r="F49" s="28"/>
      <c r="H49" s="46"/>
      <c r="J49" s="5"/>
      <c r="K49" s="5"/>
    </row>
    <row r="50" spans="1:11" ht="12.75">
      <c r="A50" t="s">
        <v>386</v>
      </c>
      <c r="D50" s="480"/>
      <c r="E50" s="437">
        <f t="shared" si="0"/>
        <v>0</v>
      </c>
      <c r="F50" s="28"/>
      <c r="H50" s="46"/>
      <c r="J50" s="5"/>
      <c r="K50" s="5"/>
    </row>
    <row r="51" spans="1:11" ht="12.75">
      <c r="A51" t="s">
        <v>498</v>
      </c>
      <c r="D51" s="480">
        <v>59180</v>
      </c>
      <c r="E51" s="437">
        <f t="shared" si="0"/>
        <v>59180</v>
      </c>
      <c r="F51" s="28"/>
      <c r="H51" s="46"/>
      <c r="J51" s="5"/>
      <c r="K51" s="5"/>
    </row>
    <row r="52" spans="1:11" ht="12.75">
      <c r="A52" t="s">
        <v>492</v>
      </c>
      <c r="D52" s="478"/>
      <c r="E52" s="437">
        <f t="shared" si="0"/>
        <v>0</v>
      </c>
      <c r="H52" s="46"/>
      <c r="J52" s="5"/>
      <c r="K52" s="5"/>
    </row>
    <row r="53" spans="4:11" ht="12.75">
      <c r="D53" s="478"/>
      <c r="E53" s="437">
        <f t="shared" si="0"/>
        <v>0</v>
      </c>
      <c r="H53" s="46"/>
      <c r="J53" s="5"/>
      <c r="K53" s="5"/>
    </row>
    <row r="54" spans="1:11" ht="12.75">
      <c r="A54" s="2" t="s">
        <v>387</v>
      </c>
      <c r="E54" s="286">
        <f>SUM(E43:E53)</f>
        <v>732628</v>
      </c>
      <c r="H54" s="46"/>
      <c r="J54" s="5"/>
      <c r="K54" s="5"/>
    </row>
    <row r="55" spans="4:11" ht="12.75">
      <c r="D55" s="36"/>
      <c r="H55" s="46"/>
      <c r="J55" s="5"/>
      <c r="K55" s="5"/>
    </row>
    <row r="56" spans="1:11" ht="12.75">
      <c r="A56" t="s">
        <v>143</v>
      </c>
      <c r="B56" s="5"/>
      <c r="C56" s="5"/>
      <c r="D56" s="284">
        <f>D31*D33</f>
        <v>4276863</v>
      </c>
      <c r="H56" s="38"/>
      <c r="J56" s="5"/>
      <c r="K56" s="5"/>
    </row>
    <row r="57" spans="1:11" ht="12.75">
      <c r="A57" s="14"/>
      <c r="B57" s="5"/>
      <c r="C57" s="5"/>
      <c r="D57" s="5"/>
      <c r="F57" s="5"/>
      <c r="H57" s="38"/>
      <c r="J57" s="5"/>
      <c r="K57" s="5"/>
    </row>
    <row r="58" spans="1:11" ht="12.75">
      <c r="A58" t="s">
        <v>144</v>
      </c>
      <c r="B58" s="5"/>
      <c r="C58" s="5"/>
      <c r="D58" s="284">
        <f>D56*D37</f>
        <v>422554.0644</v>
      </c>
      <c r="F58" s="5"/>
      <c r="H58" s="38"/>
      <c r="J58" s="5"/>
      <c r="K58" s="5"/>
    </row>
    <row r="59" spans="2:11" ht="12.75">
      <c r="B59" s="5"/>
      <c r="C59" s="5"/>
      <c r="D59" s="5"/>
      <c r="F59" s="5"/>
      <c r="H59" s="38"/>
      <c r="J59" s="5"/>
      <c r="K59" s="5"/>
    </row>
    <row r="60" spans="1:11" ht="12.75">
      <c r="A60" t="s">
        <v>145</v>
      </c>
      <c r="B60" s="5"/>
      <c r="C60" s="5"/>
      <c r="D60" s="284">
        <f>D31*D35</f>
        <v>4276863</v>
      </c>
      <c r="F60" s="5"/>
      <c r="H60" s="38"/>
      <c r="J60" s="5"/>
      <c r="K60" s="5"/>
    </row>
    <row r="61" spans="2:11" ht="12.75">
      <c r="B61" s="5"/>
      <c r="C61" s="5"/>
      <c r="D61" s="5"/>
      <c r="F61" s="5"/>
      <c r="H61" s="38"/>
      <c r="J61" s="5"/>
      <c r="K61" s="5"/>
    </row>
    <row r="62" spans="1:11" ht="12.75">
      <c r="A62" t="s">
        <v>405</v>
      </c>
      <c r="B62" s="5"/>
      <c r="C62" s="5"/>
      <c r="D62" s="284">
        <f>D60*D39</f>
        <v>310072.5675</v>
      </c>
      <c r="F62" s="5"/>
      <c r="H62" s="38"/>
      <c r="J62" s="5"/>
      <c r="K62" s="5"/>
    </row>
    <row r="63" spans="2:11" ht="12.75">
      <c r="B63" s="5"/>
      <c r="C63" s="5"/>
      <c r="D63" s="5"/>
      <c r="F63" s="5"/>
      <c r="H63" s="38"/>
      <c r="J63" s="5"/>
      <c r="K63" s="5"/>
    </row>
    <row r="64" spans="1:11" ht="12.75">
      <c r="A64" t="s">
        <v>388</v>
      </c>
      <c r="B64" s="5"/>
      <c r="C64" s="5"/>
      <c r="D64" s="285">
        <f>IF(D41&gt;0,(((D43+D47)/D41)*D62),0)</f>
        <v>259979.15936952716</v>
      </c>
      <c r="F64" s="5"/>
      <c r="H64" s="38"/>
      <c r="J64" s="5"/>
      <c r="K64" s="5"/>
    </row>
    <row r="65" spans="1:11" ht="12.75">
      <c r="A65" s="39" t="s">
        <v>494</v>
      </c>
      <c r="B65" s="5"/>
      <c r="C65" s="5"/>
      <c r="D65" s="38"/>
      <c r="F65" s="5"/>
      <c r="H65" s="38"/>
      <c r="J65" s="5"/>
      <c r="K65" s="5"/>
    </row>
    <row r="66" spans="1:11" ht="12.75">
      <c r="A66" t="s">
        <v>478</v>
      </c>
      <c r="B66" s="5"/>
      <c r="C66" s="5"/>
      <c r="D66" s="285">
        <f>IF(D41&gt;0,(((D43+D47+D48)/D41)*D62),0)</f>
        <v>285026.15294804436</v>
      </c>
      <c r="F66" s="5"/>
      <c r="H66" s="38"/>
      <c r="J66" s="5"/>
      <c r="K66" s="5"/>
    </row>
    <row r="67" spans="1:11" ht="12.75">
      <c r="A67" s="39" t="s">
        <v>495</v>
      </c>
      <c r="B67" s="5"/>
      <c r="C67" s="5"/>
      <c r="D67" s="38"/>
      <c r="F67" s="5"/>
      <c r="H67" s="38"/>
      <c r="J67" s="5"/>
      <c r="K67" s="5"/>
    </row>
    <row r="68" spans="1:10" ht="12.75">
      <c r="A68" s="51" t="s">
        <v>493</v>
      </c>
      <c r="B68" s="5"/>
      <c r="C68" s="5"/>
      <c r="D68" s="285">
        <f>D62</f>
        <v>310072.5675</v>
      </c>
      <c r="F68" s="5"/>
      <c r="H68" s="38"/>
      <c r="J68" s="5"/>
    </row>
    <row r="69" spans="1:10" ht="12.75">
      <c r="A69" s="39"/>
      <c r="B69" s="5"/>
      <c r="C69" s="5"/>
      <c r="D69" s="5"/>
      <c r="F69" s="5"/>
      <c r="H69" s="38"/>
      <c r="J69" s="5"/>
    </row>
    <row r="70" spans="2:10" ht="12.75">
      <c r="B70" s="5"/>
      <c r="C70" s="5"/>
      <c r="D70" s="100"/>
      <c r="F70" s="5"/>
      <c r="H70" s="40"/>
      <c r="J70" s="5"/>
    </row>
    <row r="71" spans="1:8" ht="12.75">
      <c r="A71" s="100"/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spans="2:8" ht="12.75">
      <c r="B75" s="5"/>
      <c r="C75" s="5"/>
      <c r="D75" s="5"/>
      <c r="H75" s="40"/>
    </row>
    <row r="76" ht="12.75">
      <c r="H76" s="40"/>
    </row>
  </sheetData>
  <sheetProtection/>
  <mergeCells count="2">
    <mergeCell ref="A21:A22"/>
    <mergeCell ref="A19:A20"/>
  </mergeCells>
  <printOptions gridLines="1" headings="1"/>
  <pageMargins left="0.354330708661417" right="0.0393700787401575" top="0.45" bottom="0.236220472440945" header="0.22" footer="0.18"/>
  <pageSetup fitToHeight="1" fitToWidth="1" horizontalDpi="600" verticalDpi="600" orientation="portrait" scale="87" r:id="rId1"/>
  <headerFooter alignWithMargins="0">
    <oddHeader>&amp;C&amp;F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51"/>
  <sheetViews>
    <sheetView zoomScale="9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2" t="str">
        <f>REGINFO!A1</f>
        <v>SIMPIL RRR FILING</v>
      </c>
      <c r="B1" s="223" t="s">
        <v>194</v>
      </c>
      <c r="C1" s="224" t="s">
        <v>46</v>
      </c>
      <c r="D1" s="225"/>
      <c r="E1" s="225"/>
      <c r="F1" s="225"/>
      <c r="G1" s="226"/>
      <c r="H1" s="226"/>
      <c r="I1" s="227" t="s">
        <v>36</v>
      </c>
      <c r="J1" s="228" t="s">
        <v>36</v>
      </c>
      <c r="K1" s="229" t="s">
        <v>36</v>
      </c>
      <c r="L1" s="230"/>
    </row>
    <row r="2" spans="1:12" ht="12.75">
      <c r="A2" s="231" t="s">
        <v>110</v>
      </c>
      <c r="B2" s="232"/>
      <c r="C2" s="233" t="s">
        <v>47</v>
      </c>
      <c r="D2" s="234"/>
      <c r="E2" s="234"/>
      <c r="F2" s="234"/>
      <c r="G2" s="235"/>
      <c r="H2" s="235"/>
      <c r="I2" s="236" t="s">
        <v>37</v>
      </c>
      <c r="J2" s="237" t="s">
        <v>37</v>
      </c>
      <c r="K2" s="201" t="s">
        <v>37</v>
      </c>
      <c r="L2" s="238"/>
    </row>
    <row r="3" spans="1:12" ht="12.75">
      <c r="A3" s="231" t="s">
        <v>109</v>
      </c>
      <c r="B3" s="239"/>
      <c r="C3" s="240"/>
      <c r="D3" s="234"/>
      <c r="E3" s="234"/>
      <c r="F3" s="234"/>
      <c r="G3" s="235"/>
      <c r="H3" s="235"/>
      <c r="I3" s="157" t="s">
        <v>34</v>
      </c>
      <c r="J3" s="241" t="s">
        <v>34</v>
      </c>
      <c r="K3" s="157"/>
      <c r="L3" s="238"/>
    </row>
    <row r="4" spans="1:12" ht="12.75">
      <c r="A4" s="242" t="s">
        <v>54</v>
      </c>
      <c r="B4" s="243"/>
      <c r="C4" s="240"/>
      <c r="D4" s="235"/>
      <c r="E4" s="235"/>
      <c r="F4" s="235"/>
      <c r="G4" s="235"/>
      <c r="H4" s="235"/>
      <c r="I4" s="157" t="s">
        <v>345</v>
      </c>
      <c r="J4" s="241" t="s">
        <v>35</v>
      </c>
      <c r="K4" s="157" t="s">
        <v>50</v>
      </c>
      <c r="L4" s="238"/>
    </row>
    <row r="5" spans="1:12" ht="12.75">
      <c r="A5" s="231" t="str">
        <f>REGINFO!E2</f>
        <v>RRR # 2.1.8</v>
      </c>
      <c r="B5" s="243"/>
      <c r="C5" s="240"/>
      <c r="D5" s="235"/>
      <c r="E5" s="235"/>
      <c r="F5" s="235"/>
      <c r="G5" s="235"/>
      <c r="H5" s="235"/>
      <c r="I5" s="157"/>
      <c r="J5" s="241"/>
      <c r="K5" s="201" t="str">
        <f>REGINFO!E1</f>
        <v>Version 2005.1</v>
      </c>
      <c r="L5" s="238"/>
    </row>
    <row r="6" spans="1:12" ht="13.5" thickBot="1">
      <c r="A6" s="231"/>
      <c r="B6" s="243"/>
      <c r="C6" s="240" t="s">
        <v>38</v>
      </c>
      <c r="D6" s="234"/>
      <c r="E6" s="234"/>
      <c r="F6" s="234"/>
      <c r="G6" s="235"/>
      <c r="H6" s="235"/>
      <c r="I6" s="240" t="s">
        <v>38</v>
      </c>
      <c r="J6" s="241"/>
      <c r="K6" s="240" t="s">
        <v>38</v>
      </c>
      <c r="L6" s="238"/>
    </row>
    <row r="7" spans="1:12" ht="13.5" thickTop="1">
      <c r="A7" s="527" t="str">
        <f>REGINFO!A3</f>
        <v>Utility Name:  Centre Wellington Hydro Ltd</v>
      </c>
      <c r="B7" s="244"/>
      <c r="C7" s="245"/>
      <c r="D7" s="246"/>
      <c r="E7" s="246"/>
      <c r="F7" s="246"/>
      <c r="G7" s="247"/>
      <c r="H7" s="247"/>
      <c r="I7" s="248"/>
      <c r="J7" s="249"/>
      <c r="K7" s="250"/>
      <c r="L7" s="251"/>
    </row>
    <row r="8" spans="1:16" ht="12.75">
      <c r="A8" s="527" t="str">
        <f>REGINFO!A4</f>
        <v>Reporting period:   2005</v>
      </c>
      <c r="B8" s="243"/>
      <c r="C8" s="252"/>
      <c r="D8" s="234"/>
      <c r="E8" s="234"/>
      <c r="F8" s="234"/>
      <c r="G8" s="235"/>
      <c r="H8" s="235"/>
      <c r="I8" s="157"/>
      <c r="J8" s="241"/>
      <c r="K8" s="201" t="s">
        <v>152</v>
      </c>
      <c r="L8" s="238"/>
      <c r="N8" s="53" t="s">
        <v>195</v>
      </c>
      <c r="O8" s="53"/>
      <c r="P8" s="53"/>
    </row>
    <row r="9" spans="1:12" ht="12.75">
      <c r="A9" s="231" t="s">
        <v>192</v>
      </c>
      <c r="B9" s="481">
        <f>REGINFO!B6</f>
        <v>365</v>
      </c>
      <c r="C9" s="253" t="s">
        <v>193</v>
      </c>
      <c r="D9" s="234"/>
      <c r="E9" s="234"/>
      <c r="F9" s="234"/>
      <c r="G9" s="235"/>
      <c r="H9" s="235"/>
      <c r="I9" s="157"/>
      <c r="J9" s="241"/>
      <c r="K9" s="201" t="s">
        <v>155</v>
      </c>
      <c r="L9" s="238"/>
    </row>
    <row r="10" spans="1:12" ht="12.75">
      <c r="A10" s="231" t="s">
        <v>351</v>
      </c>
      <c r="B10" s="481">
        <f>REGINFO!B7</f>
        <v>365</v>
      </c>
      <c r="C10" s="253" t="s">
        <v>193</v>
      </c>
      <c r="D10" s="234"/>
      <c r="E10" s="234"/>
      <c r="F10" s="234"/>
      <c r="G10" s="235"/>
      <c r="H10" s="235"/>
      <c r="I10" s="254"/>
      <c r="J10" s="241"/>
      <c r="K10" s="255" t="s">
        <v>153</v>
      </c>
      <c r="L10" s="238"/>
    </row>
    <row r="11" spans="1:12" ht="12.75">
      <c r="A11" s="173"/>
      <c r="B11" s="140"/>
      <c r="C11" s="120"/>
      <c r="D11" s="17"/>
      <c r="E11" s="17"/>
      <c r="F11" s="17"/>
      <c r="G11" s="22"/>
      <c r="H11" s="22"/>
      <c r="I11" s="158"/>
      <c r="J11" s="26"/>
      <c r="K11" s="163" t="s">
        <v>154</v>
      </c>
      <c r="L11" s="171"/>
    </row>
    <row r="12" spans="1:12" ht="12.75">
      <c r="A12" s="170"/>
      <c r="B12" s="142"/>
      <c r="C12" s="119"/>
      <c r="D12" s="17"/>
      <c r="E12" s="17"/>
      <c r="F12" s="17"/>
      <c r="G12" s="22"/>
      <c r="H12" s="22"/>
      <c r="I12" s="158"/>
      <c r="J12" s="3"/>
      <c r="K12" s="202"/>
      <c r="L12" s="171"/>
    </row>
    <row r="13" spans="1:12" ht="12.75">
      <c r="A13" s="174" t="s">
        <v>42</v>
      </c>
      <c r="B13" s="138" t="s">
        <v>167</v>
      </c>
      <c r="C13" s="121"/>
      <c r="D13" s="18"/>
      <c r="E13" s="18"/>
      <c r="F13" s="18"/>
      <c r="G13" s="22"/>
      <c r="H13" s="22"/>
      <c r="I13" s="158"/>
      <c r="J13" s="3"/>
      <c r="K13" s="202"/>
      <c r="L13" s="171"/>
    </row>
    <row r="14" spans="2:12" ht="12.75">
      <c r="B14" s="139"/>
      <c r="C14" s="121"/>
      <c r="D14" s="18"/>
      <c r="E14" s="18"/>
      <c r="F14" s="18"/>
      <c r="G14" s="22"/>
      <c r="H14" s="22"/>
      <c r="I14" s="158"/>
      <c r="J14" s="3"/>
      <c r="K14" s="202"/>
      <c r="L14" s="171"/>
    </row>
    <row r="15" spans="1:12" ht="12.75">
      <c r="A15" s="175" t="s">
        <v>500</v>
      </c>
      <c r="B15" s="143">
        <v>1</v>
      </c>
      <c r="C15" s="292">
        <f>REGINFO!E54</f>
        <v>732628</v>
      </c>
      <c r="D15" s="18"/>
      <c r="E15" s="18"/>
      <c r="F15" s="18"/>
      <c r="G15" s="22"/>
      <c r="H15" s="22"/>
      <c r="I15" s="300">
        <f>K15-C15</f>
        <v>234255</v>
      </c>
      <c r="J15" s="3"/>
      <c r="K15" s="300">
        <f>TAXREC!E50</f>
        <v>966883</v>
      </c>
      <c r="L15" s="171"/>
    </row>
    <row r="16" spans="1:12" ht="12.75">
      <c r="A16" s="172"/>
      <c r="B16" s="143"/>
      <c r="C16" s="122"/>
      <c r="D16" s="17"/>
      <c r="E16" s="17"/>
      <c r="F16" s="17"/>
      <c r="G16" s="22"/>
      <c r="H16" s="22"/>
      <c r="I16" s="159"/>
      <c r="J16" s="3"/>
      <c r="K16" s="159"/>
      <c r="L16" s="171"/>
    </row>
    <row r="17" spans="1:12" ht="12.75">
      <c r="A17" s="172" t="s">
        <v>39</v>
      </c>
      <c r="B17" s="143"/>
      <c r="C17" s="122"/>
      <c r="D17" s="17"/>
      <c r="E17" s="17"/>
      <c r="F17" s="17"/>
      <c r="G17" s="22"/>
      <c r="H17" s="22"/>
      <c r="I17" s="159"/>
      <c r="J17" s="3"/>
      <c r="K17" s="159"/>
      <c r="L17" s="171"/>
    </row>
    <row r="18" spans="1:12" ht="12.75">
      <c r="A18" s="172"/>
      <c r="B18" s="143"/>
      <c r="C18" s="121"/>
      <c r="D18" s="18"/>
      <c r="E18" s="18"/>
      <c r="F18" s="18"/>
      <c r="G18" s="22"/>
      <c r="H18" s="22"/>
      <c r="I18" s="159"/>
      <c r="J18" s="3"/>
      <c r="K18" s="159"/>
      <c r="L18" s="171"/>
    </row>
    <row r="19" spans="1:12" ht="12.75">
      <c r="A19" s="176" t="s">
        <v>301</v>
      </c>
      <c r="B19" s="144"/>
      <c r="C19" s="121"/>
      <c r="D19" s="19"/>
      <c r="E19" s="19"/>
      <c r="F19" s="19"/>
      <c r="G19" s="23"/>
      <c r="H19" s="23"/>
      <c r="I19" s="159"/>
      <c r="J19" s="6"/>
      <c r="K19" s="159"/>
      <c r="L19" s="171"/>
    </row>
    <row r="20" spans="1:12" ht="12.75">
      <c r="A20" s="177" t="s">
        <v>20</v>
      </c>
      <c r="B20" s="145">
        <v>2</v>
      </c>
      <c r="C20" s="294">
        <v>442771</v>
      </c>
      <c r="D20" s="20"/>
      <c r="E20" s="20"/>
      <c r="F20" s="20"/>
      <c r="G20" s="23"/>
      <c r="H20" s="23"/>
      <c r="I20" s="300">
        <f aca="true" t="shared" si="0" ref="I20:I25">K20-C20</f>
        <v>4459</v>
      </c>
      <c r="J20" s="6"/>
      <c r="K20" s="300">
        <f>TAXREC!E61</f>
        <v>447230</v>
      </c>
      <c r="L20" s="171"/>
    </row>
    <row r="21" spans="1:12" ht="12.75">
      <c r="A21" s="178" t="s">
        <v>121</v>
      </c>
      <c r="B21" s="145">
        <v>3</v>
      </c>
      <c r="C21" s="294"/>
      <c r="D21" s="17"/>
      <c r="E21" s="17"/>
      <c r="F21" s="17"/>
      <c r="G21" s="23"/>
      <c r="H21" s="23"/>
      <c r="I21" s="300">
        <f t="shared" si="0"/>
        <v>84773</v>
      </c>
      <c r="J21" s="6"/>
      <c r="K21" s="300">
        <f>TAXREC!E62</f>
        <v>84773</v>
      </c>
      <c r="L21" s="171"/>
    </row>
    <row r="22" spans="1:12" ht="12.75">
      <c r="A22" s="178" t="s">
        <v>361</v>
      </c>
      <c r="B22" s="145">
        <v>4</v>
      </c>
      <c r="C22" s="294"/>
      <c r="D22" s="20"/>
      <c r="E22" s="20"/>
      <c r="F22" s="20"/>
      <c r="G22" s="23"/>
      <c r="H22" s="23"/>
      <c r="I22" s="300">
        <f t="shared" si="0"/>
        <v>0</v>
      </c>
      <c r="J22" s="6"/>
      <c r="K22" s="300">
        <f>TAXREC!E63</f>
        <v>0</v>
      </c>
      <c r="L22" s="171"/>
    </row>
    <row r="23" spans="1:12" ht="12.75">
      <c r="A23" s="178" t="s">
        <v>360</v>
      </c>
      <c r="B23" s="145">
        <v>4</v>
      </c>
      <c r="C23" s="294"/>
      <c r="D23" s="20"/>
      <c r="E23" s="20"/>
      <c r="F23" s="20"/>
      <c r="G23" s="23"/>
      <c r="H23" s="23"/>
      <c r="I23" s="300">
        <f t="shared" si="0"/>
        <v>0</v>
      </c>
      <c r="J23" s="6"/>
      <c r="K23" s="300">
        <f>TAXREC!E64</f>
        <v>0</v>
      </c>
      <c r="L23" s="171"/>
    </row>
    <row r="24" spans="1:12" ht="12.75">
      <c r="A24" s="178" t="s">
        <v>362</v>
      </c>
      <c r="B24" s="145">
        <v>5</v>
      </c>
      <c r="C24" s="294"/>
      <c r="D24" s="20"/>
      <c r="E24" s="20"/>
      <c r="F24" s="20"/>
      <c r="G24" s="23"/>
      <c r="H24" s="23"/>
      <c r="I24" s="300">
        <f t="shared" si="0"/>
        <v>169696</v>
      </c>
      <c r="J24" s="6"/>
      <c r="K24" s="300">
        <f>TAXREC!E65</f>
        <v>169696</v>
      </c>
      <c r="L24" s="171"/>
    </row>
    <row r="25" spans="1:12" ht="12.75">
      <c r="A25" s="178" t="s">
        <v>511</v>
      </c>
      <c r="B25" s="145"/>
      <c r="C25" s="499"/>
      <c r="D25" s="20"/>
      <c r="E25" s="20"/>
      <c r="F25" s="20"/>
      <c r="G25" s="23"/>
      <c r="H25" s="23"/>
      <c r="I25" s="300">
        <f t="shared" si="0"/>
        <v>286757</v>
      </c>
      <c r="J25" s="6"/>
      <c r="K25" s="300">
        <f>TAXREC!E66</f>
        <v>286757</v>
      </c>
      <c r="L25" s="171"/>
    </row>
    <row r="26" spans="1:12" ht="12.75">
      <c r="A26" s="178" t="s">
        <v>118</v>
      </c>
      <c r="B26" s="145"/>
      <c r="C26" s="342" t="s">
        <v>167</v>
      </c>
      <c r="D26" s="20"/>
      <c r="E26" s="20"/>
      <c r="F26" s="20"/>
      <c r="G26" s="23"/>
      <c r="H26" s="23"/>
      <c r="I26" s="204"/>
      <c r="J26" s="39"/>
      <c r="K26" s="204"/>
      <c r="L26" s="171"/>
    </row>
    <row r="27" spans="1:12" ht="12.75">
      <c r="A27" s="178" t="s">
        <v>222</v>
      </c>
      <c r="B27" s="145">
        <v>6</v>
      </c>
      <c r="C27" s="294"/>
      <c r="D27" s="20"/>
      <c r="E27" s="20"/>
      <c r="F27" s="20"/>
      <c r="G27" s="23"/>
      <c r="H27" s="23"/>
      <c r="I27" s="300">
        <f>K27-C27</f>
        <v>48117</v>
      </c>
      <c r="J27" s="6"/>
      <c r="K27" s="300">
        <f>TAXREC!E92</f>
        <v>48117</v>
      </c>
      <c r="L27" s="171"/>
    </row>
    <row r="28" spans="1:12" ht="12.75">
      <c r="A28" s="178" t="s">
        <v>225</v>
      </c>
      <c r="B28" s="145">
        <v>6</v>
      </c>
      <c r="C28" s="294"/>
      <c r="D28" s="20"/>
      <c r="E28" s="20"/>
      <c r="F28" s="20"/>
      <c r="G28" s="23"/>
      <c r="H28" s="23"/>
      <c r="I28" s="300">
        <f>K28-C28</f>
        <v>3651</v>
      </c>
      <c r="J28" s="6"/>
      <c r="K28" s="300">
        <f>TAXREC!E93</f>
        <v>3651</v>
      </c>
      <c r="L28" s="171"/>
    </row>
    <row r="29" spans="1:12" ht="12.75">
      <c r="A29" s="178" t="s">
        <v>224</v>
      </c>
      <c r="B29" s="145">
        <v>6</v>
      </c>
      <c r="C29" s="294"/>
      <c r="D29" s="20"/>
      <c r="E29" s="20"/>
      <c r="F29" s="20"/>
      <c r="G29" s="23"/>
      <c r="H29" s="23"/>
      <c r="I29" s="300">
        <f>K29-C29</f>
        <v>103200</v>
      </c>
      <c r="J29" s="6"/>
      <c r="K29" s="300">
        <f>TAXREC!E67</f>
        <v>103200</v>
      </c>
      <c r="L29" s="171"/>
    </row>
    <row r="30" spans="1:12" ht="12.75">
      <c r="A30" s="178" t="s">
        <v>223</v>
      </c>
      <c r="B30" s="145">
        <v>6</v>
      </c>
      <c r="C30" s="294"/>
      <c r="D30" s="20"/>
      <c r="E30" s="20"/>
      <c r="F30" s="20"/>
      <c r="G30" s="23"/>
      <c r="H30" s="23"/>
      <c r="I30" s="300">
        <f>K30-C30</f>
        <v>0</v>
      </c>
      <c r="J30" s="6"/>
      <c r="K30" s="300">
        <f>TAXREC!E68</f>
        <v>0</v>
      </c>
      <c r="L30" s="171"/>
    </row>
    <row r="31" spans="1:12" ht="12.75">
      <c r="A31" s="178"/>
      <c r="B31" s="145"/>
      <c r="C31" s="121"/>
      <c r="D31" s="20"/>
      <c r="E31" s="20"/>
      <c r="F31" s="20"/>
      <c r="G31" s="23"/>
      <c r="H31" s="23"/>
      <c r="I31" s="159"/>
      <c r="J31" s="6"/>
      <c r="K31" s="159"/>
      <c r="L31" s="171"/>
    </row>
    <row r="32" spans="1:12" ht="12.75">
      <c r="A32" s="176" t="s">
        <v>434</v>
      </c>
      <c r="B32" s="144"/>
      <c r="C32" s="121"/>
      <c r="D32" s="20"/>
      <c r="E32" s="20"/>
      <c r="F32" s="20"/>
      <c r="G32" s="150"/>
      <c r="H32" s="150"/>
      <c r="I32" s="159"/>
      <c r="J32" s="6"/>
      <c r="K32" s="159"/>
      <c r="L32" s="171"/>
    </row>
    <row r="33" spans="1:12" ht="12.75">
      <c r="A33" s="175" t="s">
        <v>168</v>
      </c>
      <c r="B33" s="145">
        <v>7</v>
      </c>
      <c r="C33" s="294">
        <v>332314</v>
      </c>
      <c r="D33" s="20"/>
      <c r="E33" s="20"/>
      <c r="F33" s="20"/>
      <c r="G33" s="150"/>
      <c r="H33" s="150"/>
      <c r="I33" s="300">
        <f aca="true" t="shared" si="1" ref="I33:I43">K33-C33</f>
        <v>326575</v>
      </c>
      <c r="J33" s="6"/>
      <c r="K33" s="300">
        <f>TAXREC!E97+TAXREC!E98</f>
        <v>658889</v>
      </c>
      <c r="L33" s="171"/>
    </row>
    <row r="34" spans="1:12" ht="12.75">
      <c r="A34" s="178" t="s">
        <v>122</v>
      </c>
      <c r="B34" s="145">
        <v>8</v>
      </c>
      <c r="C34" s="294"/>
      <c r="D34" s="20"/>
      <c r="E34" s="20"/>
      <c r="F34" s="20"/>
      <c r="G34" s="150"/>
      <c r="H34" s="150"/>
      <c r="I34" s="300">
        <f t="shared" si="1"/>
        <v>0</v>
      </c>
      <c r="J34" s="6"/>
      <c r="K34" s="300">
        <f>TAXREC!E99</f>
        <v>0</v>
      </c>
      <c r="L34" s="171"/>
    </row>
    <row r="35" spans="1:12" ht="12.75">
      <c r="A35" s="178" t="s">
        <v>58</v>
      </c>
      <c r="B35" s="145">
        <v>9</v>
      </c>
      <c r="C35" s="294">
        <v>0</v>
      </c>
      <c r="D35" s="20"/>
      <c r="E35" s="20"/>
      <c r="F35" s="20"/>
      <c r="G35" s="150"/>
      <c r="H35" s="150"/>
      <c r="I35" s="300">
        <f t="shared" si="1"/>
        <v>0</v>
      </c>
      <c r="J35" s="6"/>
      <c r="K35" s="300">
        <f>TAXREC!E100</f>
        <v>0</v>
      </c>
      <c r="L35" s="171"/>
    </row>
    <row r="36" spans="1:12" ht="12.75">
      <c r="A36" s="178" t="s">
        <v>363</v>
      </c>
      <c r="B36" s="145">
        <v>10</v>
      </c>
      <c r="C36" s="294">
        <v>0</v>
      </c>
      <c r="D36" s="20"/>
      <c r="E36" s="20"/>
      <c r="F36" s="20"/>
      <c r="G36" s="150"/>
      <c r="H36" s="150"/>
      <c r="I36" s="300">
        <f t="shared" si="1"/>
        <v>0</v>
      </c>
      <c r="J36" s="6"/>
      <c r="K36" s="300">
        <f>TAXREC!E102+TAXREC!E103</f>
        <v>0</v>
      </c>
      <c r="L36" s="171"/>
    </row>
    <row r="37" spans="1:12" ht="12.75">
      <c r="A37" s="178" t="s">
        <v>511</v>
      </c>
      <c r="B37" s="145"/>
      <c r="C37" s="294">
        <v>0</v>
      </c>
      <c r="D37" s="20"/>
      <c r="E37" s="20"/>
      <c r="F37" s="20"/>
      <c r="G37" s="150"/>
      <c r="H37" s="150"/>
      <c r="I37" s="300">
        <f t="shared" si="1"/>
        <v>0</v>
      </c>
      <c r="J37" s="6"/>
      <c r="K37" s="300">
        <f>TAXREC!E104</f>
        <v>0</v>
      </c>
      <c r="L37" s="171"/>
    </row>
    <row r="38" spans="1:12" ht="12.75">
      <c r="A38" s="175" t="s">
        <v>151</v>
      </c>
      <c r="B38" s="143">
        <v>11</v>
      </c>
      <c r="C38" s="293">
        <f>REGINFO!D62</f>
        <v>310072.5675</v>
      </c>
      <c r="D38" s="20"/>
      <c r="E38" s="20"/>
      <c r="F38" s="20"/>
      <c r="G38" s="150"/>
      <c r="H38" s="150"/>
      <c r="I38" s="300">
        <f t="shared" si="1"/>
        <v>67822.4325</v>
      </c>
      <c r="J38" s="6"/>
      <c r="K38" s="300">
        <f>TAXREC!E51</f>
        <v>377895</v>
      </c>
      <c r="L38" s="171"/>
    </row>
    <row r="39" spans="1:12" ht="12.75">
      <c r="A39" s="175" t="s">
        <v>359</v>
      </c>
      <c r="B39" s="143">
        <v>4</v>
      </c>
      <c r="C39" s="294"/>
      <c r="D39" s="20"/>
      <c r="E39" s="20"/>
      <c r="F39" s="20"/>
      <c r="G39" s="150"/>
      <c r="H39" s="150"/>
      <c r="I39" s="300">
        <f t="shared" si="1"/>
        <v>0</v>
      </c>
      <c r="J39" s="6"/>
      <c r="K39" s="300">
        <f>TAXREC!E105</f>
        <v>0</v>
      </c>
      <c r="L39" s="171"/>
    </row>
    <row r="40" spans="1:12" ht="12.75">
      <c r="A40" s="175" t="s">
        <v>358</v>
      </c>
      <c r="B40" s="143">
        <v>4</v>
      </c>
      <c r="C40" s="294"/>
      <c r="D40" s="20"/>
      <c r="E40" s="20"/>
      <c r="F40" s="20"/>
      <c r="G40" s="150"/>
      <c r="H40" s="150"/>
      <c r="I40" s="300">
        <f t="shared" si="1"/>
        <v>0</v>
      </c>
      <c r="J40" s="6"/>
      <c r="K40" s="300">
        <f>TAXREC!E106</f>
        <v>0</v>
      </c>
      <c r="L40" s="171"/>
    </row>
    <row r="41" spans="1:12" ht="12.75">
      <c r="A41" s="175" t="s">
        <v>26</v>
      </c>
      <c r="B41" s="143">
        <v>3</v>
      </c>
      <c r="C41" s="294"/>
      <c r="D41" s="20"/>
      <c r="E41" s="20"/>
      <c r="F41" s="20"/>
      <c r="G41" s="150"/>
      <c r="H41" s="150"/>
      <c r="I41" s="300">
        <f t="shared" si="1"/>
        <v>0</v>
      </c>
      <c r="J41" s="6"/>
      <c r="K41" s="300">
        <f>TAXREC!E107</f>
        <v>0</v>
      </c>
      <c r="L41" s="171"/>
    </row>
    <row r="42" spans="1:12" ht="12.75">
      <c r="A42" s="175" t="s">
        <v>27</v>
      </c>
      <c r="B42" s="143">
        <v>3</v>
      </c>
      <c r="C42" s="294"/>
      <c r="D42" s="20"/>
      <c r="E42" s="20"/>
      <c r="F42" s="20"/>
      <c r="G42" s="150"/>
      <c r="H42" s="150"/>
      <c r="I42" s="300">
        <f t="shared" si="1"/>
        <v>0</v>
      </c>
      <c r="J42" s="6"/>
      <c r="K42" s="300">
        <f>TAXREC!E108</f>
        <v>0</v>
      </c>
      <c r="L42" s="171"/>
    </row>
    <row r="43" spans="1:12" ht="12.75">
      <c r="A43" s="175" t="s">
        <v>250</v>
      </c>
      <c r="B43" s="143">
        <v>11</v>
      </c>
      <c r="C43" s="294"/>
      <c r="D43" s="20"/>
      <c r="E43" s="20"/>
      <c r="F43" s="20"/>
      <c r="G43" s="150"/>
      <c r="H43" s="150"/>
      <c r="I43" s="300">
        <f t="shared" si="1"/>
        <v>0</v>
      </c>
      <c r="J43" s="6"/>
      <c r="K43" s="300">
        <f>TAXREC!E109</f>
        <v>0</v>
      </c>
      <c r="L43" s="171"/>
    </row>
    <row r="44" spans="1:12" ht="12.75">
      <c r="A44" s="178" t="s">
        <v>119</v>
      </c>
      <c r="B44" s="145"/>
      <c r="C44" s="121"/>
      <c r="D44" s="20"/>
      <c r="E44" s="20"/>
      <c r="F44" s="20"/>
      <c r="G44" s="150"/>
      <c r="H44" s="150"/>
      <c r="I44" s="159"/>
      <c r="J44" s="6"/>
      <c r="K44" s="159"/>
      <c r="L44" s="171"/>
    </row>
    <row r="45" spans="1:12" ht="12.75">
      <c r="A45" s="510" t="s">
        <v>531</v>
      </c>
      <c r="B45" s="145">
        <v>12</v>
      </c>
      <c r="C45" s="294">
        <v>15000</v>
      </c>
      <c r="D45" s="20"/>
      <c r="E45" s="20"/>
      <c r="F45" s="20"/>
      <c r="G45" s="150"/>
      <c r="H45" s="150"/>
      <c r="I45" s="300">
        <f>K45-C45</f>
        <v>-15000</v>
      </c>
      <c r="J45" s="6"/>
      <c r="K45" s="283">
        <f>TAXREC!E132</f>
        <v>0</v>
      </c>
      <c r="L45" s="171"/>
    </row>
    <row r="46" spans="1:12" ht="12.75">
      <c r="A46" s="178" t="s">
        <v>222</v>
      </c>
      <c r="B46" s="145">
        <v>12</v>
      </c>
      <c r="C46" s="294"/>
      <c r="D46" s="20"/>
      <c r="E46" s="20"/>
      <c r="F46" s="20"/>
      <c r="G46" s="150"/>
      <c r="H46" s="150"/>
      <c r="I46" s="300">
        <f>K46-C46</f>
        <v>0</v>
      </c>
      <c r="J46" s="6"/>
      <c r="K46" s="283">
        <f>TAXREC!E133</f>
        <v>0</v>
      </c>
      <c r="L46" s="171"/>
    </row>
    <row r="47" spans="1:12" ht="12.75">
      <c r="A47" s="178" t="s">
        <v>219</v>
      </c>
      <c r="B47" s="145">
        <v>12</v>
      </c>
      <c r="C47" s="294"/>
      <c r="D47" s="20"/>
      <c r="E47" s="20"/>
      <c r="F47" s="20"/>
      <c r="G47" s="150"/>
      <c r="H47" s="150"/>
      <c r="I47" s="300">
        <f>K47-C47</f>
        <v>0</v>
      </c>
      <c r="J47" s="6"/>
      <c r="K47" s="283">
        <f>TAXREC!E134</f>
        <v>0</v>
      </c>
      <c r="L47" s="171"/>
    </row>
    <row r="48" spans="1:12" ht="12.75">
      <c r="A48" s="178" t="s">
        <v>221</v>
      </c>
      <c r="B48" s="145">
        <v>12</v>
      </c>
      <c r="C48" s="294"/>
      <c r="D48" s="20"/>
      <c r="E48" s="20"/>
      <c r="F48" s="20"/>
      <c r="G48" s="150"/>
      <c r="H48" s="150"/>
      <c r="I48" s="300">
        <f>K48-C48</f>
        <v>141760</v>
      </c>
      <c r="J48" s="6"/>
      <c r="K48" s="283">
        <f>TAXREC!E110</f>
        <v>141760</v>
      </c>
      <c r="L48" s="171"/>
    </row>
    <row r="49" spans="1:12" ht="12.75">
      <c r="A49" s="178" t="s">
        <v>220</v>
      </c>
      <c r="B49" s="145">
        <v>12</v>
      </c>
      <c r="C49" s="294"/>
      <c r="D49" s="20"/>
      <c r="E49" s="20"/>
      <c r="F49" s="20"/>
      <c r="G49" s="150"/>
      <c r="H49" s="150"/>
      <c r="I49" s="300">
        <f>K49-C49</f>
        <v>0</v>
      </c>
      <c r="J49" s="6"/>
      <c r="K49" s="283">
        <f>TAXREC!E111</f>
        <v>0</v>
      </c>
      <c r="L49" s="171"/>
    </row>
    <row r="50" spans="1:12" ht="12.75">
      <c r="A50" s="178"/>
      <c r="B50" s="145"/>
      <c r="C50" s="121"/>
      <c r="D50" s="20"/>
      <c r="E50" s="20"/>
      <c r="F50" s="20"/>
      <c r="G50" s="150"/>
      <c r="H50" s="150"/>
      <c r="I50" s="159"/>
      <c r="J50" s="6"/>
      <c r="K50" s="159"/>
      <c r="L50" s="171"/>
    </row>
    <row r="51" spans="1:12" ht="12.75">
      <c r="A51" s="172" t="s">
        <v>420</v>
      </c>
      <c r="B51" s="143"/>
      <c r="C51" s="296">
        <f>C15+SUM(C20:C30)-SUM(C33:C49)</f>
        <v>518012.4325</v>
      </c>
      <c r="D51" s="24"/>
      <c r="E51" s="24"/>
      <c r="F51" s="24"/>
      <c r="G51" s="117"/>
      <c r="H51" s="117"/>
      <c r="I51" s="296">
        <f>I15+SUM(I20:I30)-SUM(I33:I49)</f>
        <v>413750.5675</v>
      </c>
      <c r="J51" s="483" t="s">
        <v>467</v>
      </c>
      <c r="K51" s="296">
        <f>K15+SUM(K20:K30)-SUM(K33:K49)</f>
        <v>931763</v>
      </c>
      <c r="L51" s="502"/>
    </row>
    <row r="52" spans="1:13" ht="12.75">
      <c r="A52" s="179"/>
      <c r="B52" s="143"/>
      <c r="C52" s="123"/>
      <c r="D52" s="20"/>
      <c r="E52" s="20"/>
      <c r="F52" s="20"/>
      <c r="G52" s="150"/>
      <c r="H52" s="150"/>
      <c r="I52" s="123"/>
      <c r="J52" s="6"/>
      <c r="K52" s="123"/>
      <c r="L52" s="171"/>
      <c r="M52" s="132"/>
    </row>
    <row r="53" spans="1:12" ht="12.75">
      <c r="A53" s="178" t="s">
        <v>429</v>
      </c>
      <c r="B53" s="145"/>
      <c r="C53" s="124"/>
      <c r="D53" s="20"/>
      <c r="E53" s="20"/>
      <c r="F53" s="20"/>
      <c r="G53" s="150"/>
      <c r="H53" s="150"/>
      <c r="I53" s="159"/>
      <c r="J53" s="6"/>
      <c r="K53" s="159"/>
      <c r="L53" s="171"/>
    </row>
    <row r="54" spans="1:12" ht="12.75">
      <c r="A54" s="178" t="s">
        <v>433</v>
      </c>
      <c r="B54" s="145">
        <v>13</v>
      </c>
      <c r="C54" s="295">
        <f>IF($C$51=0,'Tax Rates'!F34,IF($C$51&gt;'Tax Rates'!$E$11,'Tax Rates'!$F$16,IF($C$51&gt;'Tax Rates'!$C$11,'Tax Rates'!$E$16,'Tax Rates'!$C$16)))</f>
        <v>0.275</v>
      </c>
      <c r="D54" s="116"/>
      <c r="E54" s="116"/>
      <c r="F54" s="116"/>
      <c r="G54" s="117"/>
      <c r="H54" s="117"/>
      <c r="I54" s="301">
        <f>+K54-C54</f>
        <v>0.19</v>
      </c>
      <c r="J54" s="483" t="s">
        <v>599</v>
      </c>
      <c r="K54" s="295">
        <f>IF(TAXREC!E154&gt;0,TAXREC!E154,'Tax Rates'!F34)</f>
        <v>0.465</v>
      </c>
      <c r="L54" s="171"/>
    </row>
    <row r="55" spans="1:12" ht="12.75">
      <c r="A55" s="178"/>
      <c r="B55" s="145"/>
      <c r="C55" s="121"/>
      <c r="D55" s="20"/>
      <c r="E55" s="20"/>
      <c r="F55" s="20"/>
      <c r="G55" s="150"/>
      <c r="H55" s="150"/>
      <c r="I55" s="159"/>
      <c r="J55" s="6"/>
      <c r="K55" s="159"/>
      <c r="L55" s="171"/>
    </row>
    <row r="56" spans="1:12" ht="12.75">
      <c r="A56" s="178" t="s">
        <v>40</v>
      </c>
      <c r="B56" s="145"/>
      <c r="C56" s="297">
        <f>IF(C51&gt;0,C51*C54,0)</f>
        <v>142453.4189375</v>
      </c>
      <c r="D56" s="24"/>
      <c r="E56" s="24"/>
      <c r="F56" s="24"/>
      <c r="G56" s="117"/>
      <c r="H56" s="117"/>
      <c r="I56" s="300">
        <f>K56-C56</f>
        <v>104412.58106249999</v>
      </c>
      <c r="J56" s="483" t="s">
        <v>468</v>
      </c>
      <c r="K56" s="297">
        <f>TAXREC!E147</f>
        <v>246866</v>
      </c>
      <c r="L56" s="503"/>
    </row>
    <row r="57" spans="1:12" ht="12.75">
      <c r="A57" s="178"/>
      <c r="B57" s="145"/>
      <c r="C57" s="121"/>
      <c r="D57" s="20"/>
      <c r="E57" s="20"/>
      <c r="F57" s="20"/>
      <c r="G57" s="150"/>
      <c r="H57" s="150"/>
      <c r="I57" s="159"/>
      <c r="J57" s="130"/>
      <c r="K57" s="159"/>
      <c r="L57" s="171"/>
    </row>
    <row r="58" spans="1:12" ht="12.75">
      <c r="A58" s="178"/>
      <c r="B58" s="145"/>
      <c r="C58" s="121"/>
      <c r="D58" s="20"/>
      <c r="E58" s="20"/>
      <c r="F58" s="20"/>
      <c r="G58" s="150"/>
      <c r="H58" s="150"/>
      <c r="I58" s="159"/>
      <c r="J58" s="6" t="s">
        <v>167</v>
      </c>
      <c r="K58" s="159"/>
      <c r="L58" s="171"/>
    </row>
    <row r="59" spans="1:12" ht="12.75">
      <c r="A59" s="178" t="s">
        <v>48</v>
      </c>
      <c r="B59" s="145">
        <v>14</v>
      </c>
      <c r="C59" s="298">
        <v>0</v>
      </c>
      <c r="D59" s="20"/>
      <c r="E59" s="20"/>
      <c r="F59" s="20"/>
      <c r="G59" s="150"/>
      <c r="H59" s="150"/>
      <c r="I59" s="300">
        <f>+K59-C59</f>
        <v>0</v>
      </c>
      <c r="J59" s="483" t="s">
        <v>468</v>
      </c>
      <c r="K59" s="303">
        <f>TAXREC!E148</f>
        <v>0</v>
      </c>
      <c r="L59" s="171"/>
    </row>
    <row r="60" spans="1:12" ht="13.5" thickBot="1">
      <c r="A60" s="178"/>
      <c r="B60" s="145"/>
      <c r="C60" s="121"/>
      <c r="D60" s="20"/>
      <c r="E60" s="20"/>
      <c r="F60" s="20"/>
      <c r="G60" s="23"/>
      <c r="H60" s="23"/>
      <c r="I60" s="159"/>
      <c r="J60" s="6"/>
      <c r="K60" s="159"/>
      <c r="L60" s="171"/>
    </row>
    <row r="61" spans="1:12" ht="13.5" thickBot="1">
      <c r="A61" s="170" t="s">
        <v>49</v>
      </c>
      <c r="B61" s="153"/>
      <c r="C61" s="299">
        <f>+C56-C59</f>
        <v>142453.4189375</v>
      </c>
      <c r="D61" s="151"/>
      <c r="E61" s="151"/>
      <c r="F61" s="151"/>
      <c r="G61" s="152"/>
      <c r="H61" s="152"/>
      <c r="I61" s="302">
        <f>+I56-I59</f>
        <v>104412.58106249999</v>
      </c>
      <c r="J61" s="483" t="s">
        <v>468</v>
      </c>
      <c r="K61" s="302">
        <f>+K56-K59</f>
        <v>246866</v>
      </c>
      <c r="L61" s="502"/>
    </row>
    <row r="62" spans="1:12" ht="12.75">
      <c r="A62" s="178"/>
      <c r="B62" s="145"/>
      <c r="C62" s="121"/>
      <c r="D62" s="20"/>
      <c r="E62" s="20"/>
      <c r="F62" s="20"/>
      <c r="G62" s="23"/>
      <c r="H62" s="23"/>
      <c r="I62" s="159"/>
      <c r="J62" s="6"/>
      <c r="K62" s="159"/>
      <c r="L62" s="171"/>
    </row>
    <row r="63" spans="1:12" ht="12.75">
      <c r="A63" s="178"/>
      <c r="B63" s="140"/>
      <c r="C63" s="121"/>
      <c r="D63" s="20"/>
      <c r="E63" s="20"/>
      <c r="F63" s="20"/>
      <c r="G63" s="23"/>
      <c r="H63" s="23"/>
      <c r="I63" s="159"/>
      <c r="J63" s="6"/>
      <c r="K63" s="159"/>
      <c r="L63" s="171"/>
    </row>
    <row r="64" spans="1:12" ht="12.75">
      <c r="A64" s="174" t="s">
        <v>43</v>
      </c>
      <c r="B64" s="146"/>
      <c r="C64" s="121"/>
      <c r="D64" s="20"/>
      <c r="E64" s="20"/>
      <c r="F64" s="20"/>
      <c r="G64" s="23"/>
      <c r="H64" s="23"/>
      <c r="I64" s="159"/>
      <c r="J64" s="6"/>
      <c r="K64" s="159"/>
      <c r="L64" s="171"/>
    </row>
    <row r="65" spans="1:12" ht="12.75">
      <c r="A65" s="178"/>
      <c r="B65" s="145"/>
      <c r="C65" s="121"/>
      <c r="D65" s="20"/>
      <c r="E65" s="20"/>
      <c r="F65" s="20"/>
      <c r="G65" s="23"/>
      <c r="H65" s="23"/>
      <c r="I65" s="159"/>
      <c r="J65" s="6"/>
      <c r="K65" s="159"/>
      <c r="L65" s="171"/>
    </row>
    <row r="66" spans="1:12" ht="12.75">
      <c r="A66" s="176" t="s">
        <v>41</v>
      </c>
      <c r="B66" s="144"/>
      <c r="C66" s="121"/>
      <c r="D66" s="20"/>
      <c r="E66" s="20"/>
      <c r="F66" s="20"/>
      <c r="G66" s="23"/>
      <c r="H66" s="23"/>
      <c r="I66" s="159"/>
      <c r="J66" s="6"/>
      <c r="K66" s="159"/>
      <c r="L66" s="171"/>
    </row>
    <row r="67" spans="1:12" ht="12.75">
      <c r="A67" s="172" t="s">
        <v>30</v>
      </c>
      <c r="B67" s="143">
        <v>15</v>
      </c>
      <c r="C67" s="297">
        <f>Ratebase</f>
        <v>8553726</v>
      </c>
      <c r="D67" s="116"/>
      <c r="E67" s="116"/>
      <c r="F67" s="116"/>
      <c r="G67" s="117"/>
      <c r="H67" s="117"/>
      <c r="I67" s="300">
        <f>K67-C67</f>
        <v>8628146</v>
      </c>
      <c r="J67" s="6"/>
      <c r="K67" s="300">
        <f>TAXREC!E222</f>
        <v>17181872</v>
      </c>
      <c r="L67" s="171"/>
    </row>
    <row r="68" spans="1:12" ht="12.75">
      <c r="A68" s="172" t="s">
        <v>460</v>
      </c>
      <c r="B68" s="143">
        <v>16</v>
      </c>
      <c r="C68" s="293">
        <f>IF(C67&gt;0,'Tax Rates'!C21,0)</f>
        <v>7500000</v>
      </c>
      <c r="D68" s="116"/>
      <c r="E68" s="116"/>
      <c r="F68" s="116"/>
      <c r="G68" s="117"/>
      <c r="H68" s="117"/>
      <c r="I68" s="300">
        <f>K68-C68</f>
        <v>0</v>
      </c>
      <c r="J68" s="6"/>
      <c r="K68" s="300">
        <f>TAXREC!E225</f>
        <v>7500000</v>
      </c>
      <c r="L68" s="171"/>
    </row>
    <row r="69" spans="1:12" ht="12.75">
      <c r="A69" s="172" t="s">
        <v>55</v>
      </c>
      <c r="B69" s="143"/>
      <c r="C69" s="297">
        <f>IF((C67-C68)&gt;0,C67-C68,0)</f>
        <v>1053726</v>
      </c>
      <c r="D69" s="116"/>
      <c r="E69" s="116"/>
      <c r="F69" s="116"/>
      <c r="G69" s="117"/>
      <c r="H69" s="117"/>
      <c r="I69" s="300">
        <f>SUM(I67:I68)</f>
        <v>8628146</v>
      </c>
      <c r="J69" s="130"/>
      <c r="K69" s="297">
        <f>IF((K67-K68)&gt;0,K67-K68,0)</f>
        <v>9681872</v>
      </c>
      <c r="L69" s="502"/>
    </row>
    <row r="70" spans="1:12" ht="12.75">
      <c r="A70" s="172"/>
      <c r="B70" s="143"/>
      <c r="C70" s="126"/>
      <c r="D70" s="20"/>
      <c r="E70" s="20"/>
      <c r="F70" s="20"/>
      <c r="G70" s="23"/>
      <c r="H70" s="23"/>
      <c r="I70" s="159"/>
      <c r="J70" s="6"/>
      <c r="K70" s="159"/>
      <c r="L70" s="171"/>
    </row>
    <row r="71" spans="1:12" ht="12.75">
      <c r="A71" s="172" t="s">
        <v>461</v>
      </c>
      <c r="B71" s="143">
        <v>17</v>
      </c>
      <c r="C71" s="348">
        <f>'Tax Rates'!C18</f>
        <v>0.003</v>
      </c>
      <c r="D71" s="116"/>
      <c r="E71" s="116"/>
      <c r="F71" s="116"/>
      <c r="G71" s="117"/>
      <c r="H71" s="117"/>
      <c r="I71" s="301">
        <f>IF(K71&lt;C71,K71-C71,C71)</f>
        <v>0.003</v>
      </c>
      <c r="J71" s="6"/>
      <c r="K71" s="348">
        <f>TAXREC!E229</f>
        <v>0.003</v>
      </c>
      <c r="L71" s="171"/>
    </row>
    <row r="72" spans="1:12" ht="12.75">
      <c r="A72" s="172"/>
      <c r="B72" s="143"/>
      <c r="C72" s="203"/>
      <c r="D72" s="20"/>
      <c r="E72" s="20"/>
      <c r="F72" s="20"/>
      <c r="G72" s="23"/>
      <c r="H72" s="23"/>
      <c r="I72" s="160"/>
      <c r="J72" s="6"/>
      <c r="K72" s="203"/>
      <c r="L72" s="171"/>
    </row>
    <row r="73" spans="1:12" ht="12.75">
      <c r="A73" s="172" t="s">
        <v>410</v>
      </c>
      <c r="B73" s="143"/>
      <c r="C73" s="297">
        <f>IF(C69&gt;0,C69*C71,0)*REGINFO!$B$6/REGINFO!$B$7</f>
        <v>3161.178</v>
      </c>
      <c r="D73" s="114"/>
      <c r="E73" s="114"/>
      <c r="F73" s="114"/>
      <c r="G73" s="115"/>
      <c r="H73" s="115"/>
      <c r="I73" s="300">
        <f>+K73-C73</f>
        <v>25884.822</v>
      </c>
      <c r="J73" s="130"/>
      <c r="K73" s="297">
        <f>TAXREC!E236</f>
        <v>29046</v>
      </c>
      <c r="L73" s="503"/>
    </row>
    <row r="74" spans="1:12" ht="12.75">
      <c r="A74" s="170"/>
      <c r="B74" s="147"/>
      <c r="C74" s="126"/>
      <c r="D74" s="19"/>
      <c r="E74" s="19"/>
      <c r="F74" s="19"/>
      <c r="G74" s="154"/>
      <c r="H74" s="154"/>
      <c r="I74" s="159"/>
      <c r="J74" s="6"/>
      <c r="K74" s="159"/>
      <c r="L74" s="171"/>
    </row>
    <row r="75" spans="1:12" ht="12.75">
      <c r="A75" s="176" t="s">
        <v>310</v>
      </c>
      <c r="B75" s="144"/>
      <c r="C75" s="126"/>
      <c r="D75" s="20"/>
      <c r="E75" s="20"/>
      <c r="F75" s="20"/>
      <c r="G75" s="23"/>
      <c r="H75" s="23"/>
      <c r="I75" s="159"/>
      <c r="J75" s="6"/>
      <c r="K75" s="159"/>
      <c r="L75" s="171"/>
    </row>
    <row r="76" spans="1:12" ht="12.75">
      <c r="A76" s="172" t="s">
        <v>30</v>
      </c>
      <c r="B76" s="143">
        <v>18</v>
      </c>
      <c r="C76" s="297">
        <f>Ratebase</f>
        <v>8553726</v>
      </c>
      <c r="D76" s="116"/>
      <c r="E76" s="116"/>
      <c r="F76" s="116"/>
      <c r="G76" s="117"/>
      <c r="H76" s="117"/>
      <c r="I76" s="300">
        <f>+K76-C76</f>
        <v>4369337</v>
      </c>
      <c r="J76" s="6"/>
      <c r="K76" s="300">
        <f>TAXREC!E287</f>
        <v>12923063</v>
      </c>
      <c r="L76" s="171"/>
    </row>
    <row r="77" spans="1:12" ht="12.75">
      <c r="A77" s="172" t="s">
        <v>460</v>
      </c>
      <c r="B77" s="143">
        <v>19</v>
      </c>
      <c r="C77" s="293">
        <f>IF(C76&gt;0,'Tax Rates'!C22,0)</f>
        <v>50000000</v>
      </c>
      <c r="D77" s="20"/>
      <c r="E77" s="20"/>
      <c r="F77" s="20"/>
      <c r="G77" s="23"/>
      <c r="H77" s="23"/>
      <c r="I77" s="300">
        <f>+K77-C77</f>
        <v>0</v>
      </c>
      <c r="J77" s="6"/>
      <c r="K77" s="300">
        <f>TAXREC!E289</f>
        <v>50000000</v>
      </c>
      <c r="L77" s="171"/>
    </row>
    <row r="78" spans="1:12" ht="12.75">
      <c r="A78" s="172" t="s">
        <v>55</v>
      </c>
      <c r="B78" s="143"/>
      <c r="C78" s="297">
        <f>IF((C76-C77)&gt;0,C76-C77,0)</f>
        <v>0</v>
      </c>
      <c r="D78" s="24"/>
      <c r="E78" s="24"/>
      <c r="F78" s="24"/>
      <c r="G78" s="25"/>
      <c r="H78" s="25"/>
      <c r="I78" s="300">
        <f>SUM(I76:I77)</f>
        <v>4369337</v>
      </c>
      <c r="J78" s="130"/>
      <c r="K78" s="297">
        <f>IF((K76-K77)&gt;0,K76-K77,0)</f>
        <v>0</v>
      </c>
      <c r="L78" s="502"/>
    </row>
    <row r="79" spans="1:12" ht="12.75">
      <c r="A79" s="172"/>
      <c r="B79" s="143"/>
      <c r="C79" s="126"/>
      <c r="D79" s="20"/>
      <c r="E79" s="20"/>
      <c r="F79" s="155"/>
      <c r="G79" s="23"/>
      <c r="H79" s="23"/>
      <c r="I79" s="159"/>
      <c r="J79" s="6"/>
      <c r="K79" s="159"/>
      <c r="L79" s="171"/>
    </row>
    <row r="80" spans="1:12" ht="12.75">
      <c r="A80" s="172" t="s">
        <v>461</v>
      </c>
      <c r="B80" s="143">
        <v>20</v>
      </c>
      <c r="C80" s="348">
        <f>'Tax Rates'!C19</f>
        <v>0.00175</v>
      </c>
      <c r="D80" s="116"/>
      <c r="E80" s="116"/>
      <c r="F80" s="116"/>
      <c r="G80" s="117"/>
      <c r="H80" s="117"/>
      <c r="I80" s="301">
        <f>K80-C80</f>
        <v>0</v>
      </c>
      <c r="J80" s="6"/>
      <c r="K80" s="301">
        <f>TAXREC!E293</f>
        <v>0.00175</v>
      </c>
      <c r="L80" s="171"/>
    </row>
    <row r="81" spans="1:12" ht="12.75">
      <c r="A81" s="172"/>
      <c r="B81" s="143"/>
      <c r="C81" s="126"/>
      <c r="D81" s="20"/>
      <c r="E81" s="20"/>
      <c r="F81" s="20"/>
      <c r="G81" s="23"/>
      <c r="H81" s="23"/>
      <c r="I81" s="159"/>
      <c r="J81" s="6"/>
      <c r="K81" s="159"/>
      <c r="L81" s="171"/>
    </row>
    <row r="82" spans="1:12" ht="12.75">
      <c r="A82" s="172" t="s">
        <v>411</v>
      </c>
      <c r="B82" s="143"/>
      <c r="C82" s="297">
        <f>IF(C78&gt;0,C78*C80,0)*REGINFO!$B$6/REGINFO!$B$7</f>
        <v>0</v>
      </c>
      <c r="D82" s="116"/>
      <c r="E82" s="116"/>
      <c r="F82" s="116"/>
      <c r="G82" s="117"/>
      <c r="H82" s="117"/>
      <c r="I82" s="300">
        <f>+K82-C82</f>
        <v>0</v>
      </c>
      <c r="J82" s="6"/>
      <c r="K82" s="297">
        <f>TAXREC!E298</f>
        <v>0</v>
      </c>
      <c r="L82" s="171"/>
    </row>
    <row r="83" spans="1:12" ht="12.75">
      <c r="A83" s="172" t="s">
        <v>412</v>
      </c>
      <c r="B83" s="143">
        <v>21</v>
      </c>
      <c r="C83" s="347">
        <f>IF(C78&gt;0,IF(C61&gt;0,C51*'Tax Rates'!C20,0),0)</f>
        <v>0</v>
      </c>
      <c r="D83" s="116"/>
      <c r="E83" s="116"/>
      <c r="F83" s="116"/>
      <c r="G83" s="117"/>
      <c r="H83" s="117"/>
      <c r="I83" s="300">
        <f>+K83-C83</f>
        <v>6577</v>
      </c>
      <c r="J83" s="6"/>
      <c r="K83" s="297">
        <f>TAXREC!E302</f>
        <v>6577</v>
      </c>
      <c r="L83" s="171"/>
    </row>
    <row r="84" spans="1:12" ht="12.75">
      <c r="A84" s="172"/>
      <c r="B84" s="143"/>
      <c r="C84" s="126"/>
      <c r="D84" s="156"/>
      <c r="E84" s="20"/>
      <c r="F84" s="20"/>
      <c r="G84" s="23"/>
      <c r="H84" s="23"/>
      <c r="I84" s="159"/>
      <c r="J84" s="6"/>
      <c r="K84" s="159"/>
      <c r="L84" s="171"/>
    </row>
    <row r="85" spans="1:12" ht="12.75">
      <c r="A85" s="172" t="s">
        <v>44</v>
      </c>
      <c r="B85" s="143"/>
      <c r="C85" s="297">
        <f>IF(C82&gt;C83,C82-C83,0)</f>
        <v>0</v>
      </c>
      <c r="D85" s="21"/>
      <c r="E85" s="114"/>
      <c r="F85" s="21"/>
      <c r="G85" s="16"/>
      <c r="H85" s="16"/>
      <c r="I85" s="300">
        <f>+K85-C85</f>
        <v>0</v>
      </c>
      <c r="J85" s="118"/>
      <c r="K85" s="297">
        <f>IF(K82&gt;K83,K82-K83,0)</f>
        <v>0</v>
      </c>
      <c r="L85" s="503"/>
    </row>
    <row r="86" spans="1:12" ht="12.75">
      <c r="A86" s="172"/>
      <c r="B86" s="143"/>
      <c r="C86" s="121"/>
      <c r="D86" s="39"/>
      <c r="E86" s="39"/>
      <c r="F86" s="39"/>
      <c r="G86" s="11"/>
      <c r="H86" s="11"/>
      <c r="I86" s="161"/>
      <c r="J86" s="6"/>
      <c r="K86" s="161"/>
      <c r="L86" s="171"/>
    </row>
    <row r="87" spans="1:12" ht="12.75">
      <c r="A87" s="174" t="s">
        <v>184</v>
      </c>
      <c r="B87" s="146"/>
      <c r="C87" s="121"/>
      <c r="D87" s="113"/>
      <c r="E87" s="113"/>
      <c r="F87" s="113"/>
      <c r="G87" s="11"/>
      <c r="H87" s="11"/>
      <c r="I87" s="131"/>
      <c r="J87" s="3"/>
      <c r="K87" s="140"/>
      <c r="L87" s="171"/>
    </row>
    <row r="88" spans="1:12" ht="12.75">
      <c r="A88" s="174"/>
      <c r="B88" s="146"/>
      <c r="C88" s="121"/>
      <c r="D88" s="113"/>
      <c r="E88" s="113"/>
      <c r="F88" s="113"/>
      <c r="G88" s="11"/>
      <c r="H88" s="11"/>
      <c r="I88" s="130"/>
      <c r="J88" s="6"/>
      <c r="K88" s="217"/>
      <c r="L88" s="171"/>
    </row>
    <row r="89" spans="1:12" ht="12.75">
      <c r="A89" s="172" t="s">
        <v>568</v>
      </c>
      <c r="B89" s="143"/>
      <c r="C89" s="295">
        <f>IF($C$51=0,'Tax Rates'!F16,IF($C$51&gt;'Tax Rates'!$E$11,'Tax Rates'!$F$16,IF(AND($C$51&gt;='Tax Rates'!$C$11,$C$51&lt;='Tax Rates'!E11),'Tax Rates'!$E$16,'Tax Rates'!$C$16)))</f>
        <v>0.275</v>
      </c>
      <c r="D89" s="39"/>
      <c r="E89" s="39"/>
      <c r="F89" s="39"/>
      <c r="G89" s="11"/>
      <c r="H89" s="11"/>
      <c r="I89" s="130"/>
      <c r="J89" s="6"/>
      <c r="K89" s="217"/>
      <c r="L89" s="171"/>
    </row>
    <row r="90" spans="1:12" ht="12.75">
      <c r="A90" s="170"/>
      <c r="B90" s="147"/>
      <c r="C90" s="126"/>
      <c r="D90" s="113"/>
      <c r="E90" s="113"/>
      <c r="F90" s="113"/>
      <c r="G90" s="11"/>
      <c r="H90" s="11"/>
      <c r="I90" s="130"/>
      <c r="J90" s="6"/>
      <c r="K90" s="217"/>
      <c r="L90" s="171"/>
    </row>
    <row r="91" spans="1:12" ht="12.75">
      <c r="A91" s="178" t="s">
        <v>469</v>
      </c>
      <c r="B91" s="145">
        <v>22</v>
      </c>
      <c r="C91" s="297">
        <f>C61/(1-C89)</f>
        <v>196487.47439655176</v>
      </c>
      <c r="D91" s="113"/>
      <c r="E91" s="113"/>
      <c r="F91" s="113"/>
      <c r="G91" s="26"/>
      <c r="H91" s="26"/>
      <c r="I91" s="159"/>
      <c r="J91" s="482" t="s">
        <v>479</v>
      </c>
      <c r="K91" s="303">
        <f>TAXREC!E310</f>
        <v>246866</v>
      </c>
      <c r="L91" s="171"/>
    </row>
    <row r="92" spans="1:12" ht="12.75">
      <c r="A92" s="178" t="s">
        <v>470</v>
      </c>
      <c r="B92" s="145">
        <v>23</v>
      </c>
      <c r="C92" s="297">
        <f>C85/(1-C89)</f>
        <v>0</v>
      </c>
      <c r="D92" s="113"/>
      <c r="E92" s="113"/>
      <c r="F92" s="113"/>
      <c r="G92" s="26"/>
      <c r="H92" s="26"/>
      <c r="I92" s="159"/>
      <c r="J92" s="482" t="s">
        <v>479</v>
      </c>
      <c r="K92" s="303">
        <f>TAXREC!E312</f>
        <v>0</v>
      </c>
      <c r="L92" s="171"/>
    </row>
    <row r="93" spans="1:12" ht="12.75">
      <c r="A93" s="178" t="s">
        <v>438</v>
      </c>
      <c r="B93" s="145">
        <v>24</v>
      </c>
      <c r="C93" s="297">
        <f>C73</f>
        <v>3161.178</v>
      </c>
      <c r="D93" s="113"/>
      <c r="E93" s="113"/>
      <c r="F93" s="113"/>
      <c r="G93" s="26"/>
      <c r="H93" s="26"/>
      <c r="I93" s="159"/>
      <c r="J93" s="482" t="s">
        <v>479</v>
      </c>
      <c r="K93" s="303">
        <f>TAXREC!E311</f>
        <v>29046</v>
      </c>
      <c r="L93" s="171"/>
    </row>
    <row r="94" spans="1:12" ht="12.75">
      <c r="A94" s="178"/>
      <c r="B94" s="145"/>
      <c r="C94" s="126"/>
      <c r="D94" s="113"/>
      <c r="E94" s="113"/>
      <c r="F94" s="113"/>
      <c r="G94" s="11"/>
      <c r="H94" s="11"/>
      <c r="I94" s="159"/>
      <c r="J94" s="6"/>
      <c r="K94" s="159"/>
      <c r="L94" s="171"/>
    </row>
    <row r="95" spans="1:12" ht="13.5" thickBot="1">
      <c r="A95" s="178"/>
      <c r="B95" s="145"/>
      <c r="C95" s="126"/>
      <c r="D95" s="113"/>
      <c r="E95" s="113"/>
      <c r="F95" s="113"/>
      <c r="G95" s="11"/>
      <c r="H95" s="11"/>
      <c r="I95" s="159"/>
      <c r="J95" s="6"/>
      <c r="K95" s="159"/>
      <c r="L95" s="171"/>
    </row>
    <row r="96" spans="1:12" ht="13.5" thickBot="1">
      <c r="A96" s="176" t="s">
        <v>499</v>
      </c>
      <c r="B96" s="143">
        <v>25</v>
      </c>
      <c r="C96" s="302">
        <f>SUM(C91:C94)</f>
        <v>199648.65239655174</v>
      </c>
      <c r="D96" s="99"/>
      <c r="E96" s="99"/>
      <c r="F96" s="99"/>
      <c r="G96" s="6"/>
      <c r="H96" s="6"/>
      <c r="I96" s="159"/>
      <c r="J96" s="482" t="s">
        <v>479</v>
      </c>
      <c r="K96" s="464">
        <f>SUM(K91:K95)</f>
        <v>275912</v>
      </c>
      <c r="L96" s="181"/>
    </row>
    <row r="97" spans="1:12" ht="12.75">
      <c r="A97" s="453" t="s">
        <v>403</v>
      </c>
      <c r="B97" s="143"/>
      <c r="C97" s="121"/>
      <c r="D97" s="6"/>
      <c r="E97" s="6"/>
      <c r="F97" s="6"/>
      <c r="G97" s="6"/>
      <c r="H97" s="6"/>
      <c r="I97" s="125"/>
      <c r="J97" s="6"/>
      <c r="K97" s="159"/>
      <c r="L97" s="181"/>
    </row>
    <row r="98" spans="1:12" ht="13.5" thickBot="1">
      <c r="A98" s="172"/>
      <c r="B98" s="143"/>
      <c r="C98" s="121"/>
      <c r="D98" s="6"/>
      <c r="E98" s="6"/>
      <c r="F98" s="6"/>
      <c r="G98" s="6"/>
      <c r="H98" s="6"/>
      <c r="I98" s="125"/>
      <c r="J98" s="6"/>
      <c r="K98" s="159"/>
      <c r="L98" s="200"/>
    </row>
    <row r="99" spans="1:12" ht="13.5" thickTop="1">
      <c r="A99" s="182"/>
      <c r="B99" s="141"/>
      <c r="C99" s="127"/>
      <c r="D99" s="7"/>
      <c r="E99" s="7"/>
      <c r="F99" s="7"/>
      <c r="G99" s="7"/>
      <c r="H99" s="7"/>
      <c r="I99" s="162"/>
      <c r="J99" s="7"/>
      <c r="K99" s="218"/>
      <c r="L99" s="181"/>
    </row>
    <row r="100" spans="1:12" ht="12.75">
      <c r="A100" s="176" t="s">
        <v>396</v>
      </c>
      <c r="B100" s="140"/>
      <c r="C100" s="128"/>
      <c r="D100" s="3"/>
      <c r="E100" s="3"/>
      <c r="F100" s="3"/>
      <c r="G100" s="3"/>
      <c r="H100" s="3"/>
      <c r="I100" s="128"/>
      <c r="J100" s="3"/>
      <c r="K100" s="219"/>
      <c r="L100" s="181"/>
    </row>
    <row r="101" spans="1:12" ht="15">
      <c r="A101" s="183" t="s">
        <v>342</v>
      </c>
      <c r="B101" s="140"/>
      <c r="C101" s="128"/>
      <c r="D101" s="3"/>
      <c r="E101" s="3"/>
      <c r="F101" s="3"/>
      <c r="G101" s="3"/>
      <c r="H101" s="3"/>
      <c r="I101" s="163" t="s">
        <v>344</v>
      </c>
      <c r="J101" s="43"/>
      <c r="K101" s="219"/>
      <c r="L101" s="181"/>
    </row>
    <row r="102" spans="1:12" ht="12.75">
      <c r="A102" s="176" t="s">
        <v>437</v>
      </c>
      <c r="B102" s="140"/>
      <c r="C102" s="128"/>
      <c r="D102" s="3"/>
      <c r="E102" s="3"/>
      <c r="F102" s="3"/>
      <c r="G102" s="3"/>
      <c r="H102" s="3"/>
      <c r="I102" s="128"/>
      <c r="J102" s="43"/>
      <c r="K102" s="219"/>
      <c r="L102" s="181"/>
    </row>
    <row r="103" spans="1:12" ht="12.75">
      <c r="A103" s="178" t="s">
        <v>121</v>
      </c>
      <c r="B103" s="145">
        <v>3</v>
      </c>
      <c r="C103" s="128"/>
      <c r="D103" s="3"/>
      <c r="E103" s="3"/>
      <c r="F103" s="3"/>
      <c r="G103" s="3"/>
      <c r="H103" s="3"/>
      <c r="I103" s="283">
        <f>I21</f>
        <v>84773</v>
      </c>
      <c r="J103" s="43"/>
      <c r="K103" s="220"/>
      <c r="L103" s="181"/>
    </row>
    <row r="104" spans="1:12" ht="12.75">
      <c r="A104" s="178" t="s">
        <v>24</v>
      </c>
      <c r="B104" s="145">
        <v>4</v>
      </c>
      <c r="C104" s="128"/>
      <c r="D104" s="3"/>
      <c r="E104" s="3"/>
      <c r="F104" s="3"/>
      <c r="G104" s="3"/>
      <c r="H104" s="3"/>
      <c r="I104" s="283">
        <f>I22</f>
        <v>0</v>
      </c>
      <c r="J104" s="43"/>
      <c r="K104" s="220"/>
      <c r="L104" s="181"/>
    </row>
    <row r="105" spans="1:12" ht="12.75">
      <c r="A105" s="178" t="s">
        <v>165</v>
      </c>
      <c r="B105" s="145">
        <v>4</v>
      </c>
      <c r="C105" s="128"/>
      <c r="D105" s="3"/>
      <c r="E105" s="3"/>
      <c r="F105" s="3"/>
      <c r="G105" s="3"/>
      <c r="H105" s="3"/>
      <c r="I105" s="283">
        <f>I23</f>
        <v>0</v>
      </c>
      <c r="J105" s="43"/>
      <c r="K105" s="220"/>
      <c r="L105" s="181"/>
    </row>
    <row r="106" spans="1:12" ht="12.75">
      <c r="A106" s="178" t="s">
        <v>57</v>
      </c>
      <c r="B106" s="145">
        <v>5</v>
      </c>
      <c r="C106" s="128"/>
      <c r="D106" s="3"/>
      <c r="E106" s="3"/>
      <c r="F106" s="3"/>
      <c r="G106" s="3"/>
      <c r="H106" s="3"/>
      <c r="I106" s="283">
        <f>I24</f>
        <v>169696</v>
      </c>
      <c r="J106" s="43"/>
      <c r="K106" s="220"/>
      <c r="L106" s="181"/>
    </row>
    <row r="107" spans="1:12" ht="12.75">
      <c r="A107" s="178" t="s">
        <v>463</v>
      </c>
      <c r="B107" s="145">
        <v>6</v>
      </c>
      <c r="C107" s="128"/>
      <c r="D107" s="3"/>
      <c r="E107" s="3"/>
      <c r="F107" s="3"/>
      <c r="G107" s="3"/>
      <c r="H107" s="3"/>
      <c r="I107" s="283">
        <f>I27</f>
        <v>48117</v>
      </c>
      <c r="J107" s="43"/>
      <c r="K107" s="220"/>
      <c r="L107" s="181"/>
    </row>
    <row r="108" spans="1:12" ht="12.75">
      <c r="A108" s="178" t="s">
        <v>464</v>
      </c>
      <c r="B108" s="145">
        <v>6</v>
      </c>
      <c r="C108" s="128"/>
      <c r="D108" s="3"/>
      <c r="E108" s="3"/>
      <c r="F108" s="3"/>
      <c r="G108" s="3"/>
      <c r="H108" s="3"/>
      <c r="I108" s="283">
        <f>I29</f>
        <v>103200</v>
      </c>
      <c r="J108" s="43"/>
      <c r="K108" s="220"/>
      <c r="L108" s="181"/>
    </row>
    <row r="109" spans="1:12" ht="12.75">
      <c r="A109" s="176" t="s">
        <v>462</v>
      </c>
      <c r="B109" s="145"/>
      <c r="C109" s="128"/>
      <c r="D109" s="3"/>
      <c r="E109" s="3"/>
      <c r="F109" s="3"/>
      <c r="G109" s="3"/>
      <c r="H109" s="3"/>
      <c r="I109" s="36"/>
      <c r="J109" s="43"/>
      <c r="K109" s="220"/>
      <c r="L109" s="181"/>
    </row>
    <row r="110" spans="1:12" ht="12.75">
      <c r="A110" s="178" t="s">
        <v>122</v>
      </c>
      <c r="B110" s="145">
        <v>8</v>
      </c>
      <c r="C110" s="128"/>
      <c r="D110" s="3"/>
      <c r="E110" s="3"/>
      <c r="F110" s="3"/>
      <c r="G110" s="3"/>
      <c r="H110" s="3"/>
      <c r="I110" s="283">
        <f>I34</f>
        <v>0</v>
      </c>
      <c r="J110" s="43"/>
      <c r="K110" s="220"/>
      <c r="L110" s="181"/>
    </row>
    <row r="111" spans="1:12" ht="12.75">
      <c r="A111" s="178" t="s">
        <v>58</v>
      </c>
      <c r="B111" s="145">
        <v>9</v>
      </c>
      <c r="C111" s="128"/>
      <c r="D111" s="3"/>
      <c r="E111" s="3"/>
      <c r="F111" s="3"/>
      <c r="G111" s="3"/>
      <c r="H111" s="3"/>
      <c r="I111" s="283">
        <f>I35</f>
        <v>0</v>
      </c>
      <c r="J111" s="43"/>
      <c r="K111" s="220"/>
      <c r="L111" s="181"/>
    </row>
    <row r="112" spans="1:12" ht="12.75">
      <c r="A112" s="178" t="s">
        <v>57</v>
      </c>
      <c r="B112" s="145">
        <v>10</v>
      </c>
      <c r="C112" s="128"/>
      <c r="D112" s="3"/>
      <c r="E112" s="3"/>
      <c r="F112" s="3"/>
      <c r="G112" s="3"/>
      <c r="H112" s="3"/>
      <c r="I112" s="283">
        <f>I36</f>
        <v>0</v>
      </c>
      <c r="J112" s="43"/>
      <c r="K112" s="220"/>
      <c r="L112" s="181"/>
    </row>
    <row r="113" spans="1:12" ht="12.75">
      <c r="A113" s="175" t="s">
        <v>593</v>
      </c>
      <c r="B113" s="145">
        <v>11</v>
      </c>
      <c r="C113" s="128"/>
      <c r="D113" s="3"/>
      <c r="E113" s="3"/>
      <c r="F113" s="3"/>
      <c r="G113" s="3"/>
      <c r="H113" s="3"/>
      <c r="I113" s="283">
        <f>I207</f>
        <v>67822.4325</v>
      </c>
      <c r="J113" s="206"/>
      <c r="K113" s="220"/>
      <c r="L113" s="181"/>
    </row>
    <row r="114" spans="1:12" ht="12.75">
      <c r="A114" s="175" t="s">
        <v>29</v>
      </c>
      <c r="B114" s="143">
        <v>4</v>
      </c>
      <c r="C114" s="128"/>
      <c r="D114" s="3"/>
      <c r="E114" s="3"/>
      <c r="F114" s="3"/>
      <c r="G114" s="3"/>
      <c r="H114" s="3"/>
      <c r="I114" s="283">
        <f>I39</f>
        <v>0</v>
      </c>
      <c r="J114" s="43"/>
      <c r="K114" s="220"/>
      <c r="L114" s="181"/>
    </row>
    <row r="115" spans="1:12" ht="12.75">
      <c r="A115" s="175" t="s">
        <v>166</v>
      </c>
      <c r="B115" s="143">
        <v>4</v>
      </c>
      <c r="C115" s="128"/>
      <c r="D115" s="3"/>
      <c r="E115" s="3"/>
      <c r="F115" s="3"/>
      <c r="G115" s="3"/>
      <c r="H115" s="3"/>
      <c r="I115" s="283">
        <f>I40</f>
        <v>0</v>
      </c>
      <c r="J115" s="43"/>
      <c r="K115" s="220"/>
      <c r="L115" s="181"/>
    </row>
    <row r="116" spans="1:12" ht="12.75">
      <c r="A116" s="175" t="s">
        <v>26</v>
      </c>
      <c r="B116" s="143">
        <v>3</v>
      </c>
      <c r="C116" s="128"/>
      <c r="D116" s="3"/>
      <c r="E116" s="3"/>
      <c r="F116" s="3"/>
      <c r="G116" s="3"/>
      <c r="H116" s="3"/>
      <c r="I116" s="283">
        <f>I41</f>
        <v>0</v>
      </c>
      <c r="J116" s="43"/>
      <c r="K116" s="220"/>
      <c r="L116" s="181"/>
    </row>
    <row r="117" spans="1:12" ht="12.75">
      <c r="A117" s="175" t="s">
        <v>27</v>
      </c>
      <c r="B117" s="143">
        <v>3</v>
      </c>
      <c r="C117" s="128"/>
      <c r="D117" s="3"/>
      <c r="E117" s="3"/>
      <c r="F117" s="3"/>
      <c r="G117" s="3"/>
      <c r="H117" s="3"/>
      <c r="I117" s="283">
        <f>I42</f>
        <v>0</v>
      </c>
      <c r="J117" s="43"/>
      <c r="K117" s="220"/>
      <c r="L117" s="181"/>
    </row>
    <row r="118" spans="1:12" ht="12.75">
      <c r="A118" s="178" t="s">
        <v>465</v>
      </c>
      <c r="B118" s="145">
        <v>12</v>
      </c>
      <c r="C118" s="128"/>
      <c r="D118" s="3"/>
      <c r="E118" s="3"/>
      <c r="F118" s="3"/>
      <c r="G118" s="3"/>
      <c r="H118" s="3"/>
      <c r="I118" s="283">
        <f>I46</f>
        <v>0</v>
      </c>
      <c r="J118" s="43"/>
      <c r="K118" s="220"/>
      <c r="L118" s="181"/>
    </row>
    <row r="119" spans="1:12" ht="12.75">
      <c r="A119" s="178" t="s">
        <v>466</v>
      </c>
      <c r="B119" s="145">
        <v>12</v>
      </c>
      <c r="C119" s="128"/>
      <c r="D119" s="3"/>
      <c r="E119" s="3"/>
      <c r="F119" s="3"/>
      <c r="G119" s="3"/>
      <c r="H119" s="3"/>
      <c r="I119" s="283">
        <f>I48</f>
        <v>141760</v>
      </c>
      <c r="J119" s="43"/>
      <c r="K119" s="220"/>
      <c r="L119" s="181"/>
    </row>
    <row r="120" spans="1:12" ht="12.75">
      <c r="A120" s="178"/>
      <c r="B120" s="145"/>
      <c r="C120" s="128"/>
      <c r="D120" s="3"/>
      <c r="E120" s="3"/>
      <c r="F120" s="3"/>
      <c r="G120" s="3"/>
      <c r="H120" s="3"/>
      <c r="I120" s="126"/>
      <c r="J120" s="43"/>
      <c r="K120" s="220"/>
      <c r="L120" s="181"/>
    </row>
    <row r="121" spans="1:12" ht="12.75">
      <c r="A121" s="172" t="s">
        <v>312</v>
      </c>
      <c r="B121" s="145">
        <v>26</v>
      </c>
      <c r="C121" s="128"/>
      <c r="D121" s="3"/>
      <c r="E121" s="3"/>
      <c r="F121" s="3"/>
      <c r="G121" s="133"/>
      <c r="H121" s="133" t="s">
        <v>260</v>
      </c>
      <c r="I121" s="297">
        <f>SUM(I103:I108)-SUM(I110:I119)</f>
        <v>196203.5675</v>
      </c>
      <c r="J121" s="43"/>
      <c r="K121" s="220"/>
      <c r="L121" s="181"/>
    </row>
    <row r="122" spans="1:12" ht="12.75">
      <c r="A122" s="172"/>
      <c r="B122" s="145"/>
      <c r="C122" s="128"/>
      <c r="D122" s="3"/>
      <c r="E122" s="3"/>
      <c r="F122" s="3"/>
      <c r="G122" s="133"/>
      <c r="H122" s="133"/>
      <c r="I122" s="126"/>
      <c r="J122" s="43"/>
      <c r="K122" s="220"/>
      <c r="L122" s="181"/>
    </row>
    <row r="123" spans="1:12" ht="12.75">
      <c r="A123" s="177" t="s">
        <v>532</v>
      </c>
      <c r="B123" s="145"/>
      <c r="C123" s="128"/>
      <c r="D123" s="3"/>
      <c r="E123" s="3"/>
      <c r="F123" s="3"/>
      <c r="G123" s="3"/>
      <c r="H123" s="3" t="s">
        <v>327</v>
      </c>
      <c r="I123" s="359">
        <f>K54</f>
        <v>0.465</v>
      </c>
      <c r="J123" s="134"/>
      <c r="K123" s="220" t="s">
        <v>167</v>
      </c>
      <c r="L123" s="181"/>
    </row>
    <row r="124" spans="1:12" ht="12.75">
      <c r="A124" s="178"/>
      <c r="B124" s="145"/>
      <c r="C124" s="128"/>
      <c r="D124" s="3"/>
      <c r="E124" s="3"/>
      <c r="F124" s="3"/>
      <c r="G124" s="3"/>
      <c r="H124" s="3"/>
      <c r="I124" s="126"/>
      <c r="J124" s="43"/>
      <c r="K124" s="220" t="s">
        <v>167</v>
      </c>
      <c r="L124" s="181"/>
    </row>
    <row r="125" spans="1:12" ht="12.75">
      <c r="A125" s="178" t="s">
        <v>341</v>
      </c>
      <c r="B125" s="145"/>
      <c r="C125" s="128"/>
      <c r="D125" s="3"/>
      <c r="E125" s="3"/>
      <c r="F125" s="3"/>
      <c r="G125" s="3"/>
      <c r="H125" s="3" t="s">
        <v>260</v>
      </c>
      <c r="I125" s="297">
        <f>I121*I123</f>
        <v>91234.6588875</v>
      </c>
      <c r="J125" s="43"/>
      <c r="K125" s="220"/>
      <c r="L125" s="181"/>
    </row>
    <row r="126" spans="1:12" ht="12.75">
      <c r="A126" s="178"/>
      <c r="B126" s="145"/>
      <c r="C126" s="128"/>
      <c r="D126" s="3"/>
      <c r="E126" s="3"/>
      <c r="F126" s="3"/>
      <c r="G126" s="3"/>
      <c r="H126" s="3"/>
      <c r="I126" s="126"/>
      <c r="J126" s="43"/>
      <c r="K126" s="220"/>
      <c r="L126" s="181"/>
    </row>
    <row r="127" spans="1:12" ht="12.75">
      <c r="A127" s="178" t="s">
        <v>180</v>
      </c>
      <c r="B127" s="145">
        <v>14</v>
      </c>
      <c r="C127" s="128"/>
      <c r="D127" s="3"/>
      <c r="E127" s="3"/>
      <c r="F127" s="3"/>
      <c r="G127" s="3"/>
      <c r="H127" s="3"/>
      <c r="I127" s="297">
        <f>I59</f>
        <v>0</v>
      </c>
      <c r="J127" s="43"/>
      <c r="K127" s="220"/>
      <c r="L127" s="181"/>
    </row>
    <row r="128" spans="1:12" ht="12.75">
      <c r="A128" s="178"/>
      <c r="B128" s="145"/>
      <c r="C128" s="128"/>
      <c r="D128" s="3"/>
      <c r="E128" s="3"/>
      <c r="F128" s="3"/>
      <c r="G128" s="3"/>
      <c r="H128" s="3"/>
      <c r="I128" s="126"/>
      <c r="J128" s="43"/>
      <c r="K128" s="220"/>
      <c r="L128" s="181"/>
    </row>
    <row r="129" spans="1:12" ht="12.75">
      <c r="A129" s="178" t="s">
        <v>183</v>
      </c>
      <c r="B129" s="145"/>
      <c r="C129" s="128"/>
      <c r="D129" s="3"/>
      <c r="E129" s="3"/>
      <c r="F129" s="3"/>
      <c r="G129" s="3"/>
      <c r="H129" s="3"/>
      <c r="I129" s="297">
        <f>I125-I127</f>
        <v>91234.6588875</v>
      </c>
      <c r="J129" s="43"/>
      <c r="K129" s="220"/>
      <c r="L129" s="181"/>
    </row>
    <row r="130" spans="1:12" ht="12.75">
      <c r="A130" s="184"/>
      <c r="B130" s="145"/>
      <c r="C130" s="128"/>
      <c r="D130" s="3"/>
      <c r="E130" s="3"/>
      <c r="F130" s="3"/>
      <c r="G130" s="3"/>
      <c r="H130" s="3"/>
      <c r="I130" s="126"/>
      <c r="J130" s="43"/>
      <c r="K130" s="220"/>
      <c r="L130" s="181"/>
    </row>
    <row r="131" spans="1:12" ht="12.75">
      <c r="A131" s="172" t="s">
        <v>533</v>
      </c>
      <c r="B131" s="145"/>
      <c r="C131" s="128"/>
      <c r="D131" s="3"/>
      <c r="E131" s="3"/>
      <c r="F131" s="3"/>
      <c r="G131" s="3"/>
      <c r="H131" s="3"/>
      <c r="I131" s="359">
        <f>K54-1.12%</f>
        <v>0.45380000000000004</v>
      </c>
      <c r="J131" s="43"/>
      <c r="K131" s="220"/>
      <c r="L131" s="181"/>
    </row>
    <row r="132" spans="1:12" ht="12.75">
      <c r="A132" s="170"/>
      <c r="B132" s="145"/>
      <c r="C132" s="128"/>
      <c r="D132" s="3"/>
      <c r="E132" s="3"/>
      <c r="F132" s="3"/>
      <c r="G132" s="3"/>
      <c r="H132" s="3"/>
      <c r="I132" s="126"/>
      <c r="J132" s="43"/>
      <c r="K132" s="220"/>
      <c r="L132" s="181"/>
    </row>
    <row r="133" spans="1:12" ht="12.75">
      <c r="A133" s="185" t="s">
        <v>451</v>
      </c>
      <c r="B133" s="148"/>
      <c r="C133" s="128"/>
      <c r="D133" s="3"/>
      <c r="E133" s="3"/>
      <c r="F133" s="3"/>
      <c r="G133" s="3"/>
      <c r="H133" s="3"/>
      <c r="I133" s="296">
        <f>I129/(1-I131)</f>
        <v>167035.25977206152</v>
      </c>
      <c r="J133" s="43"/>
      <c r="K133" s="220"/>
      <c r="L133" s="181"/>
    </row>
    <row r="134" spans="1:12" ht="12.75">
      <c r="A134" s="185"/>
      <c r="B134" s="148"/>
      <c r="C134" s="128"/>
      <c r="D134" s="3"/>
      <c r="E134" s="3"/>
      <c r="F134" s="3"/>
      <c r="G134" s="3"/>
      <c r="H134" s="3"/>
      <c r="I134" s="123"/>
      <c r="J134" s="43"/>
      <c r="K134" s="220"/>
      <c r="L134" s="181"/>
    </row>
    <row r="135" spans="1:12" ht="30">
      <c r="A135" s="186" t="s">
        <v>454</v>
      </c>
      <c r="B135" s="148"/>
      <c r="C135" s="128"/>
      <c r="D135" s="3"/>
      <c r="E135" s="3"/>
      <c r="F135" s="3"/>
      <c r="G135" s="3"/>
      <c r="H135" s="3"/>
      <c r="I135" s="123"/>
      <c r="J135" s="43"/>
      <c r="K135" s="220"/>
      <c r="L135" s="181"/>
    </row>
    <row r="136" spans="1:12" ht="12.75">
      <c r="A136" s="187"/>
      <c r="B136" s="148"/>
      <c r="C136" s="128"/>
      <c r="D136" s="3"/>
      <c r="E136" s="3"/>
      <c r="F136" s="3"/>
      <c r="G136" s="3"/>
      <c r="H136" s="3"/>
      <c r="I136" s="123"/>
      <c r="J136" s="43"/>
      <c r="K136" s="220"/>
      <c r="L136" s="181"/>
    </row>
    <row r="137" spans="1:12" ht="25.5">
      <c r="A137" s="188" t="s">
        <v>331</v>
      </c>
      <c r="B137" s="148"/>
      <c r="C137" s="128"/>
      <c r="D137" s="3"/>
      <c r="E137" s="3"/>
      <c r="F137" s="3"/>
      <c r="G137" s="135"/>
      <c r="H137" s="135" t="s">
        <v>260</v>
      </c>
      <c r="I137" s="349">
        <f>C51</f>
        <v>518012.4325</v>
      </c>
      <c r="J137" s="43"/>
      <c r="K137" s="220"/>
      <c r="L137" s="181"/>
    </row>
    <row r="138" spans="1:12" ht="12.75">
      <c r="A138" s="188"/>
      <c r="B138" s="148"/>
      <c r="C138" s="128"/>
      <c r="D138" s="3"/>
      <c r="E138" s="3"/>
      <c r="F138" s="3"/>
      <c r="G138" s="136"/>
      <c r="H138" s="136"/>
      <c r="I138" s="165"/>
      <c r="J138" s="43"/>
      <c r="K138" s="220"/>
      <c r="L138" s="181"/>
    </row>
    <row r="139" spans="1:12" ht="12.75">
      <c r="A139" s="188" t="s">
        <v>333</v>
      </c>
      <c r="B139" s="148"/>
      <c r="C139" s="128"/>
      <c r="D139" s="3"/>
      <c r="E139" s="3"/>
      <c r="F139" s="3"/>
      <c r="G139" s="136"/>
      <c r="H139" s="136" t="s">
        <v>327</v>
      </c>
      <c r="I139" s="359">
        <f>IF($C$51=0,'Tax Rates'!F52,IF((C51)&gt;'Tax Rates'!E47,'Tax Rates'!F52,IF((C51)&gt;'Tax Rates'!D47,'Tax Rates'!E52,IF((C51)&gt;'Tax Rates'!C47,'Tax Rates'!D52,'Tax Rates'!C52))))</f>
        <v>0.3187</v>
      </c>
      <c r="J139" s="216" t="s">
        <v>167</v>
      </c>
      <c r="K139" s="220"/>
      <c r="L139" s="181"/>
    </row>
    <row r="140" spans="1:12" ht="12.75">
      <c r="A140" s="188"/>
      <c r="B140" s="148"/>
      <c r="C140" s="128"/>
      <c r="D140" s="3"/>
      <c r="E140" s="3"/>
      <c r="F140" s="3"/>
      <c r="G140" s="136"/>
      <c r="H140" s="136"/>
      <c r="I140" s="164"/>
      <c r="J140" s="43"/>
      <c r="K140" s="220"/>
      <c r="L140" s="181"/>
    </row>
    <row r="141" spans="1:12" ht="12.75">
      <c r="A141" s="188" t="s">
        <v>325</v>
      </c>
      <c r="B141" s="148"/>
      <c r="C141" s="128"/>
      <c r="D141" s="3"/>
      <c r="E141" s="3"/>
      <c r="F141" s="3"/>
      <c r="G141" s="135"/>
      <c r="H141" s="135" t="s">
        <v>260</v>
      </c>
      <c r="I141" s="350">
        <f>IF(I137&gt;0,I137*I139,0)</f>
        <v>165090.56223774998</v>
      </c>
      <c r="J141" s="43"/>
      <c r="K141" s="220"/>
      <c r="L141" s="181"/>
    </row>
    <row r="142" spans="1:12" ht="12.75">
      <c r="A142" s="188"/>
      <c r="B142" s="148"/>
      <c r="C142" s="128"/>
      <c r="D142" s="3"/>
      <c r="E142" s="3"/>
      <c r="F142" s="3"/>
      <c r="G142" s="136"/>
      <c r="H142" s="136"/>
      <c r="I142" s="164"/>
      <c r="J142" s="43"/>
      <c r="K142" s="220"/>
      <c r="L142" s="181"/>
    </row>
    <row r="143" spans="1:12" ht="12.75">
      <c r="A143" s="188" t="s">
        <v>334</v>
      </c>
      <c r="B143" s="148"/>
      <c r="C143" s="128"/>
      <c r="D143" s="3"/>
      <c r="E143" s="3"/>
      <c r="F143" s="3"/>
      <c r="G143" s="135"/>
      <c r="H143" s="135" t="s">
        <v>258</v>
      </c>
      <c r="I143" s="351">
        <f>TAXREC!E148</f>
        <v>0</v>
      </c>
      <c r="J143" s="43"/>
      <c r="K143" s="220"/>
      <c r="L143" s="181"/>
    </row>
    <row r="144" spans="1:12" ht="12.75">
      <c r="A144" s="188"/>
      <c r="B144" s="148"/>
      <c r="C144" s="128"/>
      <c r="D144" s="3"/>
      <c r="E144" s="3"/>
      <c r="F144" s="3"/>
      <c r="G144" s="136"/>
      <c r="H144" s="136"/>
      <c r="I144" s="164"/>
      <c r="J144" s="43"/>
      <c r="K144" s="220"/>
      <c r="L144" s="181"/>
    </row>
    <row r="145" spans="1:12" ht="12.75">
      <c r="A145" s="188" t="s">
        <v>326</v>
      </c>
      <c r="B145" s="148"/>
      <c r="C145" s="128"/>
      <c r="D145" s="3"/>
      <c r="E145" s="3"/>
      <c r="F145" s="3"/>
      <c r="G145" s="136"/>
      <c r="H145" s="136" t="s">
        <v>260</v>
      </c>
      <c r="I145" s="349">
        <f>I141-I143</f>
        <v>165090.56223774998</v>
      </c>
      <c r="J145" s="43"/>
      <c r="K145" s="220"/>
      <c r="L145" s="181"/>
    </row>
    <row r="146" spans="1:12" ht="12.75">
      <c r="A146" s="188"/>
      <c r="B146" s="148"/>
      <c r="C146" s="128"/>
      <c r="D146" s="3"/>
      <c r="E146" s="3"/>
      <c r="F146" s="3"/>
      <c r="G146" s="136"/>
      <c r="H146" s="136"/>
      <c r="I146" s="164"/>
      <c r="J146" s="43"/>
      <c r="K146" s="220"/>
      <c r="L146" s="181"/>
    </row>
    <row r="147" spans="1:12" ht="25.5">
      <c r="A147" s="188" t="s">
        <v>595</v>
      </c>
      <c r="B147" s="148"/>
      <c r="C147" s="128"/>
      <c r="D147" s="3"/>
      <c r="E147" s="3"/>
      <c r="F147" s="3"/>
      <c r="G147" s="135"/>
      <c r="H147" s="135" t="s">
        <v>258</v>
      </c>
      <c r="I147" s="349">
        <f>C61</f>
        <v>142453.4189375</v>
      </c>
      <c r="J147" s="43"/>
      <c r="K147" s="220"/>
      <c r="L147" s="181"/>
    </row>
    <row r="148" spans="1:12" ht="12.75">
      <c r="A148" s="188"/>
      <c r="B148" s="148"/>
      <c r="C148" s="128"/>
      <c r="D148" s="3"/>
      <c r="E148" s="3"/>
      <c r="F148" s="3"/>
      <c r="G148" s="136"/>
      <c r="H148" s="136"/>
      <c r="I148" s="164"/>
      <c r="J148" s="43"/>
      <c r="K148" s="220"/>
      <c r="L148" s="181"/>
    </row>
    <row r="149" spans="1:12" ht="12.75">
      <c r="A149" s="188" t="s">
        <v>328</v>
      </c>
      <c r="B149" s="148"/>
      <c r="C149" s="128"/>
      <c r="D149" s="3"/>
      <c r="E149" s="3"/>
      <c r="F149" s="3"/>
      <c r="G149" s="135"/>
      <c r="H149" s="135" t="s">
        <v>260</v>
      </c>
      <c r="I149" s="349">
        <f>I145-I147</f>
        <v>22637.14330024997</v>
      </c>
      <c r="J149" s="43"/>
      <c r="K149" s="220"/>
      <c r="L149" s="181"/>
    </row>
    <row r="150" spans="1:12" ht="12.75">
      <c r="A150" s="188"/>
      <c r="B150" s="148"/>
      <c r="C150" s="128"/>
      <c r="D150" s="3"/>
      <c r="E150" s="3"/>
      <c r="F150" s="3"/>
      <c r="G150" s="136"/>
      <c r="H150" s="136"/>
      <c r="I150" s="164"/>
      <c r="J150" s="43"/>
      <c r="K150" s="220"/>
      <c r="L150" s="181"/>
    </row>
    <row r="151" spans="1:12" ht="12.75">
      <c r="A151" s="436" t="s">
        <v>33</v>
      </c>
      <c r="B151" s="148"/>
      <c r="C151" s="128"/>
      <c r="D151" s="3"/>
      <c r="E151" s="3"/>
      <c r="F151" s="3"/>
      <c r="G151" s="136"/>
      <c r="H151" s="136"/>
      <c r="I151" s="351"/>
      <c r="J151" s="43"/>
      <c r="K151" s="220"/>
      <c r="L151" s="181"/>
    </row>
    <row r="152" spans="1:12" ht="12.75">
      <c r="A152" s="188" t="s">
        <v>30</v>
      </c>
      <c r="B152" s="148"/>
      <c r="C152" s="128"/>
      <c r="D152" s="3"/>
      <c r="E152" s="3"/>
      <c r="F152" s="3"/>
      <c r="G152" s="136"/>
      <c r="H152" s="136" t="s">
        <v>260</v>
      </c>
      <c r="I152" s="349">
        <f>C67</f>
        <v>8553726</v>
      </c>
      <c r="J152" s="43"/>
      <c r="K152" s="220"/>
      <c r="L152" s="181"/>
    </row>
    <row r="153" spans="1:12" ht="12.75">
      <c r="A153" s="188" t="s">
        <v>458</v>
      </c>
      <c r="B153" s="148"/>
      <c r="C153" s="128"/>
      <c r="D153" s="3"/>
      <c r="E153" s="3"/>
      <c r="F153" s="3"/>
      <c r="G153" s="135"/>
      <c r="H153" s="135" t="s">
        <v>258</v>
      </c>
      <c r="I153" s="352">
        <f>IF(I152&gt;0,'Tax Rates'!C39,0)</f>
        <v>7500000</v>
      </c>
      <c r="J153" s="43"/>
      <c r="K153" s="220"/>
      <c r="L153" s="181"/>
    </row>
    <row r="154" spans="1:12" ht="12.75">
      <c r="A154" s="188" t="s">
        <v>329</v>
      </c>
      <c r="B154" s="148"/>
      <c r="C154" s="128"/>
      <c r="D154" s="3"/>
      <c r="E154" s="3"/>
      <c r="F154" s="3"/>
      <c r="G154" s="135"/>
      <c r="H154" s="135" t="s">
        <v>260</v>
      </c>
      <c r="I154" s="349">
        <f>I152-I153</f>
        <v>1053726</v>
      </c>
      <c r="J154" s="43"/>
      <c r="K154" s="220"/>
      <c r="L154" s="181"/>
    </row>
    <row r="155" spans="1:12" ht="12.75">
      <c r="A155" s="188"/>
      <c r="B155" s="148"/>
      <c r="C155" s="128"/>
      <c r="D155" s="3"/>
      <c r="E155" s="3"/>
      <c r="F155" s="3"/>
      <c r="G155" s="136"/>
      <c r="H155" s="136"/>
      <c r="I155" s="164"/>
      <c r="J155" s="43"/>
      <c r="K155" s="220"/>
      <c r="L155" s="181"/>
    </row>
    <row r="156" spans="1:12" ht="12.75">
      <c r="A156" s="188" t="s">
        <v>459</v>
      </c>
      <c r="B156" s="148"/>
      <c r="C156" s="128"/>
      <c r="D156" s="3"/>
      <c r="E156" s="3"/>
      <c r="F156" s="3"/>
      <c r="G156" s="136"/>
      <c r="H156" s="136" t="s">
        <v>327</v>
      </c>
      <c r="I156" s="353">
        <f>'Tax Rates'!C54</f>
        <v>0.003</v>
      </c>
      <c r="J156" s="43"/>
      <c r="K156" s="220"/>
      <c r="L156" s="181"/>
    </row>
    <row r="157" spans="1:12" ht="12.75">
      <c r="A157" s="188"/>
      <c r="B157" s="148"/>
      <c r="C157" s="128"/>
      <c r="D157" s="3"/>
      <c r="E157" s="3"/>
      <c r="F157" s="3"/>
      <c r="G157" s="136"/>
      <c r="H157" s="136"/>
      <c r="I157" s="164"/>
      <c r="J157" s="43"/>
      <c r="K157" s="220"/>
      <c r="L157" s="181"/>
    </row>
    <row r="158" spans="1:12" ht="12.75">
      <c r="A158" s="188" t="s">
        <v>330</v>
      </c>
      <c r="B158" s="148"/>
      <c r="C158" s="128"/>
      <c r="D158" s="3"/>
      <c r="E158" s="3"/>
      <c r="F158" s="3"/>
      <c r="G158" s="136"/>
      <c r="H158" s="136" t="s">
        <v>260</v>
      </c>
      <c r="I158" s="349">
        <f>IF(I154&gt;0,I154*I156,0)</f>
        <v>3161.178</v>
      </c>
      <c r="J158" s="43"/>
      <c r="K158" s="220"/>
      <c r="L158" s="181"/>
    </row>
    <row r="159" spans="1:12" ht="25.5">
      <c r="A159" s="188" t="s">
        <v>596</v>
      </c>
      <c r="B159" s="148"/>
      <c r="C159" s="128"/>
      <c r="D159" s="3"/>
      <c r="E159" s="3"/>
      <c r="F159" s="3"/>
      <c r="G159" s="135"/>
      <c r="H159" s="135" t="s">
        <v>258</v>
      </c>
      <c r="I159" s="352">
        <f>C73</f>
        <v>3161.178</v>
      </c>
      <c r="J159" s="43"/>
      <c r="K159" s="220"/>
      <c r="L159" s="181"/>
    </row>
    <row r="160" spans="1:12" ht="12.75" customHeight="1">
      <c r="A160" s="189" t="s">
        <v>339</v>
      </c>
      <c r="B160" s="148"/>
      <c r="C160" s="128"/>
      <c r="D160" s="3"/>
      <c r="E160" s="3"/>
      <c r="F160" s="3"/>
      <c r="G160" s="135"/>
      <c r="H160" s="135" t="s">
        <v>260</v>
      </c>
      <c r="I160" s="349">
        <f>I158-I159</f>
        <v>0</v>
      </c>
      <c r="J160" s="43"/>
      <c r="K160" s="220"/>
      <c r="L160" s="181"/>
    </row>
    <row r="161" spans="1:12" ht="12.75">
      <c r="A161" s="188"/>
      <c r="B161" s="148"/>
      <c r="C161" s="128"/>
      <c r="D161" s="3"/>
      <c r="E161" s="3"/>
      <c r="F161" s="3"/>
      <c r="G161" s="136"/>
      <c r="H161" s="136"/>
      <c r="I161" s="164"/>
      <c r="J161" s="43"/>
      <c r="K161" s="220"/>
      <c r="L161" s="181"/>
    </row>
    <row r="162" spans="1:12" ht="12.75">
      <c r="A162" s="436" t="s">
        <v>332</v>
      </c>
      <c r="B162" s="148"/>
      <c r="C162" s="128"/>
      <c r="D162" s="3"/>
      <c r="E162" s="3"/>
      <c r="F162" s="3"/>
      <c r="G162" s="136"/>
      <c r="H162" s="136"/>
      <c r="I162" s="525"/>
      <c r="J162" s="43"/>
      <c r="K162" s="220"/>
      <c r="L162" s="181"/>
    </row>
    <row r="163" spans="1:12" ht="12.75">
      <c r="A163" s="188" t="s">
        <v>30</v>
      </c>
      <c r="B163" s="148"/>
      <c r="C163" s="128"/>
      <c r="D163" s="3"/>
      <c r="E163" s="3"/>
      <c r="F163" s="3"/>
      <c r="G163" s="136"/>
      <c r="H163" s="136"/>
      <c r="I163" s="349">
        <f>C76</f>
        <v>8553726</v>
      </c>
      <c r="J163" s="43"/>
      <c r="K163" s="220"/>
      <c r="L163" s="181"/>
    </row>
    <row r="164" spans="1:12" ht="12.75">
      <c r="A164" s="188" t="s">
        <v>457</v>
      </c>
      <c r="B164" s="148"/>
      <c r="C164" s="128"/>
      <c r="D164" s="3"/>
      <c r="E164" s="3"/>
      <c r="F164" s="3"/>
      <c r="G164" s="135"/>
      <c r="H164" s="135" t="s">
        <v>258</v>
      </c>
      <c r="I164" s="352">
        <f>IF(I163&gt;0,'Tax Rates'!C40,0)</f>
        <v>50000000</v>
      </c>
      <c r="J164" s="43"/>
      <c r="K164" s="220"/>
      <c r="L164" s="181"/>
    </row>
    <row r="165" spans="1:12" ht="12.75">
      <c r="A165" s="188" t="s">
        <v>335</v>
      </c>
      <c r="B165" s="148"/>
      <c r="C165" s="128"/>
      <c r="D165" s="3"/>
      <c r="E165" s="3"/>
      <c r="F165" s="3"/>
      <c r="G165" s="136"/>
      <c r="H165" s="136" t="s">
        <v>260</v>
      </c>
      <c r="I165" s="349">
        <f>I163-I164</f>
        <v>-41446274</v>
      </c>
      <c r="J165" s="43"/>
      <c r="K165" s="220"/>
      <c r="L165" s="181"/>
    </row>
    <row r="166" spans="1:12" ht="12.75">
      <c r="A166" s="188"/>
      <c r="B166" s="148"/>
      <c r="C166" s="128"/>
      <c r="D166" s="3"/>
      <c r="E166" s="3"/>
      <c r="F166" s="3"/>
      <c r="G166" s="136"/>
      <c r="H166" s="136"/>
      <c r="I166" s="164"/>
      <c r="J166" s="43"/>
      <c r="K166" s="220"/>
      <c r="L166" s="181"/>
    </row>
    <row r="167" spans="1:12" ht="12.75">
      <c r="A167" s="188" t="s">
        <v>522</v>
      </c>
      <c r="B167" s="148"/>
      <c r="C167" s="128"/>
      <c r="D167" s="3"/>
      <c r="E167" s="3"/>
      <c r="F167" s="3"/>
      <c r="G167" s="136"/>
      <c r="H167" s="136"/>
      <c r="I167" s="353">
        <f>'Tax Rates'!C55</f>
        <v>0.00175</v>
      </c>
      <c r="J167" s="43"/>
      <c r="K167" s="220"/>
      <c r="L167" s="181"/>
    </row>
    <row r="168" spans="1:12" ht="12.75">
      <c r="A168" s="188"/>
      <c r="B168" s="148"/>
      <c r="C168" s="128"/>
      <c r="D168" s="3"/>
      <c r="E168" s="3"/>
      <c r="F168" s="3"/>
      <c r="G168" s="136"/>
      <c r="H168" s="136"/>
      <c r="I168" s="164"/>
      <c r="J168" s="43"/>
      <c r="K168" s="220"/>
      <c r="L168" s="181"/>
    </row>
    <row r="169" spans="1:12" ht="12.75">
      <c r="A169" s="188" t="s">
        <v>336</v>
      </c>
      <c r="B169" s="148"/>
      <c r="C169" s="128"/>
      <c r="D169" s="3"/>
      <c r="E169" s="3"/>
      <c r="F169" s="3"/>
      <c r="G169" s="136"/>
      <c r="H169" s="136"/>
      <c r="I169" s="349">
        <f>IF(I165&gt;0,I165*I167,0)</f>
        <v>0</v>
      </c>
      <c r="J169" s="43"/>
      <c r="K169" s="220"/>
      <c r="L169" s="181"/>
    </row>
    <row r="170" spans="1:12" ht="12.75">
      <c r="A170" s="188" t="s">
        <v>413</v>
      </c>
      <c r="B170" s="148"/>
      <c r="C170" s="128"/>
      <c r="D170" s="3"/>
      <c r="E170" s="3"/>
      <c r="F170" s="3"/>
      <c r="G170" s="135"/>
      <c r="H170" s="135" t="s">
        <v>258</v>
      </c>
      <c r="I170" s="354">
        <f>IF(I165&gt;0,IF(I145&gt;0,I137*'Tax Rates'!C56,0),0)</f>
        <v>0</v>
      </c>
      <c r="J170" s="43"/>
      <c r="K170" s="220"/>
      <c r="L170" s="181"/>
    </row>
    <row r="171" spans="1:12" ht="12.75">
      <c r="A171" s="188" t="s">
        <v>337</v>
      </c>
      <c r="B171" s="148"/>
      <c r="C171" s="128"/>
      <c r="D171" s="3"/>
      <c r="E171" s="3"/>
      <c r="F171" s="3"/>
      <c r="G171" s="136"/>
      <c r="H171" s="136" t="s">
        <v>260</v>
      </c>
      <c r="I171" s="349">
        <f>IF(I169&gt;I170,I169-I170,0)</f>
        <v>0</v>
      </c>
      <c r="J171" s="43"/>
      <c r="K171" s="220"/>
      <c r="L171" s="181"/>
    </row>
    <row r="172" spans="1:12" ht="12.75">
      <c r="A172" s="188"/>
      <c r="B172" s="148"/>
      <c r="C172" s="128"/>
      <c r="D172" s="3"/>
      <c r="E172" s="3"/>
      <c r="F172" s="3"/>
      <c r="G172" s="136"/>
      <c r="H172" s="136"/>
      <c r="I172" s="273"/>
      <c r="J172" s="43"/>
      <c r="K172" s="220"/>
      <c r="L172" s="181"/>
    </row>
    <row r="173" spans="1:12" ht="12.75">
      <c r="A173" s="465" t="s">
        <v>535</v>
      </c>
      <c r="B173" s="148"/>
      <c r="C173" s="128"/>
      <c r="D173" s="3"/>
      <c r="E173" s="3"/>
      <c r="F173" s="3"/>
      <c r="G173" s="135"/>
      <c r="H173" s="135" t="s">
        <v>258</v>
      </c>
      <c r="I173" s="352">
        <f>C85</f>
        <v>0</v>
      </c>
      <c r="J173" s="43"/>
      <c r="K173" s="220"/>
      <c r="L173" s="181"/>
    </row>
    <row r="174" spans="1:12" ht="12.75">
      <c r="A174" s="175" t="s">
        <v>340</v>
      </c>
      <c r="B174" s="148"/>
      <c r="C174" s="128"/>
      <c r="D174" s="3"/>
      <c r="E174" s="3"/>
      <c r="F174" s="3"/>
      <c r="G174" s="136"/>
      <c r="H174" s="136" t="s">
        <v>260</v>
      </c>
      <c r="I174" s="349">
        <f>I171-I173</f>
        <v>0</v>
      </c>
      <c r="J174" s="43"/>
      <c r="K174" s="220"/>
      <c r="L174" s="181"/>
    </row>
    <row r="175" spans="1:12" ht="12.75">
      <c r="A175" s="175"/>
      <c r="B175" s="148"/>
      <c r="C175" s="128"/>
      <c r="D175" s="3"/>
      <c r="E175" s="3"/>
      <c r="F175" s="3"/>
      <c r="G175" s="136"/>
      <c r="H175" s="136"/>
      <c r="I175" s="164"/>
      <c r="J175" s="43"/>
      <c r="K175" s="220"/>
      <c r="L175" s="181"/>
    </row>
    <row r="176" spans="1:12" ht="12.75">
      <c r="A176" s="175" t="s">
        <v>534</v>
      </c>
      <c r="B176" s="148"/>
      <c r="C176" s="128"/>
      <c r="D176" s="3"/>
      <c r="E176" s="3"/>
      <c r="F176" s="3"/>
      <c r="G176" s="136"/>
      <c r="H176" s="136"/>
      <c r="I176" s="359">
        <f>K54-1.12%</f>
        <v>0.45380000000000004</v>
      </c>
      <c r="J176" s="43"/>
      <c r="K176" s="220"/>
      <c r="L176" s="181"/>
    </row>
    <row r="177" spans="1:12" ht="12.75">
      <c r="A177" s="175"/>
      <c r="B177" s="148"/>
      <c r="C177" s="128"/>
      <c r="D177" s="3"/>
      <c r="E177" s="3"/>
      <c r="F177" s="3"/>
      <c r="G177" s="136"/>
      <c r="H177" s="136"/>
      <c r="I177" s="164"/>
      <c r="J177" s="43"/>
      <c r="K177" s="220"/>
      <c r="L177" s="181"/>
    </row>
    <row r="178" spans="1:12" ht="12.75">
      <c r="A178" s="175" t="s">
        <v>338</v>
      </c>
      <c r="B178" s="148"/>
      <c r="C178" s="128"/>
      <c r="D178" s="3"/>
      <c r="E178" s="3"/>
      <c r="F178" s="3"/>
      <c r="G178" s="136"/>
      <c r="H178" s="136" t="s">
        <v>257</v>
      </c>
      <c r="I178" s="349">
        <f>I149/(1-I176)</f>
        <v>41444.788173288114</v>
      </c>
      <c r="J178" s="43"/>
      <c r="K178" s="220"/>
      <c r="L178" s="181"/>
    </row>
    <row r="179" spans="1:12" ht="12.75">
      <c r="A179" s="175" t="s">
        <v>45</v>
      </c>
      <c r="B179" s="148"/>
      <c r="C179" s="128"/>
      <c r="D179" s="3"/>
      <c r="E179" s="3"/>
      <c r="F179" s="3"/>
      <c r="G179" s="136"/>
      <c r="H179" s="136" t="s">
        <v>257</v>
      </c>
      <c r="I179" s="349">
        <f>IF(I171=0,-C92,IF(I171&gt;0,I174/(1-I176)))</f>
        <v>0</v>
      </c>
      <c r="J179" s="43"/>
      <c r="K179" s="220"/>
      <c r="L179" s="181"/>
    </row>
    <row r="180" spans="1:12" ht="12.75">
      <c r="A180" s="175" t="s">
        <v>33</v>
      </c>
      <c r="B180" s="148"/>
      <c r="C180" s="128"/>
      <c r="D180" s="3"/>
      <c r="E180" s="3"/>
      <c r="F180" s="3"/>
      <c r="G180" s="136"/>
      <c r="H180" s="136" t="s">
        <v>257</v>
      </c>
      <c r="I180" s="349">
        <f>I160</f>
        <v>0</v>
      </c>
      <c r="J180" s="43"/>
      <c r="K180" s="220"/>
      <c r="L180" s="181"/>
    </row>
    <row r="181" spans="1:12" ht="12.75">
      <c r="A181" s="175"/>
      <c r="B181" s="148"/>
      <c r="C181" s="128"/>
      <c r="D181" s="3"/>
      <c r="E181" s="3"/>
      <c r="F181" s="3"/>
      <c r="G181" s="136"/>
      <c r="H181" s="136"/>
      <c r="I181" s="164"/>
      <c r="J181" s="43"/>
      <c r="K181" s="220"/>
      <c r="L181" s="181"/>
    </row>
    <row r="182" spans="1:12" ht="12.75">
      <c r="A182" s="185" t="s">
        <v>452</v>
      </c>
      <c r="B182" s="148"/>
      <c r="C182" s="128"/>
      <c r="D182" s="3"/>
      <c r="E182" s="3"/>
      <c r="F182" s="3"/>
      <c r="G182" s="136"/>
      <c r="H182" s="136" t="s">
        <v>260</v>
      </c>
      <c r="I182" s="349">
        <f>SUM(I178:I180)</f>
        <v>41444.788173288114</v>
      </c>
      <c r="J182" s="43"/>
      <c r="K182" s="220"/>
      <c r="L182" s="181"/>
    </row>
    <row r="183" spans="1:12" ht="12.75">
      <c r="A183" s="175"/>
      <c r="B183" s="148"/>
      <c r="C183" s="128"/>
      <c r="D183" s="3"/>
      <c r="E183" s="3"/>
      <c r="F183" s="3"/>
      <c r="G183" s="136"/>
      <c r="H183" s="136"/>
      <c r="I183" s="164"/>
      <c r="J183" s="43"/>
      <c r="K183" s="220"/>
      <c r="L183" s="181"/>
    </row>
    <row r="184" spans="1:12" ht="12.75">
      <c r="A184" s="185" t="s">
        <v>597</v>
      </c>
      <c r="B184" s="148"/>
      <c r="C184" s="128"/>
      <c r="D184" s="3"/>
      <c r="E184" s="3"/>
      <c r="F184" s="3"/>
      <c r="G184" s="136"/>
      <c r="H184" s="136" t="s">
        <v>257</v>
      </c>
      <c r="I184" s="349">
        <f>I133</f>
        <v>167035.25977206152</v>
      </c>
      <c r="J184" s="43" t="s">
        <v>167</v>
      </c>
      <c r="K184" s="220"/>
      <c r="L184" s="181"/>
    </row>
    <row r="185" spans="1:12" ht="12.75">
      <c r="A185" s="185"/>
      <c r="B185" s="148"/>
      <c r="C185" s="128"/>
      <c r="D185" s="3"/>
      <c r="E185" s="3"/>
      <c r="F185" s="3"/>
      <c r="G185" s="136"/>
      <c r="H185" s="136"/>
      <c r="I185" s="164"/>
      <c r="J185" s="43"/>
      <c r="K185" s="220"/>
      <c r="L185" s="181"/>
    </row>
    <row r="186" spans="1:12" ht="15">
      <c r="A186" s="190" t="s">
        <v>453</v>
      </c>
      <c r="B186" s="148"/>
      <c r="C186" s="128"/>
      <c r="D186" s="3"/>
      <c r="E186" s="3"/>
      <c r="F186" s="3"/>
      <c r="G186" s="136"/>
      <c r="H186" s="136" t="s">
        <v>260</v>
      </c>
      <c r="I186" s="349">
        <f>I182+I184</f>
        <v>208480.04794534962</v>
      </c>
      <c r="J186" s="43"/>
      <c r="K186" s="220"/>
      <c r="L186" s="181"/>
    </row>
    <row r="187" spans="1:12" ht="12.75">
      <c r="A187" s="180" t="s">
        <v>343</v>
      </c>
      <c r="B187" s="145"/>
      <c r="C187" s="128"/>
      <c r="D187" s="3"/>
      <c r="E187" s="3"/>
      <c r="F187" s="3"/>
      <c r="G187" s="136"/>
      <c r="H187" s="136"/>
      <c r="I187" s="166"/>
      <c r="J187" s="43"/>
      <c r="K187" s="220"/>
      <c r="L187" s="181"/>
    </row>
    <row r="188" spans="1:12" ht="12.75">
      <c r="A188" s="180"/>
      <c r="B188" s="145"/>
      <c r="C188" s="128"/>
      <c r="D188" s="3"/>
      <c r="E188" s="3"/>
      <c r="F188" s="3"/>
      <c r="G188" s="136"/>
      <c r="H188" s="136"/>
      <c r="I188" s="167"/>
      <c r="J188" s="43"/>
      <c r="K188" s="220"/>
      <c r="L188" s="181"/>
    </row>
    <row r="189" spans="1:12" ht="13.5" thickBot="1">
      <c r="A189" s="170"/>
      <c r="B189" s="145"/>
      <c r="C189" s="128"/>
      <c r="D189" s="3"/>
      <c r="E189" s="3"/>
      <c r="F189" s="3"/>
      <c r="G189" s="136"/>
      <c r="H189" s="136"/>
      <c r="I189" s="167"/>
      <c r="J189" s="43"/>
      <c r="K189" s="220"/>
      <c r="L189" s="181"/>
    </row>
    <row r="190" spans="1:12" ht="13.5" thickTop="1">
      <c r="A190" s="191"/>
      <c r="B190" s="149"/>
      <c r="C190" s="129"/>
      <c r="D190" s="7"/>
      <c r="E190" s="7"/>
      <c r="F190" s="7"/>
      <c r="G190" s="111"/>
      <c r="H190" s="111"/>
      <c r="I190" s="168"/>
      <c r="J190" s="7"/>
      <c r="K190" s="141"/>
      <c r="L190" s="192"/>
    </row>
    <row r="191" spans="1:12" ht="12.75">
      <c r="A191" s="185" t="s">
        <v>123</v>
      </c>
      <c r="B191" s="145"/>
      <c r="C191" s="130"/>
      <c r="D191" s="3"/>
      <c r="E191" s="3"/>
      <c r="F191" s="3"/>
      <c r="G191" s="136"/>
      <c r="H191" s="136"/>
      <c r="I191" s="166"/>
      <c r="J191" s="3"/>
      <c r="K191" s="140"/>
      <c r="L191" s="181"/>
    </row>
    <row r="192" spans="1:12" ht="12.75">
      <c r="A192" s="174" t="s">
        <v>148</v>
      </c>
      <c r="B192" s="140"/>
      <c r="C192" s="131"/>
      <c r="D192" s="3"/>
      <c r="E192" s="3"/>
      <c r="F192" s="3"/>
      <c r="G192" s="136"/>
      <c r="H192" s="136"/>
      <c r="I192" s="167"/>
      <c r="J192" s="3"/>
      <c r="K192" s="140"/>
      <c r="L192" s="181"/>
    </row>
    <row r="193" spans="1:12" ht="12.75">
      <c r="A193" s="174"/>
      <c r="B193" s="140"/>
      <c r="C193" s="131"/>
      <c r="D193" s="3"/>
      <c r="E193" s="3"/>
      <c r="F193" s="3"/>
      <c r="G193" s="136"/>
      <c r="H193" s="136"/>
      <c r="I193" s="167"/>
      <c r="J193" s="3"/>
      <c r="K193" s="140"/>
      <c r="L193" s="181"/>
    </row>
    <row r="194" spans="1:12" ht="12.75">
      <c r="A194" s="175" t="s">
        <v>319</v>
      </c>
      <c r="B194" s="145"/>
      <c r="C194" s="128"/>
      <c r="D194" s="118"/>
      <c r="E194" s="118"/>
      <c r="F194" s="118"/>
      <c r="G194" s="137"/>
      <c r="H194" s="137"/>
      <c r="I194" s="355">
        <f>REGINFO!D62</f>
        <v>310072.5675</v>
      </c>
      <c r="J194" s="3"/>
      <c r="K194" s="140"/>
      <c r="L194" s="181"/>
    </row>
    <row r="195" spans="1:12" ht="12.75">
      <c r="A195" s="175" t="s">
        <v>523</v>
      </c>
      <c r="B195" s="145"/>
      <c r="C195" s="128"/>
      <c r="D195" s="118"/>
      <c r="E195" s="118"/>
      <c r="F195" s="118"/>
      <c r="G195" s="137"/>
      <c r="H195" s="137"/>
      <c r="I195" s="355">
        <f>C38</f>
        <v>310072.5675</v>
      </c>
      <c r="J195" s="3"/>
      <c r="K195" s="140"/>
      <c r="L195" s="181"/>
    </row>
    <row r="196" spans="1:12" ht="12.75">
      <c r="A196" s="175"/>
      <c r="B196" s="145"/>
      <c r="C196" s="128"/>
      <c r="D196" s="118"/>
      <c r="E196" s="118"/>
      <c r="F196" s="118"/>
      <c r="G196" s="137"/>
      <c r="H196" s="137"/>
      <c r="I196" s="169"/>
      <c r="J196" s="3"/>
      <c r="K196" s="140"/>
      <c r="L196" s="181"/>
    </row>
    <row r="197" spans="1:12" ht="12.75">
      <c r="A197" s="175" t="s">
        <v>435</v>
      </c>
      <c r="B197" s="145"/>
      <c r="C197" s="128"/>
      <c r="D197" s="118"/>
      <c r="E197" s="118"/>
      <c r="F197" s="118"/>
      <c r="G197" s="137"/>
      <c r="H197" s="137"/>
      <c r="I197" s="355">
        <f>I194-I195</f>
        <v>0</v>
      </c>
      <c r="J197" s="3"/>
      <c r="K197" s="140"/>
      <c r="L197" s="181"/>
    </row>
    <row r="198" spans="1:12" ht="12.75">
      <c r="A198" s="175" t="s">
        <v>436</v>
      </c>
      <c r="B198" s="145"/>
      <c r="C198" s="128"/>
      <c r="D198" s="118"/>
      <c r="E198" s="118"/>
      <c r="F198" s="118"/>
      <c r="G198" s="137"/>
      <c r="H198" s="137"/>
      <c r="I198" s="167"/>
      <c r="J198" s="3"/>
      <c r="K198" s="140"/>
      <c r="L198" s="181"/>
    </row>
    <row r="199" spans="1:12" ht="12.75">
      <c r="A199" s="175"/>
      <c r="B199" s="145"/>
      <c r="C199" s="128"/>
      <c r="D199" s="118"/>
      <c r="E199" s="118"/>
      <c r="F199" s="118"/>
      <c r="G199" s="137"/>
      <c r="H199" s="137"/>
      <c r="I199" s="167"/>
      <c r="J199" s="3"/>
      <c r="K199" s="140"/>
      <c r="L199" s="181"/>
    </row>
    <row r="200" spans="1:12" ht="12.75">
      <c r="A200" s="185" t="s">
        <v>352</v>
      </c>
      <c r="B200" s="145"/>
      <c r="C200" s="128"/>
      <c r="D200" s="118"/>
      <c r="E200" s="118"/>
      <c r="F200" s="118"/>
      <c r="G200" s="137"/>
      <c r="H200" s="137"/>
      <c r="I200" s="167"/>
      <c r="J200" s="3"/>
      <c r="K200" s="140"/>
      <c r="L200" s="181"/>
    </row>
    <row r="201" spans="1:12" ht="12.75">
      <c r="A201" s="193" t="s">
        <v>150</v>
      </c>
      <c r="B201" s="145"/>
      <c r="C201" s="128"/>
      <c r="D201" s="118"/>
      <c r="E201" s="118"/>
      <c r="F201" s="118"/>
      <c r="G201" s="137"/>
      <c r="H201" s="137"/>
      <c r="I201" s="167"/>
      <c r="J201" s="3"/>
      <c r="K201" s="140"/>
      <c r="L201" s="181"/>
    </row>
    <row r="202" spans="1:12" ht="12.75">
      <c r="A202" s="175" t="s">
        <v>524</v>
      </c>
      <c r="B202" s="145"/>
      <c r="C202" s="128"/>
      <c r="D202" s="118"/>
      <c r="E202" s="118"/>
      <c r="F202" s="118"/>
      <c r="G202" s="137"/>
      <c r="H202" s="137"/>
      <c r="I202" s="355">
        <f>K38+K43</f>
        <v>377895</v>
      </c>
      <c r="J202" s="3"/>
      <c r="K202" s="140"/>
      <c r="L202" s="181"/>
    </row>
    <row r="203" spans="1:12" ht="12.75">
      <c r="A203" s="175" t="s">
        <v>525</v>
      </c>
      <c r="B203" s="145"/>
      <c r="C203" s="128"/>
      <c r="D203" s="118"/>
      <c r="E203" s="118"/>
      <c r="F203" s="118"/>
      <c r="G203" s="137"/>
      <c r="H203" s="137"/>
      <c r="I203" s="355">
        <f>REGINFO!D62</f>
        <v>310072.5675</v>
      </c>
      <c r="J203" s="3"/>
      <c r="K203" s="140"/>
      <c r="L203" s="181"/>
    </row>
    <row r="204" spans="1:12" ht="12.75">
      <c r="A204" s="175"/>
      <c r="B204" s="145"/>
      <c r="C204" s="128"/>
      <c r="D204" s="118"/>
      <c r="E204" s="118"/>
      <c r="F204" s="118"/>
      <c r="G204" s="137"/>
      <c r="H204" s="137"/>
      <c r="I204" s="169"/>
      <c r="J204" s="3"/>
      <c r="K204" s="140"/>
      <c r="L204" s="181"/>
    </row>
    <row r="205" spans="1:12" ht="12.75">
      <c r="A205" s="175" t="s">
        <v>149</v>
      </c>
      <c r="B205" s="145"/>
      <c r="C205" s="128"/>
      <c r="D205" s="118"/>
      <c r="E205" s="118"/>
      <c r="F205" s="118"/>
      <c r="G205" s="137"/>
      <c r="H205" s="137"/>
      <c r="I205" s="350">
        <f>IF((I202-I203)&gt;0,I202-I203,0)</f>
        <v>67822.4325</v>
      </c>
      <c r="J205" s="3"/>
      <c r="K205" s="140"/>
      <c r="L205" s="181"/>
    </row>
    <row r="206" spans="1:12" ht="12.75">
      <c r="A206" s="175"/>
      <c r="B206" s="145"/>
      <c r="C206" s="128"/>
      <c r="D206" s="118"/>
      <c r="E206" s="118"/>
      <c r="F206" s="118"/>
      <c r="G206" s="137"/>
      <c r="H206" s="137"/>
      <c r="I206" s="169"/>
      <c r="J206" s="3"/>
      <c r="K206" s="140"/>
      <c r="L206" s="181"/>
    </row>
    <row r="207" spans="1:12" ht="12.75">
      <c r="A207" s="185" t="s">
        <v>594</v>
      </c>
      <c r="B207" s="145"/>
      <c r="C207" s="128"/>
      <c r="D207" s="118"/>
      <c r="E207" s="118"/>
      <c r="F207" s="118"/>
      <c r="G207" s="137"/>
      <c r="H207" s="137"/>
      <c r="I207" s="350">
        <f>IF((I202-I203)&gt;0,I202-I203,0)</f>
        <v>67822.4325</v>
      </c>
      <c r="J207" s="3"/>
      <c r="K207" s="140"/>
      <c r="L207" s="181"/>
    </row>
    <row r="208" spans="1:12" ht="12.75">
      <c r="A208" s="175"/>
      <c r="B208" s="145"/>
      <c r="C208" s="128"/>
      <c r="D208" s="118"/>
      <c r="E208" s="118"/>
      <c r="F208" s="118"/>
      <c r="G208" s="137"/>
      <c r="H208" s="137"/>
      <c r="I208" s="169"/>
      <c r="J208" s="3"/>
      <c r="K208" s="140"/>
      <c r="L208" s="181"/>
    </row>
    <row r="209" spans="1:12" ht="13.5" thickBot="1">
      <c r="A209" s="194" t="s">
        <v>320</v>
      </c>
      <c r="B209" s="195"/>
      <c r="C209" s="196"/>
      <c r="D209" s="197"/>
      <c r="E209" s="197"/>
      <c r="F209" s="197"/>
      <c r="G209" s="198"/>
      <c r="H209" s="198"/>
      <c r="I209" s="356">
        <f>+I197-I205</f>
        <v>-67822.4325</v>
      </c>
      <c r="J209" s="85"/>
      <c r="K209" s="221"/>
      <c r="L209" s="199"/>
    </row>
    <row r="210" spans="1:9" ht="12.75">
      <c r="A210" s="41"/>
      <c r="B210" s="8"/>
      <c r="C210" s="28"/>
      <c r="D210" s="28"/>
      <c r="E210" s="28"/>
      <c r="F210" s="28"/>
      <c r="G210" s="112"/>
      <c r="H210" s="112"/>
      <c r="I210" s="108"/>
    </row>
    <row r="211" spans="2:10" ht="12.75"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2:9" ht="12.75">
      <c r="B212" s="8"/>
      <c r="C212" s="28"/>
      <c r="D212" s="28"/>
      <c r="E212" s="28"/>
      <c r="F212" s="28"/>
      <c r="G212" s="28"/>
      <c r="H212" s="28"/>
      <c r="I212" s="107"/>
    </row>
    <row r="213" spans="2:9" ht="12.75">
      <c r="B213" s="8"/>
      <c r="C213" s="28"/>
      <c r="D213" s="28"/>
      <c r="E213" s="28"/>
      <c r="F213" s="28"/>
      <c r="G213" s="112"/>
      <c r="H213" s="112"/>
      <c r="I213" s="107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6"/>
      <c r="G215" s="96"/>
      <c r="H215" s="96"/>
      <c r="I215" s="106"/>
    </row>
    <row r="216" spans="2:9" ht="12.75">
      <c r="B216" s="8"/>
      <c r="C216" s="5"/>
      <c r="G216" s="96"/>
      <c r="H216" s="96"/>
      <c r="I216" s="105"/>
    </row>
    <row r="217" spans="2:9" ht="12.75">
      <c r="B217" s="8"/>
      <c r="C217" s="5"/>
      <c r="G217" s="96"/>
      <c r="H217" s="96"/>
      <c r="I217" s="109"/>
    </row>
    <row r="218" spans="2:9" ht="12.75">
      <c r="B218" s="8"/>
      <c r="C218" s="5"/>
      <c r="G218" s="96"/>
      <c r="H218" s="96"/>
      <c r="I218" s="105"/>
    </row>
    <row r="219" spans="7:9" ht="12.75">
      <c r="G219" s="96"/>
      <c r="H219" s="96"/>
      <c r="I219" s="110"/>
    </row>
    <row r="220" spans="7:9" ht="12.75">
      <c r="G220" s="96"/>
      <c r="H220" s="96"/>
      <c r="I220" s="83"/>
    </row>
    <row r="221" spans="7:9" ht="12.75">
      <c r="G221" s="96"/>
      <c r="H221" s="96"/>
      <c r="I221" s="83"/>
    </row>
    <row r="222" spans="3:9" ht="12.75">
      <c r="C222" t="s">
        <v>167</v>
      </c>
      <c r="G222" s="96"/>
      <c r="H222" s="96"/>
      <c r="I222" s="83"/>
    </row>
    <row r="223" spans="3:9" ht="12.75">
      <c r="C223" t="s">
        <v>167</v>
      </c>
      <c r="G223" s="96"/>
      <c r="H223" s="96"/>
      <c r="I223" s="83"/>
    </row>
    <row r="224" spans="3:9" ht="12.75">
      <c r="C224" t="s">
        <v>167</v>
      </c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  <row r="249" spans="7:9" ht="12.75">
      <c r="G249" s="96"/>
      <c r="H249" s="96"/>
      <c r="I249" s="83"/>
    </row>
    <row r="250" spans="7:9" ht="12.75">
      <c r="G250" s="96"/>
      <c r="H250" s="96"/>
      <c r="I250" s="83"/>
    </row>
    <row r="251" spans="7:9" ht="12.75">
      <c r="G251" s="96"/>
      <c r="H251" s="96"/>
      <c r="I251" s="83"/>
    </row>
  </sheetData>
  <sheetProtection/>
  <printOptions gridLines="1" headings="1"/>
  <pageMargins left="0.85" right="0.25" top="0.48" bottom="0.47" header="0.22" footer="0"/>
  <pageSetup horizontalDpi="600" verticalDpi="600" orientation="portrait" scale="60" r:id="rId1"/>
  <headerFooter alignWithMargins="0">
    <oddHeader>&amp;C&amp;F</oddHeader>
    <oddFooter>&amp;C&amp;A&amp;RPage &amp;P</oddFooter>
  </headerFooter>
  <rowBreaks count="3" manualBreakCount="3">
    <brk id="86" max="11" man="1"/>
    <brk id="160" max="11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SIMPIL RRR FILING</v>
      </c>
      <c r="B1" s="8" t="s">
        <v>56</v>
      </c>
      <c r="C1" s="8" t="s">
        <v>36</v>
      </c>
      <c r="D1" s="8" t="s">
        <v>16</v>
      </c>
      <c r="E1" s="27" t="s">
        <v>17</v>
      </c>
      <c r="F1" s="8"/>
      <c r="G1" s="8"/>
      <c r="H1" s="27"/>
      <c r="I1" s="27"/>
      <c r="J1" s="8"/>
      <c r="K1" s="8"/>
    </row>
    <row r="2" spans="1:11" ht="12.75">
      <c r="A2" s="2" t="s">
        <v>108</v>
      </c>
      <c r="B2" s="8"/>
      <c r="C2" s="8" t="s">
        <v>106</v>
      </c>
      <c r="D2" s="8" t="s">
        <v>52</v>
      </c>
      <c r="E2" s="27" t="s">
        <v>19</v>
      </c>
      <c r="F2" s="8"/>
      <c r="G2" s="8"/>
      <c r="H2" s="27"/>
      <c r="I2" s="27"/>
      <c r="J2" s="8"/>
      <c r="K2" s="8"/>
    </row>
    <row r="3" spans="1:11" ht="12.75">
      <c r="A3" s="4" t="s">
        <v>53</v>
      </c>
      <c r="B3" s="8"/>
      <c r="C3" s="8" t="s">
        <v>19</v>
      </c>
      <c r="D3" s="530" t="s">
        <v>610</v>
      </c>
      <c r="E3" s="27" t="s">
        <v>18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18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2005.1</v>
      </c>
      <c r="F5" s="26"/>
      <c r="G5" s="8"/>
      <c r="H5" s="8"/>
      <c r="I5" s="8"/>
      <c r="J5" s="8"/>
      <c r="K5" s="8"/>
    </row>
    <row r="6" spans="1:9" ht="13.5" thickTop="1">
      <c r="A6" s="14" t="s">
        <v>244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346" t="str">
        <f>REGINFO!A3</f>
        <v>Utility Name:  Centre Wellington Hydro Ltd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346" t="str">
        <f>REGINFO!A4</f>
        <v>Reporting period:   2005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307</v>
      </c>
      <c r="B9" s="26"/>
      <c r="C9" s="531">
        <v>38353</v>
      </c>
      <c r="D9" s="31"/>
      <c r="E9" s="31"/>
      <c r="F9" s="26"/>
      <c r="G9" s="3"/>
      <c r="H9" s="3"/>
      <c r="I9" s="3"/>
    </row>
    <row r="10" spans="1:9" ht="12.75">
      <c r="A10" s="2" t="s">
        <v>308</v>
      </c>
      <c r="B10" s="26"/>
      <c r="C10" s="531">
        <v>38717</v>
      </c>
      <c r="D10" s="31"/>
      <c r="E10" s="31"/>
      <c r="F10" s="26"/>
      <c r="G10" s="3"/>
      <c r="H10" s="3"/>
      <c r="I10" s="3"/>
    </row>
    <row r="11" spans="1:9" ht="13.5" thickBot="1">
      <c r="A11" s="2" t="s">
        <v>188</v>
      </c>
      <c r="B11" s="26"/>
      <c r="C11" s="496">
        <f>REGINFO!B6</f>
        <v>365</v>
      </c>
      <c r="D11" s="43" t="s">
        <v>193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309</v>
      </c>
      <c r="C13" s="291">
        <f>Ratebase*REGINFO!D33*0.25%</f>
        <v>10692.1575</v>
      </c>
      <c r="D13" s="94" t="s">
        <v>252</v>
      </c>
      <c r="E13" s="31"/>
      <c r="F13" s="26"/>
      <c r="G13" s="3"/>
      <c r="H13" s="3"/>
      <c r="I13" s="3"/>
    </row>
    <row r="14" spans="1:9" ht="12.75">
      <c r="A14" s="2" t="s">
        <v>186</v>
      </c>
      <c r="B14" s="26" t="s">
        <v>129</v>
      </c>
      <c r="C14" s="319" t="s">
        <v>496</v>
      </c>
      <c r="D14" s="31"/>
      <c r="E14" s="31"/>
      <c r="F14" s="26"/>
      <c r="G14" s="3"/>
      <c r="H14" s="3"/>
      <c r="I14" s="3"/>
    </row>
    <row r="15" spans="1:9" ht="12.75">
      <c r="A15" s="2" t="s">
        <v>187</v>
      </c>
      <c r="B15" s="26" t="s">
        <v>129</v>
      </c>
      <c r="C15" s="319" t="s">
        <v>497</v>
      </c>
      <c r="D15" s="31"/>
      <c r="E15" s="31"/>
      <c r="F15" s="26"/>
      <c r="G15" s="3"/>
      <c r="H15" s="3"/>
      <c r="I15" s="3"/>
    </row>
    <row r="16" spans="1:9" ht="12.75">
      <c r="A16" s="346" t="s">
        <v>324</v>
      </c>
      <c r="B16" s="26" t="s">
        <v>129</v>
      </c>
      <c r="C16" s="319" t="s">
        <v>497</v>
      </c>
      <c r="D16" s="31"/>
      <c r="E16" s="31"/>
      <c r="F16" s="26"/>
      <c r="G16" s="3"/>
      <c r="H16" s="3"/>
      <c r="I16" s="3"/>
    </row>
    <row r="17" spans="1:6" ht="12.75">
      <c r="A17" s="2" t="s">
        <v>382</v>
      </c>
      <c r="B17" s="26" t="s">
        <v>129</v>
      </c>
      <c r="C17" s="319" t="s">
        <v>497</v>
      </c>
      <c r="E17" s="32"/>
      <c r="F17" s="8"/>
    </row>
    <row r="18" spans="1:6" ht="12.75">
      <c r="A18" s="61" t="s">
        <v>353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216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605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49" t="s">
        <v>419</v>
      </c>
      <c r="B23" s="450"/>
      <c r="C23" s="451"/>
      <c r="D23" s="452"/>
      <c r="E23" s="34"/>
      <c r="F23" s="11"/>
      <c r="G23" s="11"/>
      <c r="H23" s="6"/>
      <c r="I23" s="6"/>
    </row>
    <row r="24" spans="1:9" ht="12.75">
      <c r="A24" s="449" t="s">
        <v>354</v>
      </c>
      <c r="B24" s="450"/>
      <c r="C24" s="451"/>
      <c r="D24" s="452"/>
      <c r="E24" s="34"/>
      <c r="F24" s="11"/>
      <c r="G24" s="11"/>
      <c r="H24" s="6"/>
      <c r="I24" s="6"/>
    </row>
    <row r="25" spans="1:9" ht="12.75">
      <c r="A25" s="449" t="s">
        <v>318</v>
      </c>
      <c r="B25" s="450"/>
      <c r="C25" s="451"/>
      <c r="D25" s="452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49" t="s">
        <v>417</v>
      </c>
      <c r="B27" s="450"/>
      <c r="C27" s="451"/>
      <c r="D27" s="452"/>
      <c r="E27" s="34"/>
      <c r="F27" s="11"/>
      <c r="G27" s="11"/>
      <c r="H27" s="6"/>
      <c r="I27" s="6"/>
    </row>
    <row r="28" spans="1:9" ht="12.75">
      <c r="A28" s="449" t="s">
        <v>418</v>
      </c>
      <c r="B28" s="450"/>
      <c r="C28" s="451"/>
      <c r="D28" s="452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245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0" t="s">
        <v>372</v>
      </c>
      <c r="B31" s="29" t="s">
        <v>257</v>
      </c>
      <c r="C31" s="319">
        <v>11122082</v>
      </c>
      <c r="D31" s="320">
        <v>0</v>
      </c>
      <c r="E31" s="318">
        <f>C31-D31</f>
        <v>11122082</v>
      </c>
      <c r="F31" s="11"/>
      <c r="G31" s="11"/>
      <c r="H31" s="6"/>
      <c r="I31" s="6"/>
    </row>
    <row r="32" spans="1:9" ht="12.75">
      <c r="A32" s="4" t="s">
        <v>316</v>
      </c>
      <c r="B32" s="29" t="s">
        <v>257</v>
      </c>
      <c r="C32" s="319">
        <v>2453777</v>
      </c>
      <c r="D32" s="320"/>
      <c r="E32" s="318">
        <f>C32-D32</f>
        <v>2453777</v>
      </c>
      <c r="F32" s="11"/>
      <c r="G32" s="11"/>
      <c r="H32" s="6"/>
      <c r="I32" s="6"/>
    </row>
    <row r="33" spans="1:9" ht="12.75">
      <c r="A33" s="4" t="s">
        <v>304</v>
      </c>
      <c r="B33" s="29" t="s">
        <v>257</v>
      </c>
      <c r="C33" s="319">
        <v>527350</v>
      </c>
      <c r="D33" s="320">
        <v>0</v>
      </c>
      <c r="E33" s="318">
        <f>C33-D33</f>
        <v>527350</v>
      </c>
      <c r="F33" s="11"/>
      <c r="G33" s="11"/>
      <c r="H33" s="6"/>
      <c r="I33" s="6"/>
    </row>
    <row r="34" spans="1:9" ht="12.75">
      <c r="A34" s="4" t="s">
        <v>321</v>
      </c>
      <c r="B34" s="29" t="s">
        <v>257</v>
      </c>
      <c r="C34" s="319"/>
      <c r="D34" s="320"/>
      <c r="E34" s="318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257</v>
      </c>
      <c r="C35" s="319"/>
      <c r="D35" s="320"/>
      <c r="E35" s="318">
        <f>C35-D35</f>
        <v>0</v>
      </c>
      <c r="F35" s="11"/>
      <c r="G35" s="11"/>
      <c r="H35" s="6"/>
      <c r="I35" s="6"/>
    </row>
    <row r="36" spans="1:9" ht="12.75">
      <c r="A36" s="63" t="s">
        <v>247</v>
      </c>
      <c r="B36" s="29"/>
      <c r="C36" s="48"/>
      <c r="D36" s="48"/>
      <c r="E36" s="256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383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302</v>
      </c>
      <c r="B39" s="29" t="s">
        <v>258</v>
      </c>
      <c r="C39" s="319">
        <v>11122082</v>
      </c>
      <c r="D39" s="320">
        <v>0</v>
      </c>
      <c r="E39" s="318">
        <f>C39-D39</f>
        <v>11122082</v>
      </c>
      <c r="F39" s="11"/>
      <c r="G39" s="11"/>
      <c r="H39" s="6"/>
      <c r="I39" s="6"/>
    </row>
    <row r="40" spans="1:9" ht="12.75">
      <c r="A40" s="52" t="s">
        <v>303</v>
      </c>
      <c r="B40" s="29" t="s">
        <v>258</v>
      </c>
      <c r="C40" s="319">
        <v>780718</v>
      </c>
      <c r="D40" s="320">
        <v>0</v>
      </c>
      <c r="E40" s="318">
        <f aca="true" t="shared" si="0" ref="E40:E48">C40-D40</f>
        <v>780718</v>
      </c>
      <c r="F40" s="11"/>
      <c r="G40" s="11"/>
      <c r="H40" s="6"/>
      <c r="I40" s="6"/>
    </row>
    <row r="41" spans="1:9" ht="12.75">
      <c r="A41" s="4" t="s">
        <v>373</v>
      </c>
      <c r="B41" s="29" t="s">
        <v>258</v>
      </c>
      <c r="C41" s="319">
        <v>261470</v>
      </c>
      <c r="D41" s="320">
        <v>0</v>
      </c>
      <c r="E41" s="318">
        <f t="shared" si="0"/>
        <v>261470</v>
      </c>
      <c r="F41" s="11"/>
      <c r="G41" s="11"/>
      <c r="H41" s="6"/>
      <c r="I41" s="6"/>
    </row>
    <row r="42" spans="1:9" ht="12.75">
      <c r="A42" s="4" t="s">
        <v>374</v>
      </c>
      <c r="B42" s="29" t="s">
        <v>258</v>
      </c>
      <c r="C42" s="319">
        <v>524826</v>
      </c>
      <c r="D42" s="320">
        <v>0</v>
      </c>
      <c r="E42" s="318">
        <f t="shared" si="0"/>
        <v>524826</v>
      </c>
      <c r="F42" s="11"/>
      <c r="G42" s="11"/>
      <c r="H42" s="6"/>
      <c r="I42" s="6"/>
    </row>
    <row r="43" spans="1:9" ht="12.75">
      <c r="A43" s="511" t="s">
        <v>560</v>
      </c>
      <c r="B43" s="29" t="s">
        <v>258</v>
      </c>
      <c r="C43" s="319">
        <v>447230</v>
      </c>
      <c r="D43" s="320">
        <v>0</v>
      </c>
      <c r="E43" s="318">
        <f t="shared" si="0"/>
        <v>447230</v>
      </c>
      <c r="F43" s="11"/>
      <c r="G43" s="11"/>
      <c r="H43" s="6"/>
      <c r="I43" s="6"/>
    </row>
    <row r="44" spans="1:9" ht="12.75">
      <c r="A44" s="4" t="s">
        <v>375</v>
      </c>
      <c r="B44" s="29" t="s">
        <v>258</v>
      </c>
      <c r="C44" s="319"/>
      <c r="D44" s="320"/>
      <c r="E44" s="318">
        <f t="shared" si="0"/>
        <v>0</v>
      </c>
      <c r="F44" s="11"/>
      <c r="G44" s="11"/>
      <c r="H44" s="6"/>
      <c r="I44" s="6"/>
    </row>
    <row r="45" spans="1:11" ht="12.75">
      <c r="A45" s="511" t="s">
        <v>559</v>
      </c>
      <c r="B45" s="29" t="s">
        <v>258</v>
      </c>
      <c r="C45" s="319"/>
      <c r="D45" s="320"/>
      <c r="E45" s="318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258</v>
      </c>
      <c r="C46" s="319"/>
      <c r="D46" s="320"/>
      <c r="E46" s="318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258</v>
      </c>
      <c r="C47" s="319"/>
      <c r="D47" s="320"/>
      <c r="E47" s="318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258</v>
      </c>
      <c r="C48" s="319"/>
      <c r="D48" s="320"/>
      <c r="E48" s="318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147</v>
      </c>
      <c r="B50" s="29" t="s">
        <v>260</v>
      </c>
      <c r="C50" s="315">
        <f>SUM(C31:C36)-SUM(C39:C49)</f>
        <v>966883</v>
      </c>
      <c r="D50" s="315">
        <f>SUM(D31:D36)-SUM(D39:D49)</f>
        <v>0</v>
      </c>
      <c r="E50" s="315">
        <f>SUM(E31:E35)-SUM(E39:E48)</f>
        <v>966883</v>
      </c>
      <c r="F50" s="11"/>
      <c r="G50" s="11"/>
      <c r="H50" s="6"/>
      <c r="I50" s="6"/>
    </row>
    <row r="51" spans="1:9" ht="12.75">
      <c r="A51" s="4" t="s">
        <v>156</v>
      </c>
      <c r="B51" s="29" t="s">
        <v>258</v>
      </c>
      <c r="C51" s="319">
        <v>377895</v>
      </c>
      <c r="D51" s="319">
        <v>0</v>
      </c>
      <c r="E51" s="316">
        <f>+C51-D51</f>
        <v>377895</v>
      </c>
      <c r="F51" s="11"/>
      <c r="G51" s="11"/>
      <c r="H51" s="6"/>
      <c r="I51" s="6"/>
    </row>
    <row r="52" spans="1:6" ht="12.75">
      <c r="A52" t="s">
        <v>248</v>
      </c>
      <c r="B52" s="8" t="s">
        <v>258</v>
      </c>
      <c r="C52" s="319">
        <v>175000</v>
      </c>
      <c r="D52" s="319">
        <v>0</v>
      </c>
      <c r="E52" s="317">
        <f>+C52-D52</f>
        <v>175000</v>
      </c>
      <c r="F52" s="8"/>
    </row>
    <row r="53" spans="1:6" ht="12.75">
      <c r="A53" s="2" t="s">
        <v>197</v>
      </c>
      <c r="B53" s="8" t="s">
        <v>260</v>
      </c>
      <c r="C53" s="315">
        <f>C50-C51-C52</f>
        <v>413988</v>
      </c>
      <c r="D53" s="315">
        <f>D50-D51-D52</f>
        <v>0</v>
      </c>
      <c r="E53" s="315">
        <f>E50-E51-E52</f>
        <v>413988</v>
      </c>
      <c r="F53" s="8"/>
    </row>
    <row r="54" spans="1:6" ht="36">
      <c r="A54" s="98" t="s">
        <v>601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243</v>
      </c>
      <c r="B56" s="8"/>
      <c r="C56" s="35"/>
      <c r="D56" s="35"/>
      <c r="E56" s="35"/>
      <c r="F56" s="8"/>
    </row>
    <row r="57" spans="1:6" ht="12.75">
      <c r="A57" s="15" t="s">
        <v>231</v>
      </c>
      <c r="B57" s="8"/>
      <c r="C57" s="35"/>
      <c r="D57" s="35"/>
      <c r="E57" s="35"/>
      <c r="F57" s="8"/>
    </row>
    <row r="58" spans="1:6" ht="12.75">
      <c r="A58" s="2" t="s">
        <v>232</v>
      </c>
      <c r="B58" s="8"/>
      <c r="C58" s="50"/>
      <c r="D58" s="50"/>
      <c r="E58" s="50"/>
      <c r="F58" s="8"/>
    </row>
    <row r="59" spans="1:6" ht="12.75">
      <c r="A59" s="4" t="s">
        <v>163</v>
      </c>
      <c r="B59" s="8" t="s">
        <v>257</v>
      </c>
      <c r="C59" s="321">
        <f>C52</f>
        <v>175000</v>
      </c>
      <c r="D59" s="321">
        <f>D52</f>
        <v>0</v>
      </c>
      <c r="E59" s="305">
        <f>+C59-D59</f>
        <v>175000</v>
      </c>
      <c r="F59" s="8"/>
    </row>
    <row r="60" spans="1:6" ht="12.75">
      <c r="A60" s="4" t="s">
        <v>606</v>
      </c>
      <c r="B60" s="8" t="s">
        <v>257</v>
      </c>
      <c r="C60" s="365">
        <v>0</v>
      </c>
      <c r="D60" s="365">
        <v>0</v>
      </c>
      <c r="E60" s="305">
        <f>+C60-D60</f>
        <v>0</v>
      </c>
      <c r="F60" s="8"/>
    </row>
    <row r="61" spans="1:6" ht="12.75">
      <c r="A61" t="s">
        <v>20</v>
      </c>
      <c r="B61" s="8" t="s">
        <v>257</v>
      </c>
      <c r="C61" s="321">
        <f>C43</f>
        <v>447230</v>
      </c>
      <c r="D61" s="321">
        <f>D43</f>
        <v>0</v>
      </c>
      <c r="E61" s="305">
        <f>+C61-D61</f>
        <v>447230</v>
      </c>
      <c r="F61" s="8"/>
    </row>
    <row r="62" spans="1:6" ht="12.75">
      <c r="A62" t="s">
        <v>617</v>
      </c>
      <c r="B62" s="8" t="s">
        <v>257</v>
      </c>
      <c r="C62" s="365">
        <v>84773</v>
      </c>
      <c r="D62" s="321">
        <v>0</v>
      </c>
      <c r="E62" s="305">
        <f>+C62-D62</f>
        <v>84773</v>
      </c>
      <c r="F62" s="8"/>
    </row>
    <row r="63" spans="1:6" ht="12.75">
      <c r="A63" s="37" t="s">
        <v>376</v>
      </c>
      <c r="B63" s="8" t="s">
        <v>257</v>
      </c>
      <c r="C63" s="363">
        <f>'Tax Reserves'!C22</f>
        <v>0</v>
      </c>
      <c r="D63" s="364">
        <f>'Tax Reserves'!D22</f>
        <v>0</v>
      </c>
      <c r="E63" s="305">
        <f>C63-D63</f>
        <v>0</v>
      </c>
      <c r="F63" s="8"/>
    </row>
    <row r="64" spans="1:6" ht="12.75">
      <c r="A64" s="4" t="s">
        <v>115</v>
      </c>
      <c r="B64" s="8" t="s">
        <v>257</v>
      </c>
      <c r="C64" s="363">
        <f>'Tax Reserves'!C63</f>
        <v>0</v>
      </c>
      <c r="D64" s="364">
        <f>'Tax Reserves'!D63</f>
        <v>0</v>
      </c>
      <c r="E64" s="305">
        <f>+C64-D64</f>
        <v>0</v>
      </c>
      <c r="F64" s="8"/>
    </row>
    <row r="65" spans="1:6" ht="12.75">
      <c r="A65" t="s">
        <v>613</v>
      </c>
      <c r="B65" s="8" t="s">
        <v>257</v>
      </c>
      <c r="C65" s="320">
        <v>169696</v>
      </c>
      <c r="D65" s="320">
        <v>0</v>
      </c>
      <c r="E65" s="305">
        <f>+C65-D65</f>
        <v>169696</v>
      </c>
      <c r="F65" s="8"/>
    </row>
    <row r="66" spans="1:6" ht="12.75">
      <c r="A66" t="s">
        <v>614</v>
      </c>
      <c r="B66" s="8" t="s">
        <v>257</v>
      </c>
      <c r="C66" s="320">
        <v>286757</v>
      </c>
      <c r="D66" s="320">
        <v>0</v>
      </c>
      <c r="E66" s="305">
        <f>+C66-D66</f>
        <v>286757</v>
      </c>
      <c r="F66" s="8"/>
    </row>
    <row r="67" spans="1:6" ht="12.75">
      <c r="A67" t="s">
        <v>226</v>
      </c>
      <c r="B67" s="8" t="s">
        <v>257</v>
      </c>
      <c r="C67" s="283">
        <f>'TAXREC 2'!C95</f>
        <v>103200</v>
      </c>
      <c r="D67" s="283">
        <f>'TAXREC 2'!D95</f>
        <v>0</v>
      </c>
      <c r="E67" s="305">
        <f>+C67-D67</f>
        <v>103200</v>
      </c>
      <c r="F67" s="8"/>
    </row>
    <row r="68" spans="1:11" ht="12.75">
      <c r="A68" t="s">
        <v>227</v>
      </c>
      <c r="B68" s="8" t="s">
        <v>257</v>
      </c>
      <c r="C68" s="283">
        <f>'TAXREC 2'!C96</f>
        <v>0</v>
      </c>
      <c r="D68" s="283">
        <f>'TAXREC 2'!D96</f>
        <v>0</v>
      </c>
      <c r="E68" s="305">
        <f>+C68-D68</f>
        <v>0</v>
      </c>
      <c r="F68" s="8"/>
      <c r="G68" s="51"/>
      <c r="H68" s="51"/>
      <c r="I68" s="29"/>
      <c r="J68" s="29"/>
      <c r="K68" s="86"/>
    </row>
    <row r="69" spans="3:11" ht="12.75">
      <c r="C69" s="28"/>
      <c r="D69" s="28"/>
      <c r="E69" s="340"/>
      <c r="F69" s="8"/>
      <c r="G69" s="51"/>
      <c r="H69" s="51"/>
      <c r="I69" s="29"/>
      <c r="J69" s="29"/>
      <c r="K69" s="86"/>
    </row>
    <row r="70" spans="1:11" ht="12.75">
      <c r="A70" s="10" t="s">
        <v>172</v>
      </c>
      <c r="B70" s="8"/>
      <c r="C70" s="305">
        <f>SUM(C59:C68)</f>
        <v>1266656</v>
      </c>
      <c r="D70" s="305">
        <f>SUM(D59:D68)</f>
        <v>0</v>
      </c>
      <c r="E70" s="305">
        <f>SUM(E59:E68)</f>
        <v>1266656</v>
      </c>
      <c r="F70" s="8"/>
      <c r="G70" s="51"/>
      <c r="H70" s="51"/>
      <c r="I70" s="29"/>
      <c r="J70" s="51"/>
      <c r="K70" s="86"/>
    </row>
    <row r="71" spans="1:11" ht="12.75">
      <c r="A71" s="10"/>
      <c r="B71" s="8"/>
      <c r="C71" s="48"/>
      <c r="D71" s="48"/>
      <c r="E71" s="48"/>
      <c r="F71" s="8"/>
      <c r="G71" s="51"/>
      <c r="H71" s="51"/>
      <c r="I71" s="29"/>
      <c r="J71" s="51"/>
      <c r="K71" s="29"/>
    </row>
    <row r="72" spans="1:11" ht="12.75">
      <c r="A72" s="10" t="s">
        <v>291</v>
      </c>
      <c r="B72" s="8"/>
      <c r="C72" s="5"/>
      <c r="D72" s="5"/>
      <c r="E72" s="5"/>
      <c r="F72" s="8"/>
      <c r="G72" s="51"/>
      <c r="H72" s="51"/>
      <c r="I72" s="29"/>
      <c r="J72" s="29"/>
      <c r="K72" s="29"/>
    </row>
    <row r="73" spans="1:11" ht="12.75">
      <c r="A73" t="s">
        <v>616</v>
      </c>
      <c r="B73" s="8" t="s">
        <v>257</v>
      </c>
      <c r="C73" s="330">
        <f>495347-447230</f>
        <v>48117</v>
      </c>
      <c r="D73" s="330">
        <v>0</v>
      </c>
      <c r="E73" s="305">
        <f aca="true" t="shared" si="1" ref="E73:E79">+C73-D73</f>
        <v>48117</v>
      </c>
      <c r="F73" s="8"/>
      <c r="G73" s="87"/>
      <c r="H73" s="88"/>
      <c r="I73" s="89"/>
      <c r="J73" s="89"/>
      <c r="K73" s="89"/>
    </row>
    <row r="74" spans="1:11" ht="12.75">
      <c r="A74" t="s">
        <v>612</v>
      </c>
      <c r="B74" s="8" t="s">
        <v>257</v>
      </c>
      <c r="C74" s="330">
        <v>3651</v>
      </c>
      <c r="D74" s="330">
        <v>0</v>
      </c>
      <c r="E74" s="305">
        <f t="shared" si="1"/>
        <v>3651</v>
      </c>
      <c r="F74" s="8"/>
      <c r="G74" s="87"/>
      <c r="H74" s="88"/>
      <c r="I74" s="89"/>
      <c r="J74" s="88"/>
      <c r="K74" s="88"/>
    </row>
    <row r="75" spans="1:11" ht="12.75">
      <c r="A75" t="s">
        <v>21</v>
      </c>
      <c r="B75" s="8" t="s">
        <v>257</v>
      </c>
      <c r="C75" s="330"/>
      <c r="D75" s="330"/>
      <c r="E75" s="305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4"/>
      <c r="B76" s="8" t="s">
        <v>257</v>
      </c>
      <c r="C76" s="330"/>
      <c r="D76" s="330">
        <v>0</v>
      </c>
      <c r="E76" s="305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8" t="s">
        <v>539</v>
      </c>
      <c r="B77" s="8" t="s">
        <v>257</v>
      </c>
      <c r="C77" s="330"/>
      <c r="D77" s="330"/>
      <c r="E77" s="305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74"/>
      <c r="B78" s="8" t="s">
        <v>257</v>
      </c>
      <c r="C78" s="330"/>
      <c r="D78" s="330"/>
      <c r="E78" s="305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80"/>
      <c r="B79" s="8" t="s">
        <v>257</v>
      </c>
      <c r="C79" s="330"/>
      <c r="D79" s="330"/>
      <c r="E79" s="305">
        <f t="shared" si="1"/>
        <v>0</v>
      </c>
      <c r="F79" s="8"/>
      <c r="G79" s="87"/>
      <c r="H79" s="88"/>
      <c r="I79" s="89"/>
      <c r="J79" s="88"/>
      <c r="K79" s="88"/>
    </row>
    <row r="80" spans="1:11" ht="12.75">
      <c r="A80" s="73" t="s">
        <v>111</v>
      </c>
      <c r="B80" s="8" t="s">
        <v>260</v>
      </c>
      <c r="C80" s="283">
        <f>SUM(C73:C79)</f>
        <v>51768</v>
      </c>
      <c r="D80" s="283">
        <f>SUM(D73:D79)</f>
        <v>0</v>
      </c>
      <c r="E80" s="283">
        <f>SUM(E73:E79)</f>
        <v>51768</v>
      </c>
      <c r="F80" s="8"/>
      <c r="G80" s="90"/>
      <c r="H80" s="88"/>
      <c r="I80" s="89"/>
      <c r="J80" s="89"/>
      <c r="K80" s="88"/>
    </row>
    <row r="81" spans="1:11" ht="12.75">
      <c r="A81" s="10"/>
      <c r="C81" s="28"/>
      <c r="D81" s="28"/>
      <c r="E81" s="28"/>
      <c r="F81" s="8"/>
      <c r="G81" s="88"/>
      <c r="H81" s="88"/>
      <c r="I81" s="84"/>
      <c r="J81" s="84"/>
      <c r="K81" s="84"/>
    </row>
    <row r="82" spans="1:11" ht="12.75">
      <c r="A82" s="4" t="s">
        <v>31</v>
      </c>
      <c r="B82" s="8" t="s">
        <v>260</v>
      </c>
      <c r="C82" s="283">
        <f>C70+C80</f>
        <v>1318424</v>
      </c>
      <c r="D82" s="283">
        <f>D70+D80</f>
        <v>0</v>
      </c>
      <c r="E82" s="283">
        <f>E70+E80</f>
        <v>1318424</v>
      </c>
      <c r="F82" s="8"/>
      <c r="G82" s="51"/>
      <c r="H82" s="51"/>
      <c r="I82" s="51"/>
      <c r="J82" s="51"/>
      <c r="K82" s="51"/>
    </row>
    <row r="83" spans="1:11" ht="12.75">
      <c r="A83" s="4"/>
      <c r="B83" s="8"/>
      <c r="C83" s="84"/>
      <c r="D83" s="84"/>
      <c r="E83" s="84"/>
      <c r="F83" s="8"/>
      <c r="G83" s="51"/>
      <c r="H83" s="51"/>
      <c r="I83" s="51"/>
      <c r="J83" s="51"/>
      <c r="K83" s="51"/>
    </row>
    <row r="84" spans="1:11" ht="12.75">
      <c r="A84" s="314" t="s">
        <v>241</v>
      </c>
      <c r="B84" s="51"/>
      <c r="C84" s="29"/>
      <c r="D84" s="29"/>
      <c r="E84" s="29"/>
      <c r="F84" s="8"/>
      <c r="G84" s="51"/>
      <c r="H84" s="51"/>
      <c r="I84" s="51"/>
      <c r="J84" s="51"/>
      <c r="K84" s="51"/>
    </row>
    <row r="85" spans="1:11" ht="12.75">
      <c r="A85" s="322" t="str">
        <f aca="true" t="shared" si="2" ref="A85:A91">IF($E73&gt;$C$13,A73," ")</f>
        <v>Recapture of CCA (Sch 1 Line 104 less cell C61)</v>
      </c>
      <c r="B85" s="306"/>
      <c r="C85" s="324">
        <f aca="true" t="shared" si="3" ref="C85:E89">IF($E73&gt;$C$13,C73,)</f>
        <v>48117</v>
      </c>
      <c r="D85" s="324">
        <f t="shared" si="3"/>
        <v>0</v>
      </c>
      <c r="E85" s="324">
        <f t="shared" si="3"/>
        <v>48117</v>
      </c>
      <c r="F85" s="8"/>
      <c r="G85" s="51"/>
      <c r="H85" s="51"/>
      <c r="I85" s="51"/>
      <c r="J85" s="51"/>
      <c r="K85" s="51"/>
    </row>
    <row r="86" spans="1:11" ht="12.75">
      <c r="A86" s="322" t="str">
        <f t="shared" si="2"/>
        <v> </v>
      </c>
      <c r="B86" s="306"/>
      <c r="C86" s="324">
        <f t="shared" si="3"/>
        <v>0</v>
      </c>
      <c r="D86" s="324">
        <f t="shared" si="3"/>
        <v>0</v>
      </c>
      <c r="E86" s="324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2" t="str">
        <f t="shared" si="2"/>
        <v> </v>
      </c>
      <c r="B87" s="306"/>
      <c r="C87" s="324">
        <f t="shared" si="3"/>
        <v>0</v>
      </c>
      <c r="D87" s="324">
        <f t="shared" si="3"/>
        <v>0</v>
      </c>
      <c r="E87" s="324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2" t="str">
        <f t="shared" si="2"/>
        <v> </v>
      </c>
      <c r="B88" s="306"/>
      <c r="C88" s="324">
        <f t="shared" si="3"/>
        <v>0</v>
      </c>
      <c r="D88" s="324">
        <f t="shared" si="3"/>
        <v>0</v>
      </c>
      <c r="E88" s="324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2" t="str">
        <f t="shared" si="2"/>
        <v> </v>
      </c>
      <c r="B89" s="306"/>
      <c r="C89" s="324">
        <f t="shared" si="3"/>
        <v>0</v>
      </c>
      <c r="D89" s="324">
        <f t="shared" si="3"/>
        <v>0</v>
      </c>
      <c r="E89" s="324">
        <f t="shared" si="3"/>
        <v>0</v>
      </c>
      <c r="F89" s="8"/>
      <c r="G89" s="51"/>
      <c r="H89" s="51"/>
      <c r="I89" s="51"/>
      <c r="J89" s="51"/>
      <c r="K89" s="51"/>
    </row>
    <row r="90" spans="1:11" ht="12.75">
      <c r="A90" s="322" t="str">
        <f t="shared" si="2"/>
        <v> </v>
      </c>
      <c r="B90" s="306"/>
      <c r="C90" s="324">
        <f aca="true" t="shared" si="4" ref="C90:E91">IF($E78&gt;$C$13,C78,)</f>
        <v>0</v>
      </c>
      <c r="D90" s="324">
        <f t="shared" si="4"/>
        <v>0</v>
      </c>
      <c r="E90" s="324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22" t="str">
        <f t="shared" si="2"/>
        <v> </v>
      </c>
      <c r="B91" s="306"/>
      <c r="C91" s="324">
        <f t="shared" si="4"/>
        <v>0</v>
      </c>
      <c r="D91" s="324">
        <f t="shared" si="4"/>
        <v>0</v>
      </c>
      <c r="E91" s="324">
        <f t="shared" si="4"/>
        <v>0</v>
      </c>
      <c r="F91" s="8"/>
      <c r="G91" s="51"/>
      <c r="H91" s="51"/>
      <c r="I91" s="51"/>
      <c r="J91" s="51"/>
      <c r="K91" s="51"/>
    </row>
    <row r="92" spans="1:11" ht="12.75">
      <c r="A92" s="323" t="s">
        <v>217</v>
      </c>
      <c r="B92" s="306"/>
      <c r="C92" s="313">
        <f>SUM(C85:C91)</f>
        <v>48117</v>
      </c>
      <c r="D92" s="313">
        <f>SUM(D85:D91)</f>
        <v>0</v>
      </c>
      <c r="E92" s="313">
        <f>SUM(E85:E91)</f>
        <v>48117</v>
      </c>
      <c r="F92" s="8"/>
      <c r="G92" s="51"/>
      <c r="H92" s="51"/>
      <c r="I92" s="51"/>
      <c r="J92" s="51"/>
      <c r="K92" s="51"/>
    </row>
    <row r="93" spans="1:11" ht="12.75">
      <c r="A93" s="306" t="s">
        <v>280</v>
      </c>
      <c r="B93" s="306"/>
      <c r="C93" s="283">
        <f>C80-C92</f>
        <v>3651</v>
      </c>
      <c r="D93" s="283">
        <f>D80-D92</f>
        <v>0</v>
      </c>
      <c r="E93" s="283">
        <f>E80-E92</f>
        <v>3651</v>
      </c>
      <c r="F93" s="8"/>
      <c r="G93" s="51"/>
      <c r="H93" s="51"/>
      <c r="I93" s="51"/>
      <c r="J93" s="51"/>
      <c r="K93" s="51"/>
    </row>
    <row r="94" spans="1:11" ht="12.75">
      <c r="A94" s="306" t="s">
        <v>281</v>
      </c>
      <c r="B94" s="306"/>
      <c r="C94" s="283">
        <f>C92+C93</f>
        <v>51768</v>
      </c>
      <c r="D94" s="283">
        <f>D92+D93</f>
        <v>0</v>
      </c>
      <c r="E94" s="283">
        <f>E92+E93</f>
        <v>51768</v>
      </c>
      <c r="F94" s="8"/>
      <c r="G94" s="51"/>
      <c r="H94" s="51"/>
      <c r="I94" s="51"/>
      <c r="J94" s="51"/>
      <c r="K94" s="51"/>
    </row>
    <row r="95" spans="1:11" ht="12.75">
      <c r="A95" s="2"/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s="12" t="s">
        <v>120</v>
      </c>
      <c r="B96" s="8"/>
      <c r="C96" s="5"/>
      <c r="D96" s="5"/>
      <c r="E96" s="5"/>
      <c r="F96" s="8"/>
      <c r="G96" s="51"/>
      <c r="H96" s="51"/>
      <c r="I96" s="51"/>
      <c r="J96" s="51"/>
      <c r="K96" s="51"/>
    </row>
    <row r="97" spans="1:11" ht="12.75">
      <c r="A97" t="s">
        <v>615</v>
      </c>
      <c r="B97" s="8" t="s">
        <v>258</v>
      </c>
      <c r="C97" s="330">
        <v>658889</v>
      </c>
      <c r="D97" s="330">
        <v>0</v>
      </c>
      <c r="E97" s="305">
        <f>+C97-D97</f>
        <v>658889</v>
      </c>
      <c r="F97" s="8"/>
      <c r="G97" s="51"/>
      <c r="H97" s="51"/>
      <c r="I97" s="51"/>
      <c r="J97" s="51"/>
      <c r="K97" s="51"/>
    </row>
    <row r="98" spans="1:11" ht="12.75">
      <c r="A98" t="s">
        <v>28</v>
      </c>
      <c r="B98" s="8" t="s">
        <v>258</v>
      </c>
      <c r="C98" s="330"/>
      <c r="D98" s="330"/>
      <c r="E98" s="305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25</v>
      </c>
      <c r="B99" s="8" t="s">
        <v>258</v>
      </c>
      <c r="C99" s="330"/>
      <c r="D99" s="330"/>
      <c r="E99" s="305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t="s">
        <v>51</v>
      </c>
      <c r="B100" s="8" t="s">
        <v>258</v>
      </c>
      <c r="C100" s="330"/>
      <c r="D100" s="330"/>
      <c r="E100" s="305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157</v>
      </c>
      <c r="B101" s="8" t="s">
        <v>258</v>
      </c>
      <c r="C101" s="330"/>
      <c r="D101" s="330"/>
      <c r="E101" s="321">
        <f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158</v>
      </c>
      <c r="B102" s="8" t="s">
        <v>258</v>
      </c>
      <c r="C102" s="330"/>
      <c r="D102" s="330"/>
      <c r="E102" s="305">
        <f aca="true" t="shared" si="5" ref="E102:E109"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159</v>
      </c>
      <c r="B103" s="8" t="s">
        <v>258</v>
      </c>
      <c r="C103" s="330"/>
      <c r="D103" s="330"/>
      <c r="E103" s="317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t="s">
        <v>512</v>
      </c>
      <c r="B104" s="8"/>
      <c r="C104" s="330"/>
      <c r="D104" s="330"/>
      <c r="E104" s="317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359</v>
      </c>
      <c r="B105" s="8" t="s">
        <v>258</v>
      </c>
      <c r="C105" s="366">
        <f>'Tax Reserves'!C35</f>
        <v>0</v>
      </c>
      <c r="D105" s="366">
        <f>'Tax Reserves'!D35</f>
        <v>0</v>
      </c>
      <c r="E105" s="305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377</v>
      </c>
      <c r="B106" s="8" t="s">
        <v>258</v>
      </c>
      <c r="C106" s="366">
        <f>'Tax Reserves'!C50</f>
        <v>0</v>
      </c>
      <c r="D106" s="366">
        <f>'Tax Reserves'!D50</f>
        <v>0</v>
      </c>
      <c r="E106" s="316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10" t="s">
        <v>26</v>
      </c>
      <c r="B107" s="8" t="s">
        <v>258</v>
      </c>
      <c r="C107" s="330"/>
      <c r="D107" s="330"/>
      <c r="E107" s="305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27</v>
      </c>
      <c r="B108" s="8" t="s">
        <v>258</v>
      </c>
      <c r="C108" s="330"/>
      <c r="D108" s="330"/>
      <c r="E108" s="305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37" t="s">
        <v>249</v>
      </c>
      <c r="B109" s="8" t="s">
        <v>258</v>
      </c>
      <c r="C109" s="330"/>
      <c r="D109" s="330"/>
      <c r="E109" s="317">
        <f t="shared" si="5"/>
        <v>0</v>
      </c>
      <c r="F109" s="8"/>
      <c r="G109" s="51"/>
      <c r="H109" s="51"/>
      <c r="I109" s="51"/>
      <c r="J109" s="51"/>
      <c r="K109" s="51"/>
    </row>
    <row r="110" spans="1:11" ht="12.75">
      <c r="A110" t="s">
        <v>228</v>
      </c>
      <c r="B110" s="8" t="s">
        <v>258</v>
      </c>
      <c r="C110" s="283">
        <f>'TAXREC 2'!C146</f>
        <v>141760</v>
      </c>
      <c r="D110" s="283">
        <f>'TAXREC 2'!D146</f>
        <v>0</v>
      </c>
      <c r="E110" s="283">
        <f>'TAXREC 2'!E146</f>
        <v>141760</v>
      </c>
      <c r="F110" s="8"/>
      <c r="G110" s="51"/>
      <c r="H110" s="51"/>
      <c r="I110" s="51"/>
      <c r="J110" s="51"/>
      <c r="K110" s="51"/>
    </row>
    <row r="111" spans="1:11" ht="12.75">
      <c r="A111" t="s">
        <v>229</v>
      </c>
      <c r="B111" s="8" t="s">
        <v>258</v>
      </c>
      <c r="C111" s="283">
        <f>'TAXREC 2'!C147</f>
        <v>0</v>
      </c>
      <c r="D111" s="283">
        <f>'TAXREC 2'!D147</f>
        <v>0</v>
      </c>
      <c r="E111" s="283">
        <f>'TAXREC 2'!E147</f>
        <v>0</v>
      </c>
      <c r="F111" s="8"/>
      <c r="G111" s="51"/>
      <c r="H111" s="51"/>
      <c r="I111" s="29"/>
      <c r="J111" s="29"/>
      <c r="K111" s="86"/>
    </row>
    <row r="112" spans="1:11" ht="12.75">
      <c r="A112" s="4"/>
      <c r="B112" s="8"/>
      <c r="C112" s="28"/>
      <c r="D112" s="28"/>
      <c r="E112" s="339"/>
      <c r="F112" s="8"/>
      <c r="G112" s="51"/>
      <c r="H112" s="51"/>
      <c r="I112" s="29"/>
      <c r="J112" s="51"/>
      <c r="K112" s="86"/>
    </row>
    <row r="113" spans="1:11" ht="12.75">
      <c r="A113" s="4" t="s">
        <v>230</v>
      </c>
      <c r="B113" s="8" t="s">
        <v>260</v>
      </c>
      <c r="C113" s="283">
        <f>SUM(C97:C111)</f>
        <v>800649</v>
      </c>
      <c r="D113" s="283">
        <f>SUM(D97:D111)</f>
        <v>0</v>
      </c>
      <c r="E113" s="283">
        <f>SUM(E97:E111)</f>
        <v>800649</v>
      </c>
      <c r="F113" s="8"/>
      <c r="G113" s="51"/>
      <c r="H113" s="51"/>
      <c r="I113" s="29"/>
      <c r="J113" s="51"/>
      <c r="K113" s="29"/>
    </row>
    <row r="114" spans="1:11" ht="12.75">
      <c r="A114" s="10" t="s">
        <v>290</v>
      </c>
      <c r="B114" s="8"/>
      <c r="C114" s="5"/>
      <c r="D114" s="5"/>
      <c r="E114" s="5"/>
      <c r="F114" s="8"/>
      <c r="G114" s="51"/>
      <c r="H114" s="51"/>
      <c r="I114" s="29"/>
      <c r="J114" s="29"/>
      <c r="K114" s="29"/>
    </row>
    <row r="115" spans="1:11" ht="12.75">
      <c r="A115" t="s">
        <v>630</v>
      </c>
      <c r="B115" s="8" t="s">
        <v>258</v>
      </c>
      <c r="C115" s="330"/>
      <c r="D115" s="330">
        <v>0</v>
      </c>
      <c r="E115" s="305">
        <f>+C115-D115</f>
        <v>0</v>
      </c>
      <c r="F115" s="8"/>
      <c r="G115" s="87"/>
      <c r="H115" s="88"/>
      <c r="I115" s="89"/>
      <c r="J115" s="89"/>
      <c r="K115" s="89"/>
    </row>
    <row r="116" spans="1:11" ht="12.75">
      <c r="A116" s="78" t="s">
        <v>317</v>
      </c>
      <c r="B116" s="8" t="s">
        <v>258</v>
      </c>
      <c r="C116" s="330"/>
      <c r="D116" s="330"/>
      <c r="E116" s="305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78"/>
      <c r="B117" s="8" t="s">
        <v>258</v>
      </c>
      <c r="C117" s="330"/>
      <c r="D117" s="330">
        <v>0</v>
      </c>
      <c r="E117" s="305"/>
      <c r="F117" s="8"/>
      <c r="G117" s="87"/>
      <c r="H117" s="88"/>
      <c r="I117" s="88"/>
      <c r="J117" s="88"/>
      <c r="K117" s="88"/>
    </row>
    <row r="118" spans="1:11" ht="12.75">
      <c r="A118" s="78" t="s">
        <v>540</v>
      </c>
      <c r="B118" s="8" t="s">
        <v>258</v>
      </c>
      <c r="C118" s="330"/>
      <c r="D118" s="330">
        <v>0</v>
      </c>
      <c r="E118" s="305"/>
      <c r="F118" s="8"/>
      <c r="G118" s="87"/>
      <c r="H118" s="88"/>
      <c r="I118" s="88"/>
      <c r="J118" s="88"/>
      <c r="K118" s="88"/>
    </row>
    <row r="119" spans="1:11" ht="12.75">
      <c r="A119" s="78"/>
      <c r="B119" s="8" t="s">
        <v>258</v>
      </c>
      <c r="C119" s="330"/>
      <c r="D119" s="330">
        <v>0</v>
      </c>
      <c r="E119" s="305"/>
      <c r="F119" s="8"/>
      <c r="G119" s="87"/>
      <c r="H119" s="88"/>
      <c r="I119" s="88"/>
      <c r="J119" s="88"/>
      <c r="K119" s="88"/>
    </row>
    <row r="120" spans="1:11" ht="12.75">
      <c r="A120" s="78"/>
      <c r="B120" s="8" t="s">
        <v>258</v>
      </c>
      <c r="C120" s="330"/>
      <c r="D120" s="330"/>
      <c r="E120" s="305">
        <f>+C120-D120</f>
        <v>0</v>
      </c>
      <c r="F120" s="8"/>
      <c r="G120" s="87"/>
      <c r="H120" s="88"/>
      <c r="I120" s="88"/>
      <c r="J120" s="88"/>
      <c r="K120" s="88"/>
    </row>
    <row r="121" spans="1:11" ht="12.75">
      <c r="A121" s="78"/>
      <c r="B121" s="8"/>
      <c r="C121" s="330"/>
      <c r="D121" s="330"/>
      <c r="E121" s="305">
        <f>+C121-D121</f>
        <v>0</v>
      </c>
      <c r="F121" s="8"/>
      <c r="G121" s="87"/>
      <c r="H121" s="88"/>
      <c r="I121" s="88"/>
      <c r="J121" s="88"/>
      <c r="K121" s="88"/>
    </row>
    <row r="122" spans="1:11" ht="12.75">
      <c r="A122" s="505"/>
      <c r="B122" s="8" t="s">
        <v>258</v>
      </c>
      <c r="C122" s="330"/>
      <c r="D122" s="330"/>
      <c r="E122" s="305">
        <f>+C122-D122</f>
        <v>0</v>
      </c>
      <c r="F122" s="8"/>
      <c r="G122" s="87"/>
      <c r="H122" s="88"/>
      <c r="I122" s="88"/>
      <c r="J122" s="88"/>
      <c r="K122" s="88"/>
    </row>
    <row r="123" spans="1:11" ht="12.75">
      <c r="A123" s="10" t="s">
        <v>112</v>
      </c>
      <c r="B123" s="8" t="s">
        <v>260</v>
      </c>
      <c r="C123" s="283">
        <f>SUM(C114:C122)</f>
        <v>0</v>
      </c>
      <c r="D123" s="283">
        <f>SUM(D114:D122)</f>
        <v>0</v>
      </c>
      <c r="E123" s="283">
        <f>SUM(E114:E122)</f>
        <v>0</v>
      </c>
      <c r="F123" s="8"/>
      <c r="G123" s="90"/>
      <c r="H123" s="88"/>
      <c r="I123" s="88"/>
      <c r="J123" s="88"/>
      <c r="K123" s="88"/>
    </row>
    <row r="124" spans="2:11" ht="12.75">
      <c r="B124" s="8"/>
      <c r="C124" s="28"/>
      <c r="D124" s="28"/>
      <c r="E124" s="28"/>
      <c r="F124" s="8"/>
      <c r="G124" s="88"/>
      <c r="H124" s="88"/>
      <c r="I124" s="84"/>
      <c r="J124" s="84"/>
      <c r="K124" s="84"/>
    </row>
    <row r="125" spans="1:11" ht="12.75">
      <c r="A125" s="4" t="s">
        <v>32</v>
      </c>
      <c r="B125" s="8" t="s">
        <v>260</v>
      </c>
      <c r="C125" s="283">
        <f>C113+C123</f>
        <v>800649</v>
      </c>
      <c r="D125" s="283">
        <f>D113+D123</f>
        <v>0</v>
      </c>
      <c r="E125" s="283">
        <f>+E113+E123</f>
        <v>800649</v>
      </c>
      <c r="F125" s="8"/>
      <c r="G125" s="51"/>
      <c r="H125" s="51"/>
      <c r="I125" s="51"/>
      <c r="J125" s="51"/>
      <c r="K125" s="51"/>
    </row>
    <row r="126" spans="2:11" ht="12.75">
      <c r="B126" s="8"/>
      <c r="C126" s="28"/>
      <c r="D126" s="28"/>
      <c r="E126" s="28"/>
      <c r="F126" s="8"/>
      <c r="G126" s="51"/>
      <c r="H126" s="51"/>
      <c r="I126" s="51"/>
      <c r="J126" s="51"/>
      <c r="K126" s="51"/>
    </row>
    <row r="127" spans="1:11" ht="12.75">
      <c r="A127" s="325" t="s">
        <v>242</v>
      </c>
      <c r="C127" s="8"/>
      <c r="D127" s="8"/>
      <c r="E127" s="8"/>
      <c r="F127" s="8"/>
      <c r="G127" s="51"/>
      <c r="H127" s="51"/>
      <c r="I127" s="51"/>
      <c r="J127" s="51"/>
      <c r="K127" s="51"/>
    </row>
    <row r="128" spans="1:11" ht="12.75">
      <c r="A128" s="322" t="str">
        <f>IF($E115&gt;$C$13,A115," ")</f>
        <v> </v>
      </c>
      <c r="B128" s="306"/>
      <c r="C128" s="324">
        <f aca="true" t="shared" si="6" ref="C128:E129">IF($E115&gt;$C$13,C115,)</f>
        <v>0</v>
      </c>
      <c r="D128" s="324">
        <f t="shared" si="6"/>
        <v>0</v>
      </c>
      <c r="E128" s="324">
        <f t="shared" si="6"/>
        <v>0</v>
      </c>
      <c r="F128" s="8"/>
      <c r="G128" s="51"/>
      <c r="H128" s="51"/>
      <c r="I128" s="51"/>
      <c r="J128" s="51"/>
      <c r="K128" s="51"/>
    </row>
    <row r="129" spans="1:11" ht="12.75">
      <c r="A129" s="322" t="str">
        <f>IF($E116&gt;$C$13,A116," ")</f>
        <v> </v>
      </c>
      <c r="B129" s="306"/>
      <c r="C129" s="324">
        <f t="shared" si="6"/>
        <v>0</v>
      </c>
      <c r="D129" s="324">
        <f t="shared" si="6"/>
        <v>0</v>
      </c>
      <c r="E129" s="324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22" t="str">
        <f>IF($E120&gt;$C$13,A120," ")</f>
        <v> </v>
      </c>
      <c r="B130" s="306"/>
      <c r="C130" s="324">
        <f aca="true" t="shared" si="7" ref="C130:E132">IF($E120&gt;$C$13,C120,)</f>
        <v>0</v>
      </c>
      <c r="D130" s="324">
        <f t="shared" si="7"/>
        <v>0</v>
      </c>
      <c r="E130" s="324">
        <f t="shared" si="7"/>
        <v>0</v>
      </c>
      <c r="F130" s="8"/>
      <c r="G130" s="51"/>
      <c r="H130" s="51"/>
      <c r="I130" s="51"/>
      <c r="J130" s="51"/>
      <c r="K130" s="51"/>
    </row>
    <row r="131" spans="1:11" ht="12.75">
      <c r="A131" s="322"/>
      <c r="B131" s="306"/>
      <c r="C131" s="324">
        <f t="shared" si="7"/>
        <v>0</v>
      </c>
      <c r="D131" s="324">
        <f t="shared" si="7"/>
        <v>0</v>
      </c>
      <c r="E131" s="324">
        <f t="shared" si="7"/>
        <v>0</v>
      </c>
      <c r="F131" s="8"/>
      <c r="G131" s="51"/>
      <c r="H131" s="51"/>
      <c r="I131" s="51"/>
      <c r="J131" s="51"/>
      <c r="K131" s="51"/>
    </row>
    <row r="132" spans="1:11" ht="12.75">
      <c r="A132" s="322" t="str">
        <f>IF($E122&gt;$C$13,A122," ")</f>
        <v> </v>
      </c>
      <c r="B132" s="306"/>
      <c r="C132" s="324">
        <f t="shared" si="7"/>
        <v>0</v>
      </c>
      <c r="D132" s="324">
        <f t="shared" si="7"/>
        <v>0</v>
      </c>
      <c r="E132" s="324">
        <f t="shared" si="7"/>
        <v>0</v>
      </c>
      <c r="F132" s="8"/>
      <c r="G132" s="51"/>
      <c r="H132" s="51"/>
      <c r="I132" s="51"/>
      <c r="J132" s="51"/>
      <c r="K132" s="51"/>
    </row>
    <row r="133" spans="1:11" ht="12.75">
      <c r="A133" s="323" t="s">
        <v>283</v>
      </c>
      <c r="B133" s="306"/>
      <c r="C133" s="283">
        <f>SUM(C128:C132)</f>
        <v>0</v>
      </c>
      <c r="D133" s="283">
        <f>SUM(D128:D132)</f>
        <v>0</v>
      </c>
      <c r="E133" s="283">
        <f>SUM(E128:E132)</f>
        <v>0</v>
      </c>
      <c r="F133" s="8"/>
      <c r="G133" s="51"/>
      <c r="H133" s="51"/>
      <c r="I133" s="51"/>
      <c r="J133" s="51"/>
      <c r="K133" s="51"/>
    </row>
    <row r="134" spans="1:11" ht="12.75">
      <c r="A134" s="306" t="s">
        <v>284</v>
      </c>
      <c r="B134" s="306"/>
      <c r="C134" s="283">
        <f>C123-C133</f>
        <v>0</v>
      </c>
      <c r="D134" s="283">
        <f>D123-D133</f>
        <v>0</v>
      </c>
      <c r="E134" s="283">
        <f>E123-E133</f>
        <v>0</v>
      </c>
      <c r="F134" s="8"/>
      <c r="G134" s="51"/>
      <c r="H134" s="51"/>
      <c r="I134" s="51"/>
      <c r="J134" s="51"/>
      <c r="K134" s="51"/>
    </row>
    <row r="135" spans="1:11" ht="12.75">
      <c r="A135" s="306" t="s">
        <v>282</v>
      </c>
      <c r="B135" s="306"/>
      <c r="C135" s="283">
        <f>C133+C134</f>
        <v>0</v>
      </c>
      <c r="D135" s="283">
        <f>D133+D134</f>
        <v>0</v>
      </c>
      <c r="E135" s="283">
        <f>E133+E134</f>
        <v>0</v>
      </c>
      <c r="F135" s="8"/>
      <c r="G135" s="51"/>
      <c r="H135" s="51"/>
      <c r="I135" s="51"/>
      <c r="J135" s="51"/>
      <c r="K135" s="51"/>
    </row>
    <row r="136" spans="2:11" ht="12.75">
      <c r="B136" s="8"/>
      <c r="C136" s="28"/>
      <c r="D136" s="28"/>
      <c r="E136" s="28"/>
      <c r="F136" s="8"/>
      <c r="G136" s="51"/>
      <c r="H136" s="51"/>
      <c r="I136" s="51"/>
      <c r="J136" s="51"/>
      <c r="K136" s="51"/>
    </row>
    <row r="137" spans="1:11" ht="12.75">
      <c r="A137" s="13" t="s">
        <v>146</v>
      </c>
      <c r="B137" s="8" t="s">
        <v>260</v>
      </c>
      <c r="C137" s="283">
        <f>+C53+C82-C125</f>
        <v>931763</v>
      </c>
      <c r="D137" s="283">
        <f>D53+D82-D125</f>
        <v>0</v>
      </c>
      <c r="E137" s="283">
        <f>E53+E82-E125</f>
        <v>931763</v>
      </c>
      <c r="F137" s="8"/>
      <c r="G137" s="51"/>
      <c r="H137" s="51"/>
      <c r="I137" s="51"/>
      <c r="J137" s="51"/>
      <c r="K137" s="51"/>
    </row>
    <row r="138" spans="1:11" ht="12.75">
      <c r="A138" s="12" t="s">
        <v>95</v>
      </c>
      <c r="B138" s="8"/>
      <c r="D138" s="36"/>
      <c r="E138" s="36"/>
      <c r="F138" s="8"/>
      <c r="G138" s="51"/>
      <c r="H138" s="51"/>
      <c r="I138" s="51"/>
      <c r="J138" s="51"/>
      <c r="K138" s="51"/>
    </row>
    <row r="139" spans="1:11" ht="12.75">
      <c r="A139" s="12" t="s">
        <v>574</v>
      </c>
      <c r="B139" s="8" t="s">
        <v>258</v>
      </c>
      <c r="C139" s="330"/>
      <c r="D139" s="330"/>
      <c r="E139" s="297">
        <f>C139-D139</f>
        <v>0</v>
      </c>
      <c r="F139" s="8"/>
      <c r="G139" s="51"/>
      <c r="H139" s="51"/>
      <c r="I139" s="51"/>
      <c r="J139" s="51"/>
      <c r="K139" s="51"/>
    </row>
    <row r="140" spans="1:11" ht="12.75">
      <c r="A140" s="52" t="s">
        <v>600</v>
      </c>
      <c r="B140" s="8" t="s">
        <v>258</v>
      </c>
      <c r="C140" s="357"/>
      <c r="D140" s="357"/>
      <c r="E140" s="443">
        <f>C140-D140</f>
        <v>0</v>
      </c>
      <c r="F140" s="8"/>
      <c r="G140" s="51"/>
      <c r="H140" s="51"/>
      <c r="I140" s="51"/>
      <c r="J140" s="51"/>
      <c r="K140" s="51"/>
    </row>
    <row r="141" spans="1:11" ht="12.75">
      <c r="A141" s="52" t="s">
        <v>631</v>
      </c>
      <c r="B141" s="8"/>
      <c r="C141" s="357">
        <v>318</v>
      </c>
      <c r="D141" s="357">
        <v>0</v>
      </c>
      <c r="E141" s="443">
        <f>C141-D141</f>
        <v>318</v>
      </c>
      <c r="F141" s="8"/>
      <c r="G141" s="51"/>
      <c r="H141" s="51"/>
      <c r="I141" s="51"/>
      <c r="J141" s="51"/>
      <c r="K141" s="51"/>
    </row>
    <row r="142" spans="1:11" ht="12.75">
      <c r="A142" s="52" t="s">
        <v>162</v>
      </c>
      <c r="B142" s="8" t="s">
        <v>260</v>
      </c>
      <c r="C142" s="284">
        <f>C137-C139-C140-C141</f>
        <v>931445</v>
      </c>
      <c r="D142" s="284">
        <f>D137-D139-D140-D141</f>
        <v>0</v>
      </c>
      <c r="E142" s="284">
        <f>E137-E139-E140-E141</f>
        <v>931445</v>
      </c>
      <c r="F142" s="8"/>
      <c r="G142" s="51"/>
      <c r="H142" s="51"/>
      <c r="I142" s="51"/>
      <c r="J142" s="51"/>
      <c r="K142" s="51"/>
    </row>
    <row r="143" spans="1:11" ht="12.75">
      <c r="A143" s="52"/>
      <c r="B143" s="8"/>
      <c r="C143" s="99"/>
      <c r="D143" s="99"/>
      <c r="E143" s="99"/>
      <c r="F143" s="8"/>
      <c r="G143" s="51"/>
      <c r="H143" s="51"/>
      <c r="I143" s="51"/>
      <c r="J143" s="51"/>
      <c r="K143" s="51"/>
    </row>
    <row r="144" spans="1:11" ht="12.75">
      <c r="A144" s="101" t="s">
        <v>400</v>
      </c>
      <c r="B144" s="8"/>
      <c r="C144" s="5"/>
      <c r="D144" s="5"/>
      <c r="E144" s="5"/>
      <c r="F144" s="8"/>
      <c r="G144" s="51"/>
      <c r="H144" s="51"/>
      <c r="I144" s="51"/>
      <c r="J144" s="51"/>
      <c r="K144" s="51"/>
    </row>
    <row r="145" spans="1:11" ht="12.75">
      <c r="A145" s="52" t="s">
        <v>619</v>
      </c>
      <c r="B145" s="8" t="s">
        <v>257</v>
      </c>
      <c r="C145" s="341">
        <v>169828</v>
      </c>
      <c r="D145" s="341">
        <v>0</v>
      </c>
      <c r="E145" s="284">
        <f>C145-D145</f>
        <v>169828</v>
      </c>
      <c r="F145" s="8"/>
      <c r="G145" s="51"/>
      <c r="H145" s="51"/>
      <c r="I145" s="51"/>
      <c r="J145" s="51"/>
      <c r="K145" s="51"/>
    </row>
    <row r="146" spans="1:11" ht="12.75">
      <c r="A146" s="52" t="s">
        <v>618</v>
      </c>
      <c r="B146" s="8" t="s">
        <v>257</v>
      </c>
      <c r="C146" s="341">
        <v>77038</v>
      </c>
      <c r="D146" s="341">
        <v>0</v>
      </c>
      <c r="E146" s="326">
        <f>C146-D146</f>
        <v>77038</v>
      </c>
      <c r="F146" s="8"/>
      <c r="G146" s="51"/>
      <c r="H146" s="51"/>
      <c r="I146" s="51"/>
      <c r="J146" s="51"/>
      <c r="K146" s="51"/>
    </row>
    <row r="147" spans="1:11" ht="12.75">
      <c r="A147" s="52" t="s">
        <v>239</v>
      </c>
      <c r="B147" s="8" t="s">
        <v>260</v>
      </c>
      <c r="C147" s="284">
        <f>C145+C146</f>
        <v>246866</v>
      </c>
      <c r="D147" s="284">
        <f>D145+D146</f>
        <v>0</v>
      </c>
      <c r="E147" s="284">
        <f>E145+E146</f>
        <v>246866</v>
      </c>
      <c r="F147" s="8"/>
      <c r="G147" s="51"/>
      <c r="H147" s="51"/>
      <c r="I147" s="51"/>
      <c r="J147" s="51"/>
      <c r="K147" s="51"/>
    </row>
    <row r="148" spans="1:11" ht="12.75">
      <c r="A148" s="52" t="s">
        <v>575</v>
      </c>
      <c r="B148" s="8" t="s">
        <v>258</v>
      </c>
      <c r="C148" s="341"/>
      <c r="D148" s="341"/>
      <c r="E148" s="327">
        <f>C148-D148</f>
        <v>0</v>
      </c>
      <c r="F148" s="8"/>
      <c r="G148" s="51"/>
      <c r="H148" s="51"/>
      <c r="I148" s="51"/>
      <c r="J148" s="51"/>
      <c r="K148" s="51"/>
    </row>
    <row r="149" spans="1:11" ht="12.75">
      <c r="A149" s="101" t="s">
        <v>164</v>
      </c>
      <c r="B149" s="8" t="s">
        <v>260</v>
      </c>
      <c r="C149" s="284">
        <f>C147-C148</f>
        <v>246866</v>
      </c>
      <c r="D149" s="284">
        <f>D147-D148</f>
        <v>0</v>
      </c>
      <c r="E149" s="284">
        <f>E147-E148</f>
        <v>246866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01" t="s">
        <v>541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52" t="s">
        <v>633</v>
      </c>
      <c r="B152" s="8"/>
      <c r="C152" s="454">
        <v>0.38</v>
      </c>
      <c r="D152" s="5"/>
      <c r="E152" s="455">
        <f>C152</f>
        <v>0.38</v>
      </c>
      <c r="F152" s="8"/>
      <c r="G152" s="51"/>
      <c r="H152" s="51"/>
      <c r="I152" s="51"/>
      <c r="J152" s="51"/>
      <c r="K152" s="51"/>
    </row>
    <row r="153" spans="1:11" ht="12.75">
      <c r="A153" s="52" t="s">
        <v>632</v>
      </c>
      <c r="B153" s="8"/>
      <c r="C153" s="454">
        <v>0.085</v>
      </c>
      <c r="D153" s="5"/>
      <c r="E153" s="455">
        <f>C153</f>
        <v>0.085</v>
      </c>
      <c r="F153" s="8"/>
      <c r="G153" s="51"/>
      <c r="H153" s="51"/>
      <c r="I153" s="51"/>
      <c r="J153" s="51"/>
      <c r="K153" s="51"/>
    </row>
    <row r="154" spans="1:11" ht="12.75">
      <c r="A154" t="s">
        <v>421</v>
      </c>
      <c r="B154" s="8"/>
      <c r="C154" s="455">
        <f>SUM(C152:C153)</f>
        <v>0.465</v>
      </c>
      <c r="D154" s="5"/>
      <c r="E154" s="455">
        <f>SUM(E152:E153)</f>
        <v>0.465</v>
      </c>
      <c r="F154" s="8"/>
      <c r="G154" s="51"/>
      <c r="H154" s="51"/>
      <c r="I154" s="51"/>
      <c r="J154" s="51"/>
      <c r="K154" s="51"/>
    </row>
    <row r="155" spans="2:11" ht="12.75"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14" t="s">
        <v>455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/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14" t="s">
        <v>314</v>
      </c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s="2" t="s">
        <v>315</v>
      </c>
      <c r="B159" s="8"/>
      <c r="C159" s="5"/>
      <c r="D159" s="5"/>
      <c r="E159" s="5"/>
      <c r="F159" s="8"/>
      <c r="G159" s="51"/>
      <c r="H159" s="51"/>
      <c r="I159" s="51"/>
      <c r="J159" s="51"/>
      <c r="K159" s="51"/>
    </row>
    <row r="160" spans="1:11" ht="12.75">
      <c r="A160" s="14" t="s">
        <v>59</v>
      </c>
      <c r="B160" s="8"/>
      <c r="C160" s="5"/>
      <c r="D160" s="5"/>
      <c r="E160" s="5"/>
      <c r="F160" s="8"/>
      <c r="G160" s="51"/>
      <c r="H160" s="51"/>
      <c r="I160" s="51"/>
      <c r="J160" s="51"/>
      <c r="K160" s="51"/>
    </row>
    <row r="161" spans="1:11" ht="12.75">
      <c r="A161" s="2"/>
      <c r="B161" s="8"/>
      <c r="C161" s="5"/>
      <c r="D161" s="5"/>
      <c r="E161" s="5"/>
      <c r="F161" s="8"/>
      <c r="G161" s="51"/>
      <c r="H161" s="51"/>
      <c r="I161" s="51"/>
      <c r="J161" s="51"/>
      <c r="K161" s="51"/>
    </row>
    <row r="162" spans="1:11" ht="12.75">
      <c r="A162" t="s">
        <v>620</v>
      </c>
      <c r="B162" s="75" t="s">
        <v>257</v>
      </c>
      <c r="C162" s="330">
        <v>5035066</v>
      </c>
      <c r="D162" s="330">
        <v>0</v>
      </c>
      <c r="E162" s="305">
        <f>C162-D162</f>
        <v>5035066</v>
      </c>
      <c r="F162" s="8"/>
      <c r="G162" s="51"/>
      <c r="H162" s="51"/>
      <c r="I162" s="51"/>
      <c r="J162" s="51"/>
      <c r="K162" s="51"/>
    </row>
    <row r="163" spans="1:11" ht="12.75">
      <c r="A163" t="s">
        <v>621</v>
      </c>
      <c r="B163" s="75" t="s">
        <v>262</v>
      </c>
      <c r="C163" s="330">
        <v>2303882</v>
      </c>
      <c r="D163" s="330">
        <v>0</v>
      </c>
      <c r="E163" s="305">
        <f aca="true" t="shared" si="8" ref="E163:E175">C163-D163</f>
        <v>2303882</v>
      </c>
      <c r="F163" s="8"/>
      <c r="G163" s="51"/>
      <c r="H163" s="51"/>
      <c r="I163" s="51"/>
      <c r="J163" s="51"/>
      <c r="K163" s="51"/>
    </row>
    <row r="164" spans="1:11" ht="12.75">
      <c r="A164" t="s">
        <v>60</v>
      </c>
      <c r="B164" s="75" t="s">
        <v>257</v>
      </c>
      <c r="C164" s="330"/>
      <c r="D164" s="330"/>
      <c r="E164" s="305">
        <f t="shared" si="8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61</v>
      </c>
      <c r="B165" s="75" t="s">
        <v>257</v>
      </c>
      <c r="C165" s="330"/>
      <c r="D165" s="330"/>
      <c r="E165" s="305">
        <f t="shared" si="8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622</v>
      </c>
      <c r="B166" s="75" t="s">
        <v>257</v>
      </c>
      <c r="C166" s="330">
        <v>5584116</v>
      </c>
      <c r="D166" s="330">
        <v>0</v>
      </c>
      <c r="E166" s="305">
        <f t="shared" si="8"/>
        <v>5584116</v>
      </c>
      <c r="F166" s="8"/>
      <c r="G166" s="51"/>
      <c r="H166" s="51"/>
      <c r="I166" s="51"/>
      <c r="J166" s="51"/>
      <c r="K166" s="51"/>
    </row>
    <row r="167" spans="1:11" ht="12.75">
      <c r="A167" t="s">
        <v>62</v>
      </c>
      <c r="B167" s="75" t="s">
        <v>257</v>
      </c>
      <c r="C167" s="330"/>
      <c r="D167" s="330"/>
      <c r="E167" s="305">
        <f t="shared" si="8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63</v>
      </c>
      <c r="B168" s="75" t="s">
        <v>257</v>
      </c>
      <c r="C168" s="330"/>
      <c r="D168" s="330"/>
      <c r="E168" s="305">
        <f t="shared" si="8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64</v>
      </c>
      <c r="B169" s="75" t="s">
        <v>257</v>
      </c>
      <c r="C169" s="330"/>
      <c r="D169" s="330"/>
      <c r="E169" s="305">
        <f t="shared" si="8"/>
        <v>0</v>
      </c>
      <c r="F169" s="8"/>
      <c r="G169" s="51"/>
      <c r="H169" s="51"/>
      <c r="I169" s="51"/>
      <c r="J169" s="51"/>
      <c r="K169" s="51"/>
    </row>
    <row r="170" spans="1:11" ht="12.75">
      <c r="A170" t="s">
        <v>355</v>
      </c>
      <c r="B170" s="75" t="s">
        <v>257</v>
      </c>
      <c r="C170" s="330"/>
      <c r="D170" s="330"/>
      <c r="E170" s="305">
        <f t="shared" si="8"/>
        <v>0</v>
      </c>
      <c r="F170" s="8"/>
      <c r="G170" s="51"/>
      <c r="H170" s="51"/>
      <c r="I170" s="51"/>
      <c r="J170" s="51"/>
      <c r="K170" s="51"/>
    </row>
    <row r="171" spans="1:11" ht="12.75">
      <c r="A171" t="s">
        <v>65</v>
      </c>
      <c r="B171" s="75" t="s">
        <v>257</v>
      </c>
      <c r="C171" s="330"/>
      <c r="D171" s="330"/>
      <c r="E171" s="305">
        <f t="shared" si="8"/>
        <v>0</v>
      </c>
      <c r="F171" s="8"/>
      <c r="G171" s="51"/>
      <c r="H171" s="51"/>
      <c r="I171" s="51"/>
      <c r="J171" s="51"/>
      <c r="K171" s="51"/>
    </row>
    <row r="172" spans="1:11" ht="12.75">
      <c r="A172" t="s">
        <v>66</v>
      </c>
      <c r="B172" s="75" t="s">
        <v>257</v>
      </c>
      <c r="C172" s="330"/>
      <c r="D172" s="330"/>
      <c r="E172" s="305">
        <f t="shared" si="8"/>
        <v>0</v>
      </c>
      <c r="F172" s="8"/>
      <c r="G172" s="51"/>
      <c r="H172" s="51"/>
      <c r="I172" s="51"/>
      <c r="J172" s="51"/>
      <c r="K172" s="51"/>
    </row>
    <row r="173" spans="1:11" ht="12.75">
      <c r="A173" t="s">
        <v>265</v>
      </c>
      <c r="B173" s="75" t="s">
        <v>257</v>
      </c>
      <c r="C173" s="330"/>
      <c r="D173" s="330"/>
      <c r="E173" s="305">
        <f t="shared" si="8"/>
        <v>0</v>
      </c>
      <c r="F173" s="8"/>
      <c r="G173" s="51"/>
      <c r="H173" s="51"/>
      <c r="I173" s="51"/>
      <c r="J173" s="51"/>
      <c r="K173" s="51"/>
    </row>
    <row r="174" spans="1:11" ht="12.75">
      <c r="A174" t="s">
        <v>623</v>
      </c>
      <c r="B174" s="75" t="s">
        <v>257</v>
      </c>
      <c r="C174" s="330">
        <v>4258809</v>
      </c>
      <c r="D174" s="330">
        <v>0</v>
      </c>
      <c r="E174" s="305">
        <f t="shared" si="8"/>
        <v>4258809</v>
      </c>
      <c r="F174" s="8"/>
      <c r="G174" s="51"/>
      <c r="H174" s="51"/>
      <c r="I174" s="51"/>
      <c r="J174" s="51"/>
      <c r="K174" s="51"/>
    </row>
    <row r="175" spans="1:6" ht="12.75">
      <c r="A175" t="s">
        <v>261</v>
      </c>
      <c r="B175" s="75" t="s">
        <v>257</v>
      </c>
      <c r="C175" s="330"/>
      <c r="D175" s="330"/>
      <c r="E175" s="305">
        <f t="shared" si="8"/>
        <v>0</v>
      </c>
      <c r="F175" s="8"/>
    </row>
    <row r="176" spans="1:6" ht="12.75">
      <c r="A176" t="s">
        <v>67</v>
      </c>
      <c r="B176" s="75" t="s">
        <v>260</v>
      </c>
      <c r="C176" s="283">
        <f>SUM(C162:C175)</f>
        <v>17181873</v>
      </c>
      <c r="D176" s="283">
        <f>SUM(D162:D175)</f>
        <v>0</v>
      </c>
      <c r="E176" s="283">
        <f>SUM(E162:E175)</f>
        <v>17181873</v>
      </c>
      <c r="F176" s="8"/>
    </row>
    <row r="177" spans="1:6" ht="12.75">
      <c r="A177" t="s">
        <v>68</v>
      </c>
      <c r="B177" s="8"/>
      <c r="C177" s="28"/>
      <c r="D177" s="28"/>
      <c r="E177" s="28"/>
      <c r="F177" s="8"/>
    </row>
    <row r="178" spans="1:6" ht="25.5">
      <c r="A178" s="74" t="s">
        <v>264</v>
      </c>
      <c r="B178" s="75" t="s">
        <v>258</v>
      </c>
      <c r="C178" s="331"/>
      <c r="D178" s="331"/>
      <c r="E178" s="328">
        <f>C178-D178</f>
        <v>0</v>
      </c>
      <c r="F178" s="8"/>
    </row>
    <row r="179" spans="1:6" ht="25.5">
      <c r="A179" s="91" t="s">
        <v>253</v>
      </c>
      <c r="B179" s="75" t="s">
        <v>258</v>
      </c>
      <c r="C179" s="331"/>
      <c r="D179" s="331"/>
      <c r="E179" s="328">
        <f>C179-D179</f>
        <v>0</v>
      </c>
      <c r="F179" s="8"/>
    </row>
    <row r="180" spans="1:6" ht="12.75">
      <c r="A180" s="2" t="s">
        <v>107</v>
      </c>
      <c r="B180" s="75" t="s">
        <v>260</v>
      </c>
      <c r="C180" s="329">
        <f>C176-C178-C179</f>
        <v>17181873</v>
      </c>
      <c r="D180" s="329">
        <f>D176-D178-D179</f>
        <v>0</v>
      </c>
      <c r="E180" s="283">
        <f>E176-E178-E179</f>
        <v>17181873</v>
      </c>
      <c r="F180" s="8"/>
    </row>
    <row r="181" spans="2:6" ht="12.75">
      <c r="B181" s="8"/>
      <c r="C181" s="5"/>
      <c r="D181" s="5"/>
      <c r="E181" s="5"/>
      <c r="F181" s="8"/>
    </row>
    <row r="182" spans="1:6" ht="12.75">
      <c r="A182" s="14" t="s">
        <v>69</v>
      </c>
      <c r="B182" s="8"/>
      <c r="C182" s="5"/>
      <c r="D182" s="5"/>
      <c r="E182" s="5"/>
      <c r="F182" s="8"/>
    </row>
    <row r="183" spans="2:6" ht="12.75">
      <c r="B183" s="8"/>
      <c r="C183" s="5"/>
      <c r="D183" s="5"/>
      <c r="E183" s="5"/>
      <c r="F183" s="8"/>
    </row>
    <row r="184" spans="1:6" ht="12.75">
      <c r="A184" t="s">
        <v>70</v>
      </c>
      <c r="B184" s="75" t="s">
        <v>257</v>
      </c>
      <c r="C184" s="330"/>
      <c r="D184" s="330"/>
      <c r="E184" s="305">
        <f aca="true" t="shared" si="9" ref="E184:E189">C184-D184</f>
        <v>0</v>
      </c>
      <c r="F184" s="8"/>
    </row>
    <row r="185" spans="1:6" ht="12.75">
      <c r="A185" t="s">
        <v>71</v>
      </c>
      <c r="B185" s="75" t="s">
        <v>257</v>
      </c>
      <c r="C185" s="330"/>
      <c r="D185" s="330"/>
      <c r="E185" s="305">
        <f t="shared" si="9"/>
        <v>0</v>
      </c>
      <c r="F185" s="8"/>
    </row>
    <row r="186" spans="1:6" ht="12.75">
      <c r="A186" t="s">
        <v>72</v>
      </c>
      <c r="B186" s="75" t="s">
        <v>257</v>
      </c>
      <c r="C186" s="330"/>
      <c r="D186" s="330"/>
      <c r="E186" s="305">
        <f t="shared" si="9"/>
        <v>0</v>
      </c>
      <c r="F186" s="8"/>
    </row>
    <row r="187" spans="1:6" ht="12.75">
      <c r="A187" t="s">
        <v>73</v>
      </c>
      <c r="B187" s="75" t="s">
        <v>257</v>
      </c>
      <c r="C187" s="330"/>
      <c r="D187" s="330"/>
      <c r="E187" s="305">
        <f t="shared" si="9"/>
        <v>0</v>
      </c>
      <c r="F187" s="8"/>
    </row>
    <row r="188" spans="1:6" ht="12.75">
      <c r="A188" t="s">
        <v>634</v>
      </c>
      <c r="B188" s="75" t="s">
        <v>257</v>
      </c>
      <c r="C188" s="330">
        <v>1</v>
      </c>
      <c r="D188" s="330"/>
      <c r="E188" s="305">
        <f t="shared" si="9"/>
        <v>1</v>
      </c>
      <c r="F188" s="8"/>
    </row>
    <row r="189" spans="1:6" ht="12.75">
      <c r="A189" t="s">
        <v>266</v>
      </c>
      <c r="B189" s="75" t="s">
        <v>257</v>
      </c>
      <c r="C189" s="330"/>
      <c r="D189" s="330"/>
      <c r="E189" s="305">
        <f t="shared" si="9"/>
        <v>0</v>
      </c>
      <c r="F189" s="8"/>
    </row>
    <row r="190" spans="2:6" ht="12.75">
      <c r="B190" s="8"/>
      <c r="C190" s="28"/>
      <c r="D190" s="28"/>
      <c r="E190" s="257"/>
      <c r="F190" s="8"/>
    </row>
    <row r="191" spans="1:6" ht="12.75">
      <c r="A191" s="2" t="s">
        <v>74</v>
      </c>
      <c r="B191" s="75" t="s">
        <v>260</v>
      </c>
      <c r="C191" s="283">
        <f>SUM(C184:C189)</f>
        <v>1</v>
      </c>
      <c r="D191" s="283">
        <f>SUM(D184:D190)</f>
        <v>0</v>
      </c>
      <c r="E191" s="283">
        <f>SUM(E184:E189)</f>
        <v>1</v>
      </c>
      <c r="F191" s="8"/>
    </row>
    <row r="192" spans="1:6" ht="12.75">
      <c r="A192" s="2"/>
      <c r="B192" s="8"/>
      <c r="C192" s="5"/>
      <c r="D192" s="5"/>
      <c r="E192" s="5"/>
      <c r="F192" s="8"/>
    </row>
    <row r="193" spans="1:6" ht="12.75">
      <c r="A193" s="2"/>
      <c r="B193" s="8"/>
      <c r="C193" s="5"/>
      <c r="D193" s="5"/>
      <c r="E193" s="5"/>
      <c r="F193" s="8"/>
    </row>
    <row r="194" spans="1:6" ht="12.75">
      <c r="A194" s="14" t="s">
        <v>75</v>
      </c>
      <c r="B194" s="8"/>
      <c r="C194" s="5"/>
      <c r="D194" s="5"/>
      <c r="E194" s="5"/>
      <c r="F194" s="8"/>
    </row>
    <row r="195" spans="2:6" ht="12.75">
      <c r="B195" s="8"/>
      <c r="C195" s="5"/>
      <c r="D195" s="5"/>
      <c r="E195" s="5"/>
      <c r="F195" s="8"/>
    </row>
    <row r="196" spans="1:6" ht="12.75">
      <c r="A196" t="s">
        <v>624</v>
      </c>
      <c r="B196" s="75" t="s">
        <v>257</v>
      </c>
      <c r="C196" s="330">
        <v>15301870</v>
      </c>
      <c r="D196" s="330">
        <v>0</v>
      </c>
      <c r="E196" s="305">
        <f>C196-D196</f>
        <v>15301870</v>
      </c>
      <c r="F196" s="8"/>
    </row>
    <row r="197" spans="1:6" ht="12.75">
      <c r="A197" t="s">
        <v>254</v>
      </c>
      <c r="B197" s="75" t="s">
        <v>257</v>
      </c>
      <c r="C197" s="330"/>
      <c r="D197" s="330"/>
      <c r="E197" s="305">
        <f>C197-D197</f>
        <v>0</v>
      </c>
      <c r="F197" s="8"/>
    </row>
    <row r="198" spans="1:7" ht="12.75">
      <c r="A198" t="s">
        <v>255</v>
      </c>
      <c r="B198" s="75" t="s">
        <v>257</v>
      </c>
      <c r="C198" s="330"/>
      <c r="D198" s="330"/>
      <c r="E198" s="305">
        <f>C198-D198</f>
        <v>0</v>
      </c>
      <c r="F198" s="8"/>
      <c r="G198" s="28" t="s">
        <v>167</v>
      </c>
    </row>
    <row r="199" spans="1:6" ht="12.75">
      <c r="A199" t="s">
        <v>256</v>
      </c>
      <c r="B199" s="75" t="s">
        <v>258</v>
      </c>
      <c r="C199" s="330"/>
      <c r="D199" s="330"/>
      <c r="E199" s="305">
        <f>C199-D199</f>
        <v>0</v>
      </c>
      <c r="F199" s="8"/>
    </row>
    <row r="200" spans="2:6" ht="12.75">
      <c r="B200" s="8"/>
      <c r="C200" s="342"/>
      <c r="D200" s="342"/>
      <c r="E200" s="205"/>
      <c r="F200" s="8"/>
    </row>
    <row r="201" spans="1:6" ht="12.75">
      <c r="A201" s="2" t="s">
        <v>76</v>
      </c>
      <c r="B201" s="75" t="s">
        <v>260</v>
      </c>
      <c r="C201" s="283">
        <f>C196+C197+C198-C199</f>
        <v>15301870</v>
      </c>
      <c r="D201" s="283">
        <f>D196+D197+D198-D199</f>
        <v>0</v>
      </c>
      <c r="E201" s="283">
        <f>E196+E197+E198-E199</f>
        <v>15301870</v>
      </c>
      <c r="F201" s="8"/>
    </row>
    <row r="202" spans="2:6" ht="12.75">
      <c r="B202" s="8"/>
      <c r="C202" s="5"/>
      <c r="D202" s="5"/>
      <c r="E202" s="5"/>
      <c r="F202" s="8"/>
    </row>
    <row r="203" spans="1:6" ht="12.75">
      <c r="A203" t="s">
        <v>77</v>
      </c>
      <c r="B203" s="8"/>
      <c r="C203" s="5"/>
      <c r="D203" s="5"/>
      <c r="E203" s="5"/>
      <c r="F203" s="8"/>
    </row>
    <row r="204" spans="1:6" ht="12.75">
      <c r="A204" t="s">
        <v>259</v>
      </c>
      <c r="B204" s="75" t="s">
        <v>257</v>
      </c>
      <c r="C204" s="330"/>
      <c r="D204" s="330"/>
      <c r="E204" s="305">
        <f aca="true" t="shared" si="10" ref="E204:E210">C204-D204</f>
        <v>0</v>
      </c>
      <c r="F204" s="8"/>
    </row>
    <row r="205" spans="1:6" ht="12.75">
      <c r="A205" t="s">
        <v>78</v>
      </c>
      <c r="B205" s="75" t="s">
        <v>257</v>
      </c>
      <c r="C205" s="330"/>
      <c r="D205" s="330"/>
      <c r="E205" s="305">
        <f t="shared" si="10"/>
        <v>0</v>
      </c>
      <c r="F205" s="8"/>
    </row>
    <row r="206" spans="1:6" ht="12.75">
      <c r="A206" t="s">
        <v>79</v>
      </c>
      <c r="B206" s="8"/>
      <c r="C206" s="330"/>
      <c r="D206" s="330"/>
      <c r="E206" s="305">
        <f t="shared" si="10"/>
        <v>0</v>
      </c>
      <c r="F206" s="8"/>
    </row>
    <row r="207" spans="1:6" ht="25.5">
      <c r="A207" s="74" t="s">
        <v>264</v>
      </c>
      <c r="B207" s="77" t="s">
        <v>258</v>
      </c>
      <c r="C207" s="331"/>
      <c r="D207" s="331"/>
      <c r="E207" s="328">
        <f t="shared" si="10"/>
        <v>0</v>
      </c>
      <c r="F207" s="8"/>
    </row>
    <row r="208" spans="1:6" ht="25.5">
      <c r="A208" s="74" t="s">
        <v>263</v>
      </c>
      <c r="B208" s="75" t="s">
        <v>258</v>
      </c>
      <c r="C208" s="330"/>
      <c r="D208" s="330"/>
      <c r="E208" s="305">
        <f t="shared" si="10"/>
        <v>0</v>
      </c>
      <c r="F208" s="8"/>
    </row>
    <row r="209" spans="1:5" ht="12.75">
      <c r="A209" t="s">
        <v>80</v>
      </c>
      <c r="B209" s="75" t="s">
        <v>258</v>
      </c>
      <c r="C209" s="330"/>
      <c r="D209" s="330"/>
      <c r="E209" s="305">
        <f t="shared" si="10"/>
        <v>0</v>
      </c>
    </row>
    <row r="210" spans="1:5" ht="12.75">
      <c r="A210" t="s">
        <v>81</v>
      </c>
      <c r="B210" s="75" t="s">
        <v>262</v>
      </c>
      <c r="C210" s="330"/>
      <c r="D210" s="330"/>
      <c r="E210" s="305">
        <f t="shared" si="10"/>
        <v>0</v>
      </c>
    </row>
    <row r="211" spans="2:5" ht="12.75">
      <c r="B211" s="8"/>
      <c r="C211" s="28"/>
      <c r="D211" s="28"/>
      <c r="E211" s="205"/>
    </row>
    <row r="212" spans="1:5" ht="12.75">
      <c r="A212" s="2" t="s">
        <v>82</v>
      </c>
      <c r="B212" s="8" t="s">
        <v>260</v>
      </c>
      <c r="C212" s="329">
        <f>C201+C204+C205-C207-C208-C209+C210</f>
        <v>15301870</v>
      </c>
      <c r="D212" s="329">
        <f>D201+D204+D205-D207-D208-D209+D210</f>
        <v>0</v>
      </c>
      <c r="E212" s="283">
        <f>E201+E204+E205-E207-E208-E209+E210</f>
        <v>15301870</v>
      </c>
    </row>
    <row r="213" spans="2:5" ht="12.75">
      <c r="B213" s="8"/>
      <c r="C213" s="5"/>
      <c r="D213" s="5"/>
      <c r="E213" s="5"/>
    </row>
    <row r="214" spans="2:6" ht="12.75">
      <c r="B214" s="8"/>
      <c r="C214" s="28"/>
      <c r="D214" s="28"/>
      <c r="E214" s="28"/>
      <c r="F214" s="8"/>
    </row>
    <row r="215" spans="1:6" ht="12.75">
      <c r="A215" s="14" t="s">
        <v>83</v>
      </c>
      <c r="B215" s="8"/>
      <c r="C215" s="283">
        <f>IF(C212=0,0,IF(((C191/C212)*C180)&lt;0,0,IF((C191/C212)*C180&gt;C191,C191,C191/C212*C180)))</f>
        <v>1</v>
      </c>
      <c r="D215" s="283">
        <f>IF(D212=0,0,IF(((D191/D212)*D180)&lt;0,0,IF((D191/D212)*D180&gt;D191,D191,D191/D212*D180)))</f>
        <v>0</v>
      </c>
      <c r="E215" s="283">
        <f>IF(E212=0,0,IF(((E191/E212)*E180)&lt;0,0,IF((E191/E212)*E180&gt;E191,E191,E191/E212*E180)))</f>
        <v>1</v>
      </c>
      <c r="F215" s="8"/>
    </row>
    <row r="216" spans="2:6" ht="12.75">
      <c r="B216" s="8"/>
      <c r="C216" s="5"/>
      <c r="D216" s="5"/>
      <c r="E216" s="5"/>
      <c r="F216" s="8"/>
    </row>
    <row r="217" spans="1:6" ht="12.75">
      <c r="A217" s="14" t="s">
        <v>55</v>
      </c>
      <c r="B217" s="8"/>
      <c r="C217" s="5"/>
      <c r="D217" s="5"/>
      <c r="E217" s="5"/>
      <c r="F217" s="8"/>
    </row>
    <row r="218" spans="1:6" ht="12.75">
      <c r="A218" s="2"/>
      <c r="B218" s="8"/>
      <c r="C218" s="5"/>
      <c r="D218" s="5"/>
      <c r="E218" s="5"/>
      <c r="F218" s="8"/>
    </row>
    <row r="219" spans="1:6" ht="12.75">
      <c r="A219" s="4" t="s">
        <v>84</v>
      </c>
      <c r="B219" s="75" t="s">
        <v>257</v>
      </c>
      <c r="C219" s="313">
        <f>+C180</f>
        <v>17181873</v>
      </c>
      <c r="D219" s="313">
        <f>+D180</f>
        <v>0</v>
      </c>
      <c r="E219" s="317">
        <f>+C219-D219</f>
        <v>17181873</v>
      </c>
      <c r="F219" s="8"/>
    </row>
    <row r="220" spans="1:6" ht="12.75">
      <c r="A220" s="4" t="s">
        <v>85</v>
      </c>
      <c r="B220" s="75" t="s">
        <v>258</v>
      </c>
      <c r="C220" s="283">
        <f>C215</f>
        <v>1</v>
      </c>
      <c r="D220" s="283">
        <f>D215</f>
        <v>0</v>
      </c>
      <c r="E220" s="283">
        <f>C220-D220</f>
        <v>1</v>
      </c>
      <c r="F220" s="8"/>
    </row>
    <row r="221" spans="1:6" ht="12.75">
      <c r="A221" s="4"/>
      <c r="B221" s="26"/>
      <c r="C221" s="84"/>
      <c r="D221" s="84"/>
      <c r="E221" s="102" t="s">
        <v>167</v>
      </c>
      <c r="F221" s="8"/>
    </row>
    <row r="222" spans="1:6" ht="12.75">
      <c r="A222" s="4" t="s">
        <v>86</v>
      </c>
      <c r="B222" s="8" t="s">
        <v>260</v>
      </c>
      <c r="C222" s="283">
        <f>IF(C219&gt;C220,C219-C220,0)</f>
        <v>17181872</v>
      </c>
      <c r="D222" s="283">
        <f>IF(D219&gt;D220,D219-D220,0)</f>
        <v>0</v>
      </c>
      <c r="E222" s="283">
        <f>IF(E219&gt;E220,E219-E220,0)</f>
        <v>17181872</v>
      </c>
      <c r="F222" s="8"/>
    </row>
    <row r="223" spans="1:6" ht="12.75">
      <c r="A223" s="4"/>
      <c r="B223" s="8"/>
      <c r="C223" s="5"/>
      <c r="D223" s="5"/>
      <c r="E223" s="5"/>
      <c r="F223" s="8"/>
    </row>
    <row r="224" spans="1:6" ht="12.75">
      <c r="A224" s="14" t="s">
        <v>87</v>
      </c>
      <c r="B224" s="8"/>
      <c r="C224" s="5"/>
      <c r="D224" s="5"/>
      <c r="E224" s="5"/>
      <c r="F224" s="8"/>
    </row>
    <row r="225" spans="1:6" ht="12.75">
      <c r="A225" s="4" t="s">
        <v>502</v>
      </c>
      <c r="B225" s="8"/>
      <c r="C225" s="286">
        <f>IF(C222&gt;0,'Tax Rates'!C57,0)</f>
        <v>7500000</v>
      </c>
      <c r="D225" s="330">
        <v>0</v>
      </c>
      <c r="E225" s="305">
        <f>+C225-D225</f>
        <v>7500000</v>
      </c>
      <c r="F225" s="8"/>
    </row>
    <row r="226" spans="1:6" ht="12.75">
      <c r="A226" s="2" t="s">
        <v>422</v>
      </c>
      <c r="B226" s="8"/>
      <c r="C226" s="28"/>
      <c r="D226" s="28"/>
      <c r="E226" s="28"/>
      <c r="F226" s="8"/>
    </row>
    <row r="227" spans="1:6" ht="12.75">
      <c r="A227" s="4" t="s">
        <v>88</v>
      </c>
      <c r="B227" s="8"/>
      <c r="C227" s="283">
        <f>IF(C222&gt;C225,C222-C225,0)</f>
        <v>9681872</v>
      </c>
      <c r="D227" s="283">
        <f>D222-D225</f>
        <v>0</v>
      </c>
      <c r="E227" s="283">
        <f>E222-E225</f>
        <v>9681872</v>
      </c>
      <c r="F227" s="8"/>
    </row>
    <row r="228" spans="1:6" ht="12.75">
      <c r="A228" s="2"/>
      <c r="B228" s="8"/>
      <c r="C228" s="5"/>
      <c r="D228" s="5"/>
      <c r="E228" s="5"/>
      <c r="F228" s="8"/>
    </row>
    <row r="229" spans="1:6" ht="12.75">
      <c r="A229" s="4" t="s">
        <v>415</v>
      </c>
      <c r="B229" s="8"/>
      <c r="C229" s="332">
        <f>'Tax Rates'!C54</f>
        <v>0.003</v>
      </c>
      <c r="D229" s="332">
        <f>C229</f>
        <v>0.003</v>
      </c>
      <c r="E229" s="332">
        <f>C229</f>
        <v>0.003</v>
      </c>
      <c r="F229" s="8"/>
    </row>
    <row r="230" spans="1:6" ht="12.75">
      <c r="A230" s="4"/>
      <c r="B230" s="8"/>
      <c r="C230" s="5"/>
      <c r="D230" s="5"/>
      <c r="E230" s="5"/>
      <c r="F230" s="8"/>
    </row>
    <row r="231" spans="1:6" ht="12.75">
      <c r="A231" s="4" t="s">
        <v>113</v>
      </c>
      <c r="B231" s="8"/>
      <c r="C231" s="284">
        <f>C11</f>
        <v>365</v>
      </c>
      <c r="D231" s="284">
        <f>C231</f>
        <v>365</v>
      </c>
      <c r="E231" s="284">
        <f>C231</f>
        <v>365</v>
      </c>
      <c r="F231" s="8"/>
    </row>
    <row r="232" spans="1:6" ht="12.75">
      <c r="A232" s="4" t="s">
        <v>501</v>
      </c>
      <c r="B232" s="8"/>
      <c r="C232" s="333">
        <f>+C231/REGINFO!B7</f>
        <v>1</v>
      </c>
      <c r="D232" s="333">
        <f>+D231/REGINFO!B7</f>
        <v>1</v>
      </c>
      <c r="E232" s="333">
        <f>+E231/REGINFO!B7</f>
        <v>1</v>
      </c>
      <c r="F232" s="8"/>
    </row>
    <row r="233" spans="2:6" ht="12.75">
      <c r="B233" s="8"/>
      <c r="C233" s="5"/>
      <c r="D233" s="5"/>
      <c r="E233" s="5"/>
      <c r="F233" s="8"/>
    </row>
    <row r="234" spans="1:6" ht="12.75">
      <c r="A234" s="2" t="s">
        <v>530</v>
      </c>
      <c r="B234" s="8"/>
      <c r="C234" s="504">
        <f>C227*C229*C232</f>
        <v>29045.616</v>
      </c>
      <c r="D234" s="283">
        <f>+D225*D227*D230</f>
        <v>0</v>
      </c>
      <c r="E234" s="283">
        <f>C234-D234</f>
        <v>29045.616</v>
      </c>
      <c r="F234" s="8"/>
    </row>
    <row r="235" spans="2:6" ht="12.75">
      <c r="B235" s="8"/>
      <c r="C235" s="5"/>
      <c r="D235" s="5"/>
      <c r="E235" s="5"/>
      <c r="F235" s="8"/>
    </row>
    <row r="236" spans="1:6" ht="12.75">
      <c r="A236" s="2" t="s">
        <v>625</v>
      </c>
      <c r="B236" s="8"/>
      <c r="C236" s="338">
        <v>29046</v>
      </c>
      <c r="D236" s="338">
        <f>+D227*D229*D232</f>
        <v>0</v>
      </c>
      <c r="E236" s="283">
        <f>C236-D236</f>
        <v>29046</v>
      </c>
      <c r="F236" s="8"/>
    </row>
    <row r="237" spans="1:6" ht="12.75">
      <c r="A237" s="2"/>
      <c r="B237" s="8"/>
      <c r="C237" s="6"/>
      <c r="D237" s="6"/>
      <c r="E237" s="6"/>
      <c r="F237" s="8"/>
    </row>
    <row r="238" spans="1:6" ht="12.75">
      <c r="A238" s="14" t="s">
        <v>607</v>
      </c>
      <c r="B238" s="8"/>
      <c r="C238" s="5"/>
      <c r="D238" s="5"/>
      <c r="E238" s="5"/>
      <c r="F238" s="8"/>
    </row>
    <row r="239" spans="1:6" ht="12.75">
      <c r="A239" s="14"/>
      <c r="B239" s="8"/>
      <c r="C239" s="5"/>
      <c r="D239" s="5"/>
      <c r="E239" s="5"/>
      <c r="F239" s="8"/>
    </row>
    <row r="240" spans="1:6" ht="12.75">
      <c r="A240" s="14" t="s">
        <v>608</v>
      </c>
      <c r="B240" s="8"/>
      <c r="C240" s="5"/>
      <c r="D240" s="5"/>
      <c r="E240" s="5"/>
      <c r="F240" s="8"/>
    </row>
    <row r="241" spans="1:6" ht="12.75">
      <c r="A241" s="101" t="s">
        <v>313</v>
      </c>
      <c r="B241" s="8"/>
      <c r="C241" s="5"/>
      <c r="D241" s="5"/>
      <c r="E241" s="5"/>
      <c r="F241" s="8"/>
    </row>
    <row r="242" spans="1:6" ht="12.75">
      <c r="A242" s="2" t="s">
        <v>89</v>
      </c>
      <c r="B242" s="8"/>
      <c r="C242" s="5"/>
      <c r="D242" s="5"/>
      <c r="E242" s="5"/>
      <c r="F242" s="8"/>
    </row>
    <row r="243" spans="1:6" ht="12.75">
      <c r="A243" t="s">
        <v>90</v>
      </c>
      <c r="B243" s="8"/>
      <c r="C243" s="5"/>
      <c r="D243" s="5"/>
      <c r="E243" s="5"/>
      <c r="F243" s="8"/>
    </row>
    <row r="244" spans="1:6" ht="25.5">
      <c r="A244" s="74" t="s">
        <v>267</v>
      </c>
      <c r="B244" s="77" t="s">
        <v>257</v>
      </c>
      <c r="C244" s="334"/>
      <c r="D244" s="334"/>
      <c r="E244" s="328">
        <f>+C244-D244</f>
        <v>0</v>
      </c>
      <c r="F244" s="8"/>
    </row>
    <row r="245" spans="1:6" ht="12.75">
      <c r="A245" s="74" t="s">
        <v>635</v>
      </c>
      <c r="B245" s="77" t="s">
        <v>257</v>
      </c>
      <c r="C245" s="338">
        <v>5035066</v>
      </c>
      <c r="D245" s="338">
        <v>0</v>
      </c>
      <c r="E245" s="305">
        <f aca="true" t="shared" si="11" ref="E245:E253">+C245-D245</f>
        <v>5035066</v>
      </c>
      <c r="F245" s="8"/>
    </row>
    <row r="246" spans="1:6" ht="12.75">
      <c r="A246" s="74" t="s">
        <v>636</v>
      </c>
      <c r="B246" s="77" t="s">
        <v>257</v>
      </c>
      <c r="C246" s="335">
        <v>2303882</v>
      </c>
      <c r="D246" s="335">
        <v>0</v>
      </c>
      <c r="E246" s="305">
        <f t="shared" si="11"/>
        <v>2303882</v>
      </c>
      <c r="F246" s="8"/>
    </row>
    <row r="247" spans="1:6" ht="12.75">
      <c r="A247" s="74" t="s">
        <v>91</v>
      </c>
      <c r="B247" s="77" t="s">
        <v>257</v>
      </c>
      <c r="C247" s="336"/>
      <c r="D247" s="336"/>
      <c r="E247" s="305">
        <f t="shared" si="11"/>
        <v>0</v>
      </c>
      <c r="F247" s="8"/>
    </row>
    <row r="248" spans="1:6" ht="12.75">
      <c r="A248" s="74" t="s">
        <v>92</v>
      </c>
      <c r="B248" s="77" t="s">
        <v>257</v>
      </c>
      <c r="C248" s="336"/>
      <c r="D248" s="336"/>
      <c r="E248" s="305">
        <f t="shared" si="11"/>
        <v>0</v>
      </c>
      <c r="F248" s="8"/>
    </row>
    <row r="249" spans="1:6" ht="12.75">
      <c r="A249" s="74" t="s">
        <v>93</v>
      </c>
      <c r="B249" s="77" t="s">
        <v>257</v>
      </c>
      <c r="C249" s="336"/>
      <c r="D249" s="336"/>
      <c r="E249" s="305">
        <f t="shared" si="11"/>
        <v>0</v>
      </c>
      <c r="F249" s="8"/>
    </row>
    <row r="250" spans="1:6" ht="12.75">
      <c r="A250" s="74" t="s">
        <v>637</v>
      </c>
      <c r="B250" s="77" t="s">
        <v>257</v>
      </c>
      <c r="C250" s="336">
        <v>5584116</v>
      </c>
      <c r="D250" s="336">
        <v>0</v>
      </c>
      <c r="E250" s="305">
        <f t="shared" si="11"/>
        <v>5584116</v>
      </c>
      <c r="F250" s="8"/>
    </row>
    <row r="251" spans="1:6" ht="25.5">
      <c r="A251" s="74" t="s">
        <v>270</v>
      </c>
      <c r="B251" s="77" t="s">
        <v>257</v>
      </c>
      <c r="C251" s="334"/>
      <c r="D251" s="334"/>
      <c r="E251" s="328">
        <f t="shared" si="11"/>
        <v>0</v>
      </c>
      <c r="F251" s="8"/>
    </row>
    <row r="252" spans="1:6" ht="12.75">
      <c r="A252" s="74" t="s">
        <v>94</v>
      </c>
      <c r="B252" s="77" t="s">
        <v>257</v>
      </c>
      <c r="C252" s="336"/>
      <c r="D252" s="336"/>
      <c r="E252" s="305">
        <f t="shared" si="11"/>
        <v>0</v>
      </c>
      <c r="F252" s="8"/>
    </row>
    <row r="253" spans="1:6" ht="12.75">
      <c r="A253" s="74" t="s">
        <v>271</v>
      </c>
      <c r="B253" s="77" t="s">
        <v>257</v>
      </c>
      <c r="C253" s="336"/>
      <c r="D253" s="336"/>
      <c r="E253" s="305">
        <f t="shared" si="11"/>
        <v>0</v>
      </c>
      <c r="F253" s="8"/>
    </row>
    <row r="254" spans="2:6" ht="12.75">
      <c r="B254" s="8"/>
      <c r="C254" s="28"/>
      <c r="D254" s="28"/>
      <c r="E254" s="28"/>
      <c r="F254" s="8"/>
    </row>
    <row r="255" spans="1:6" ht="12.75">
      <c r="A255" t="s">
        <v>9</v>
      </c>
      <c r="B255" s="8" t="s">
        <v>260</v>
      </c>
      <c r="C255" s="283">
        <f>SUM(C244:C254)</f>
        <v>12923064</v>
      </c>
      <c r="D255" s="283">
        <f>SUM(D244:D254)</f>
        <v>0</v>
      </c>
      <c r="E255" s="283">
        <f>SUM(E244:E254)</f>
        <v>12923064</v>
      </c>
      <c r="F255" s="8"/>
    </row>
    <row r="256" spans="2:6" ht="12.75">
      <c r="B256" s="8"/>
      <c r="C256" s="28"/>
      <c r="D256" s="28"/>
      <c r="E256" s="28"/>
      <c r="F256" s="8"/>
    </row>
    <row r="257" spans="1:6" ht="12.75">
      <c r="A257" t="s">
        <v>95</v>
      </c>
      <c r="B257" s="8"/>
      <c r="C257" s="28"/>
      <c r="D257" s="28"/>
      <c r="E257" s="28"/>
      <c r="F257" s="8"/>
    </row>
    <row r="258" spans="1:6" ht="12.75">
      <c r="A258" t="s">
        <v>96</v>
      </c>
      <c r="B258" s="75" t="s">
        <v>258</v>
      </c>
      <c r="C258" s="330"/>
      <c r="D258" s="330"/>
      <c r="E258" s="305">
        <f>+C258-D258</f>
        <v>0</v>
      </c>
      <c r="F258" s="8"/>
    </row>
    <row r="259" spans="1:6" ht="12.75">
      <c r="A259" t="s">
        <v>268</v>
      </c>
      <c r="B259" s="75" t="s">
        <v>258</v>
      </c>
      <c r="C259" s="330"/>
      <c r="D259" s="330"/>
      <c r="E259" s="305">
        <f>+C259-D259</f>
        <v>0</v>
      </c>
      <c r="F259" s="8"/>
    </row>
    <row r="260" spans="1:6" ht="25.5">
      <c r="A260" s="76" t="s">
        <v>269</v>
      </c>
      <c r="B260" s="75" t="s">
        <v>258</v>
      </c>
      <c r="C260" s="331"/>
      <c r="D260" s="331"/>
      <c r="E260" s="328">
        <f>+C260-D260</f>
        <v>0</v>
      </c>
      <c r="F260" s="8"/>
    </row>
    <row r="261" spans="1:6" ht="12.75">
      <c r="A261" t="s">
        <v>97</v>
      </c>
      <c r="B261" s="75" t="s">
        <v>258</v>
      </c>
      <c r="C261" s="330"/>
      <c r="D261" s="330"/>
      <c r="E261" s="305">
        <f>+C261-D261</f>
        <v>0</v>
      </c>
      <c r="F261" s="8"/>
    </row>
    <row r="262" spans="2:6" ht="12.75">
      <c r="B262" s="8"/>
      <c r="C262" s="28"/>
      <c r="D262" s="28"/>
      <c r="E262" s="283"/>
      <c r="F262" s="8"/>
    </row>
    <row r="263" spans="1:6" ht="12.75">
      <c r="A263" t="s">
        <v>9</v>
      </c>
      <c r="B263" s="8" t="s">
        <v>260</v>
      </c>
      <c r="C263" s="283">
        <f>SUM(C258:C262)</f>
        <v>0</v>
      </c>
      <c r="D263" s="283">
        <f>SUM(D258:D262)</f>
        <v>0</v>
      </c>
      <c r="E263" s="283">
        <f>SUM(E258:E262)</f>
        <v>0</v>
      </c>
      <c r="F263" s="8"/>
    </row>
    <row r="264" spans="2:6" ht="12.75">
      <c r="B264" s="8"/>
      <c r="C264" s="28"/>
      <c r="D264" s="28"/>
      <c r="E264" s="28"/>
      <c r="F264" s="8"/>
    </row>
    <row r="265" spans="1:6" ht="12.75">
      <c r="A265" s="2" t="s">
        <v>11</v>
      </c>
      <c r="B265" s="8"/>
      <c r="C265" s="283">
        <f>+C255-C263</f>
        <v>12923064</v>
      </c>
      <c r="D265" s="283">
        <f>+D255-D263</f>
        <v>0</v>
      </c>
      <c r="E265" s="283">
        <f>+E255-E263</f>
        <v>12923064</v>
      </c>
      <c r="F265" s="8"/>
    </row>
    <row r="266" spans="1:6" ht="12.75">
      <c r="A266" s="2"/>
      <c r="B266" s="8"/>
      <c r="C266" s="5"/>
      <c r="D266" s="5"/>
      <c r="E266" s="5"/>
      <c r="F266" s="8"/>
    </row>
    <row r="267" spans="1:6" ht="12.75">
      <c r="A267" s="14" t="s">
        <v>98</v>
      </c>
      <c r="B267" s="8"/>
      <c r="C267" s="5"/>
      <c r="D267" s="5"/>
      <c r="E267" s="5"/>
      <c r="F267" s="8"/>
    </row>
    <row r="268" spans="1:6" ht="12.75">
      <c r="A268" s="2"/>
      <c r="B268" s="8"/>
      <c r="C268" s="5"/>
      <c r="D268" s="5"/>
      <c r="E268" s="5"/>
      <c r="F268" s="8"/>
    </row>
    <row r="269" spans="1:6" ht="12.75">
      <c r="A269" s="4" t="s">
        <v>638</v>
      </c>
      <c r="B269" s="75" t="s">
        <v>257</v>
      </c>
      <c r="C269" s="330">
        <v>1</v>
      </c>
      <c r="D269" s="330">
        <v>0</v>
      </c>
      <c r="E269" s="305">
        <f>C269-D269</f>
        <v>1</v>
      </c>
      <c r="F269" s="8"/>
    </row>
    <row r="270" spans="1:6" ht="12.75">
      <c r="A270" s="4" t="s">
        <v>99</v>
      </c>
      <c r="B270" s="75" t="s">
        <v>257</v>
      </c>
      <c r="C270" s="330"/>
      <c r="D270" s="330"/>
      <c r="E270" s="305">
        <f aca="true" t="shared" si="12" ref="E270:E276">C270-D270</f>
        <v>0</v>
      </c>
      <c r="F270" s="8"/>
    </row>
    <row r="271" spans="1:6" ht="12.75">
      <c r="A271" s="4" t="s">
        <v>100</v>
      </c>
      <c r="B271" s="75" t="s">
        <v>257</v>
      </c>
      <c r="C271" s="330"/>
      <c r="D271" s="330"/>
      <c r="E271" s="305">
        <f t="shared" si="12"/>
        <v>0</v>
      </c>
      <c r="F271" s="8"/>
    </row>
    <row r="272" spans="1:6" ht="12.75">
      <c r="A272" s="4" t="s">
        <v>101</v>
      </c>
      <c r="B272" s="75" t="s">
        <v>257</v>
      </c>
      <c r="C272" s="330"/>
      <c r="D272" s="330"/>
      <c r="E272" s="305">
        <f t="shared" si="12"/>
        <v>0</v>
      </c>
      <c r="F272" s="8"/>
    </row>
    <row r="273" spans="1:6" ht="12.75">
      <c r="A273" s="4" t="s">
        <v>102</v>
      </c>
      <c r="B273" s="75" t="s">
        <v>257</v>
      </c>
      <c r="C273" s="330"/>
      <c r="D273" s="330"/>
      <c r="E273" s="305">
        <f t="shared" si="12"/>
        <v>0</v>
      </c>
      <c r="F273" s="8"/>
    </row>
    <row r="274" spans="1:6" ht="12.75">
      <c r="A274" s="4" t="s">
        <v>103</v>
      </c>
      <c r="B274" s="75" t="s">
        <v>257</v>
      </c>
      <c r="C274" s="330"/>
      <c r="D274" s="330"/>
      <c r="E274" s="305">
        <f t="shared" si="12"/>
        <v>0</v>
      </c>
      <c r="F274" s="8"/>
    </row>
    <row r="275" spans="1:6" ht="25.5">
      <c r="A275" s="78" t="s">
        <v>272</v>
      </c>
      <c r="B275" s="77" t="s">
        <v>257</v>
      </c>
      <c r="C275" s="331"/>
      <c r="D275" s="331"/>
      <c r="E275" s="328">
        <f t="shared" si="12"/>
        <v>0</v>
      </c>
      <c r="F275" s="8"/>
    </row>
    <row r="276" spans="1:6" ht="12.75">
      <c r="A276" s="4" t="s">
        <v>104</v>
      </c>
      <c r="B276" s="75" t="s">
        <v>257</v>
      </c>
      <c r="C276" s="330"/>
      <c r="D276" s="330"/>
      <c r="E276" s="305">
        <f t="shared" si="12"/>
        <v>0</v>
      </c>
      <c r="F276" s="8"/>
    </row>
    <row r="277" spans="1:6" ht="12.75">
      <c r="A277" s="4"/>
      <c r="B277" s="8"/>
      <c r="C277" s="28"/>
      <c r="D277" s="28"/>
      <c r="E277" s="283"/>
      <c r="F277" s="8"/>
    </row>
    <row r="278" spans="1:6" ht="12.75">
      <c r="A278" s="2" t="s">
        <v>10</v>
      </c>
      <c r="B278" s="8" t="s">
        <v>260</v>
      </c>
      <c r="C278" s="329">
        <f>SUM(C269:C277)</f>
        <v>1</v>
      </c>
      <c r="D278" s="337">
        <f>SUM(D269:D277)</f>
        <v>0</v>
      </c>
      <c r="E278" s="283">
        <f>SUM(E269:E277)</f>
        <v>1</v>
      </c>
      <c r="F278" s="8"/>
    </row>
    <row r="279" spans="1:6" ht="12.75">
      <c r="A279" s="4"/>
      <c r="B279" s="8"/>
      <c r="C279" s="5"/>
      <c r="D279" s="5"/>
      <c r="E279" s="5"/>
      <c r="F279" s="8"/>
    </row>
    <row r="280" spans="1:6" ht="12.75">
      <c r="A280" s="4"/>
      <c r="B280" s="8"/>
      <c r="C280" s="5"/>
      <c r="D280" s="5"/>
      <c r="E280" s="5"/>
      <c r="F280" s="8"/>
    </row>
    <row r="281" spans="1:6" ht="12.75">
      <c r="A281" s="14" t="s">
        <v>105</v>
      </c>
      <c r="B281" s="8"/>
      <c r="C281" s="5"/>
      <c r="D281" s="5"/>
      <c r="E281" s="5"/>
      <c r="F281" s="8"/>
    </row>
    <row r="282" spans="1:6" ht="12.75">
      <c r="A282" s="4"/>
      <c r="B282" s="8"/>
      <c r="C282" s="5"/>
      <c r="D282" s="5"/>
      <c r="E282" s="5"/>
      <c r="F282" s="8"/>
    </row>
    <row r="283" spans="1:6" ht="12.75">
      <c r="A283" s="4" t="s">
        <v>13</v>
      </c>
      <c r="B283" s="8" t="s">
        <v>260</v>
      </c>
      <c r="C283" s="283">
        <f>+C265</f>
        <v>12923064</v>
      </c>
      <c r="D283" s="283">
        <f>+D265</f>
        <v>0</v>
      </c>
      <c r="E283" s="305">
        <f>+E265</f>
        <v>12923064</v>
      </c>
      <c r="F283" s="8"/>
    </row>
    <row r="284" spans="1:6" ht="12.75">
      <c r="A284" s="4"/>
      <c r="B284" s="8"/>
      <c r="C284" s="71"/>
      <c r="D284" s="71"/>
      <c r="E284" s="71"/>
      <c r="F284" s="8"/>
    </row>
    <row r="285" spans="1:6" ht="12.75">
      <c r="A285" s="4" t="s">
        <v>14</v>
      </c>
      <c r="B285" s="8" t="s">
        <v>258</v>
      </c>
      <c r="C285" s="283">
        <f>+C278</f>
        <v>1</v>
      </c>
      <c r="D285" s="283">
        <f>+D278</f>
        <v>0</v>
      </c>
      <c r="E285" s="305">
        <f>+C285-D285</f>
        <v>1</v>
      </c>
      <c r="F285" s="8"/>
    </row>
    <row r="286" spans="1:6" ht="12.75">
      <c r="A286" s="4"/>
      <c r="B286" s="8"/>
      <c r="C286" s="71"/>
      <c r="D286" s="71"/>
      <c r="E286" s="71"/>
      <c r="F286" s="8"/>
    </row>
    <row r="287" spans="1:6" ht="12.75">
      <c r="A287" s="4" t="s">
        <v>15</v>
      </c>
      <c r="B287" s="75" t="s">
        <v>260</v>
      </c>
      <c r="C287" s="283">
        <f>IF(C283&gt;C285,C283-C285,0)</f>
        <v>12923063</v>
      </c>
      <c r="D287" s="283">
        <f>IF(D283&gt;D285,D283-D285,0)</f>
        <v>0</v>
      </c>
      <c r="E287" s="283">
        <f>IF(E283&gt;E285,E283-E285,0)</f>
        <v>12923063</v>
      </c>
      <c r="F287" s="8"/>
    </row>
    <row r="288" spans="1:6" ht="12.75">
      <c r="A288" s="4"/>
      <c r="B288" s="8"/>
      <c r="C288" s="71"/>
      <c r="D288" s="71"/>
      <c r="E288" s="71"/>
      <c r="F288" s="8"/>
    </row>
    <row r="289" spans="1:6" ht="12.75">
      <c r="A289" s="4" t="s">
        <v>402</v>
      </c>
      <c r="B289" s="75" t="s">
        <v>258</v>
      </c>
      <c r="C289" s="427">
        <f>IF(C287&gt;0,'Tax Rates'!C58,0)</f>
        <v>50000000</v>
      </c>
      <c r="D289" s="338">
        <v>0</v>
      </c>
      <c r="E289" s="305">
        <f>+C289-D289</f>
        <v>50000000</v>
      </c>
      <c r="F289" s="8"/>
    </row>
    <row r="290" spans="1:6" ht="12.75">
      <c r="A290" s="2" t="s">
        <v>573</v>
      </c>
      <c r="B290" s="8"/>
      <c r="C290" s="71"/>
      <c r="D290" s="71"/>
      <c r="E290" s="71"/>
      <c r="F290" s="8"/>
    </row>
    <row r="291" spans="1:6" ht="12.75">
      <c r="A291" s="2" t="s">
        <v>12</v>
      </c>
      <c r="B291" s="8" t="s">
        <v>260</v>
      </c>
      <c r="C291" s="283">
        <f>IF(C287&gt;C289,C287-C289,0)</f>
        <v>0</v>
      </c>
      <c r="D291" s="283">
        <f>IF(D287&gt;D289,D287-D289,0)</f>
        <v>0</v>
      </c>
      <c r="E291" s="283">
        <f>IF(E287&gt;E289,E287-E289,0)</f>
        <v>0</v>
      </c>
      <c r="F291" s="8"/>
    </row>
    <row r="292" spans="1:6" ht="12.75">
      <c r="A292" s="4"/>
      <c r="B292" s="8"/>
      <c r="C292" s="72"/>
      <c r="D292" s="72"/>
      <c r="E292" s="72"/>
      <c r="F292" s="8"/>
    </row>
    <row r="293" spans="1:6" ht="12.75">
      <c r="A293" s="497" t="s">
        <v>503</v>
      </c>
      <c r="B293" s="8"/>
      <c r="C293" s="343">
        <f>'Tax Rates'!C55</f>
        <v>0.00175</v>
      </c>
      <c r="D293" s="343">
        <f>C293</f>
        <v>0.00175</v>
      </c>
      <c r="E293" s="344">
        <f>C293</f>
        <v>0.00175</v>
      </c>
      <c r="F293" s="8"/>
    </row>
    <row r="294" spans="1:6" ht="12.75">
      <c r="A294" s="4"/>
      <c r="B294" s="8"/>
      <c r="C294" s="72"/>
      <c r="D294" s="72"/>
      <c r="E294" s="72"/>
      <c r="F294" s="8"/>
    </row>
    <row r="295" spans="1:6" ht="12.75">
      <c r="A295" s="4" t="s">
        <v>114</v>
      </c>
      <c r="B295" s="8"/>
      <c r="C295" s="284">
        <f>C11</f>
        <v>365</v>
      </c>
      <c r="D295" s="284">
        <f>C11</f>
        <v>365</v>
      </c>
      <c r="E295" s="284">
        <f>C11</f>
        <v>365</v>
      </c>
      <c r="F295" s="8"/>
    </row>
    <row r="296" spans="1:6" ht="12.75">
      <c r="A296" s="4" t="s">
        <v>501</v>
      </c>
      <c r="B296" s="8"/>
      <c r="C296" s="345">
        <f>+C295/REGINFO!B7</f>
        <v>1</v>
      </c>
      <c r="D296" s="345">
        <f>+D295/REGINFO!B7</f>
        <v>1</v>
      </c>
      <c r="E296" s="345">
        <f>+E295/REGINFO!B7</f>
        <v>1</v>
      </c>
      <c r="F296" s="8"/>
    </row>
    <row r="297" spans="1:6" ht="12.75">
      <c r="A297" s="4"/>
      <c r="B297" s="8"/>
      <c r="C297" s="72"/>
      <c r="D297" s="72"/>
      <c r="E297" s="72"/>
      <c r="F297" s="8"/>
    </row>
    <row r="298" spans="1:6" ht="12.75">
      <c r="A298" s="2" t="s">
        <v>572</v>
      </c>
      <c r="B298" s="8" t="s">
        <v>260</v>
      </c>
      <c r="C298" s="283">
        <f>C291*C293*C296</f>
        <v>0</v>
      </c>
      <c r="D298" s="283">
        <f>D291*D293*D296</f>
        <v>0</v>
      </c>
      <c r="E298" s="283">
        <f>E291*E293*E296</f>
        <v>0</v>
      </c>
      <c r="F298" s="8"/>
    </row>
    <row r="299" spans="1:6" ht="12.75">
      <c r="A299" s="4"/>
      <c r="B299" s="8"/>
      <c r="C299" s="72"/>
      <c r="D299" s="70"/>
      <c r="E299" s="72"/>
      <c r="F299" s="8"/>
    </row>
    <row r="300" spans="1:6" ht="12.75">
      <c r="A300" s="4" t="s">
        <v>116</v>
      </c>
      <c r="B300" s="8"/>
      <c r="C300" s="332">
        <f>'Tax Rates'!C56</f>
        <v>0.0112</v>
      </c>
      <c r="D300" s="332">
        <f>C300</f>
        <v>0.0112</v>
      </c>
      <c r="E300" s="332">
        <f>C300</f>
        <v>0.0112</v>
      </c>
      <c r="F300" s="8"/>
    </row>
    <row r="301" spans="2:6" ht="12.75">
      <c r="B301" s="8"/>
      <c r="C301" s="70"/>
      <c r="D301" s="70"/>
      <c r="E301" s="70"/>
      <c r="F301" s="8"/>
    </row>
    <row r="302" spans="1:6" ht="12.75">
      <c r="A302" t="s">
        <v>639</v>
      </c>
      <c r="B302" s="75" t="s">
        <v>258</v>
      </c>
      <c r="C302" s="338">
        <v>6577</v>
      </c>
      <c r="D302" s="338">
        <v>0</v>
      </c>
      <c r="E302" s="283">
        <f>C302-D302</f>
        <v>6577</v>
      </c>
      <c r="F302" s="8"/>
    </row>
    <row r="303" spans="2:6" ht="12.75">
      <c r="B303" s="8"/>
      <c r="C303" s="71"/>
      <c r="D303" s="71"/>
      <c r="E303" s="71"/>
      <c r="F303" s="8"/>
    </row>
    <row r="304" spans="1:6" ht="12.75">
      <c r="A304" s="2" t="s">
        <v>416</v>
      </c>
      <c r="B304" s="8" t="s">
        <v>260</v>
      </c>
      <c r="C304" s="283">
        <f>IF(C298&gt;C302,C298-C302,0)</f>
        <v>0</v>
      </c>
      <c r="D304" s="283">
        <f>IF(D298&gt;D302,D298-D302,0)</f>
        <v>0</v>
      </c>
      <c r="E304" s="283">
        <f>IF(E298&gt;E302,E298-E302,0)</f>
        <v>0</v>
      </c>
      <c r="F304" s="8"/>
    </row>
    <row r="305" spans="1:6" ht="12.75">
      <c r="A305" t="s">
        <v>117</v>
      </c>
      <c r="B305" s="8"/>
      <c r="F305" s="8"/>
    </row>
    <row r="306" spans="2:6" ht="12.75">
      <c r="B306" s="8"/>
      <c r="F306" s="8"/>
    </row>
    <row r="307" spans="1:2" ht="12.75">
      <c r="A307" s="14" t="s">
        <v>456</v>
      </c>
      <c r="B307" s="8"/>
    </row>
    <row r="308" spans="1:2" ht="12.75">
      <c r="A308" s="14"/>
      <c r="B308" s="8"/>
    </row>
    <row r="309" spans="1:2" ht="12.75">
      <c r="A309" s="2" t="s">
        <v>425</v>
      </c>
      <c r="B309" s="8"/>
    </row>
    <row r="310" spans="1:5" ht="12.75">
      <c r="A310" t="s">
        <v>311</v>
      </c>
      <c r="B310" s="97" t="s">
        <v>257</v>
      </c>
      <c r="C310" s="283">
        <f>C149</f>
        <v>246866</v>
      </c>
      <c r="D310" s="283">
        <f>D149</f>
        <v>0</v>
      </c>
      <c r="E310" s="283">
        <f>E149</f>
        <v>246866</v>
      </c>
    </row>
    <row r="311" spans="1:5" ht="12.75">
      <c r="A311" t="s">
        <v>33</v>
      </c>
      <c r="B311" s="97" t="s">
        <v>257</v>
      </c>
      <c r="C311" s="283">
        <f>C236</f>
        <v>29046</v>
      </c>
      <c r="D311" s="283">
        <f>D236</f>
        <v>0</v>
      </c>
      <c r="E311" s="283">
        <f>E236</f>
        <v>29046</v>
      </c>
    </row>
    <row r="312" spans="1:5" ht="12.75">
      <c r="A312" t="s">
        <v>310</v>
      </c>
      <c r="B312" s="97" t="s">
        <v>257</v>
      </c>
      <c r="C312" s="283">
        <f>C304</f>
        <v>0</v>
      </c>
      <c r="D312" s="283">
        <f>D304</f>
        <v>0</v>
      </c>
      <c r="E312" s="283">
        <f>E304</f>
        <v>0</v>
      </c>
    </row>
    <row r="313" ht="12.75">
      <c r="B313" s="8"/>
    </row>
    <row r="314" spans="1:5" ht="12.75">
      <c r="A314" s="2" t="s">
        <v>395</v>
      </c>
      <c r="B314" s="75" t="s">
        <v>260</v>
      </c>
      <c r="C314" s="283">
        <f>C310+C311+C312</f>
        <v>275912</v>
      </c>
      <c r="D314" s="283">
        <f>D310+D311+D312</f>
        <v>0</v>
      </c>
      <c r="E314" s="283">
        <f>E310+E311+E312</f>
        <v>275912</v>
      </c>
    </row>
    <row r="315" ht="12.75">
      <c r="C315" s="96"/>
    </row>
    <row r="316" ht="12.75">
      <c r="C316" s="8"/>
    </row>
    <row r="317" ht="12.75">
      <c r="E317" s="28"/>
    </row>
  </sheetData>
  <sheetProtection/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gridLines="1" headings="1"/>
  <pageMargins left="1.09" right="0.25" top="0.43" bottom="0.44" header="0.2" footer="0"/>
  <pageSetup horizontalDpi="600" verticalDpi="600" orientation="portrait" scale="57" r:id="rId1"/>
  <headerFooter alignWithMargins="0">
    <oddHeader>&amp;C&amp;F</oddHeader>
    <oddFooter>&amp;C&amp;A&amp;RPage &amp;P</oddFooter>
  </headerFooter>
  <rowBreaks count="3" manualBreakCount="3">
    <brk id="95" max="5" man="1"/>
    <brk id="180" max="5" man="1"/>
    <brk id="2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SIMPIL RRR FILING</v>
      </c>
      <c r="B1" s="8" t="s">
        <v>56</v>
      </c>
      <c r="C1" s="8" t="s">
        <v>36</v>
      </c>
      <c r="D1" s="8" t="s">
        <v>16</v>
      </c>
      <c r="E1" s="27" t="s">
        <v>17</v>
      </c>
      <c r="F1" s="8"/>
    </row>
    <row r="2" spans="1:6" ht="12.75">
      <c r="A2" s="2" t="s">
        <v>393</v>
      </c>
      <c r="C2" s="8" t="s">
        <v>106</v>
      </c>
      <c r="D2" s="8" t="s">
        <v>52</v>
      </c>
      <c r="E2" s="27" t="s">
        <v>19</v>
      </c>
      <c r="F2" s="8"/>
    </row>
    <row r="3" spans="1:6" ht="12.75">
      <c r="A3" t="s">
        <v>394</v>
      </c>
      <c r="C3" s="8" t="s">
        <v>19</v>
      </c>
      <c r="D3" s="530" t="s">
        <v>610</v>
      </c>
      <c r="E3" s="27" t="s">
        <v>18</v>
      </c>
      <c r="F3" s="8"/>
    </row>
    <row r="4" spans="1:6" ht="12.75">
      <c r="A4" s="4" t="s">
        <v>53</v>
      </c>
      <c r="B4" s="8"/>
      <c r="C4" s="8" t="s">
        <v>18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2005.1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346" t="str">
        <f>REGINFO!A3</f>
        <v>Utility Name:  Centre Wellington Hydro Ltd</v>
      </c>
      <c r="B7" s="26"/>
      <c r="C7" s="31"/>
      <c r="D7" s="31"/>
      <c r="E7" s="31"/>
      <c r="F7" s="26"/>
    </row>
    <row r="8" spans="1:6" ht="12.75">
      <c r="A8" s="346" t="str">
        <f>REGINFO!A4</f>
        <v>Reporting period:   2005</v>
      </c>
      <c r="B8" s="26"/>
      <c r="C8" s="31"/>
      <c r="D8" s="31"/>
      <c r="E8" s="31"/>
      <c r="F8" s="26"/>
    </row>
    <row r="10" ht="12.75">
      <c r="A10" s="2" t="s">
        <v>196</v>
      </c>
    </row>
    <row r="11" ht="12.75">
      <c r="A11" s="2"/>
    </row>
    <row r="12" spans="1:5" ht="12.75">
      <c r="A12" s="279" t="s">
        <v>371</v>
      </c>
      <c r="B12" s="67"/>
      <c r="C12" s="358"/>
      <c r="D12" s="358"/>
      <c r="E12" s="67"/>
    </row>
    <row r="13" spans="1:5" ht="12.75">
      <c r="A13" s="67"/>
      <c r="B13" s="67"/>
      <c r="C13" s="330"/>
      <c r="D13" s="330"/>
      <c r="E13" s="283">
        <f>C13-D13</f>
        <v>0</v>
      </c>
    </row>
    <row r="14" spans="1:5" ht="12.75">
      <c r="A14" s="67" t="s">
        <v>378</v>
      </c>
      <c r="B14" s="67"/>
      <c r="C14" s="330"/>
      <c r="D14" s="330"/>
      <c r="E14" s="283">
        <f aca="true" t="shared" si="0" ref="E14:E21">C14-D14</f>
        <v>0</v>
      </c>
    </row>
    <row r="15" spans="1:5" ht="12.75">
      <c r="A15" s="67" t="s">
        <v>379</v>
      </c>
      <c r="B15" s="67"/>
      <c r="C15" s="330"/>
      <c r="D15" s="330"/>
      <c r="E15" s="283">
        <f t="shared" si="0"/>
        <v>0</v>
      </c>
    </row>
    <row r="16" spans="1:5" ht="12.75">
      <c r="A16" s="67" t="s">
        <v>380</v>
      </c>
      <c r="B16" s="67"/>
      <c r="C16" s="330"/>
      <c r="D16" s="330"/>
      <c r="E16" s="283">
        <f t="shared" si="0"/>
        <v>0</v>
      </c>
    </row>
    <row r="17" spans="1:5" ht="12.75">
      <c r="A17" s="67" t="s">
        <v>381</v>
      </c>
      <c r="B17" s="67"/>
      <c r="C17" s="330"/>
      <c r="D17" s="330"/>
      <c r="E17" s="283">
        <f t="shared" si="0"/>
        <v>0</v>
      </c>
    </row>
    <row r="18" spans="1:5" ht="12.75">
      <c r="A18" s="67" t="s">
        <v>368</v>
      </c>
      <c r="B18" s="67"/>
      <c r="C18" s="330"/>
      <c r="D18" s="330"/>
      <c r="E18" s="283">
        <f t="shared" si="0"/>
        <v>0</v>
      </c>
    </row>
    <row r="19" spans="1:5" ht="12.75">
      <c r="A19" s="67" t="s">
        <v>368</v>
      </c>
      <c r="B19" s="67"/>
      <c r="C19" s="330"/>
      <c r="D19" s="330"/>
      <c r="E19" s="283">
        <f t="shared" si="0"/>
        <v>0</v>
      </c>
    </row>
    <row r="20" spans="1:5" ht="12.75">
      <c r="A20" s="67"/>
      <c r="B20" s="67"/>
      <c r="C20" s="330"/>
      <c r="D20" s="330"/>
      <c r="E20" s="283">
        <f t="shared" si="0"/>
        <v>0</v>
      </c>
    </row>
    <row r="21" spans="1:5" ht="12.75">
      <c r="A21" s="67"/>
      <c r="B21" s="67"/>
      <c r="C21" s="357"/>
      <c r="D21" s="357"/>
      <c r="E21" s="313">
        <f t="shared" si="0"/>
        <v>0</v>
      </c>
    </row>
    <row r="22" spans="1:5" ht="12.75">
      <c r="A22" s="2" t="s">
        <v>246</v>
      </c>
      <c r="C22" s="283">
        <f>SUM(C13:C21)</f>
        <v>0</v>
      </c>
      <c r="D22" s="283">
        <f>SUM(D13:D21)</f>
        <v>0</v>
      </c>
      <c r="E22" s="283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79" t="s">
        <v>370</v>
      </c>
      <c r="B24" s="67"/>
      <c r="C24" s="103"/>
      <c r="D24" s="103"/>
      <c r="E24" s="103"/>
    </row>
    <row r="25" spans="1:5" ht="12.75">
      <c r="A25" s="67"/>
      <c r="B25" s="67"/>
      <c r="C25" s="330"/>
      <c r="D25" s="330"/>
      <c r="E25" s="283">
        <f>C25-D25</f>
        <v>0</v>
      </c>
    </row>
    <row r="26" spans="1:5" ht="12.75">
      <c r="A26" s="67" t="s">
        <v>378</v>
      </c>
      <c r="B26" s="67"/>
      <c r="C26" s="330"/>
      <c r="D26" s="330"/>
      <c r="E26" s="283">
        <f aca="true" t="shared" si="1" ref="E26:E33">C26-D26</f>
        <v>0</v>
      </c>
    </row>
    <row r="27" spans="1:5" ht="12.75">
      <c r="A27" s="67" t="s">
        <v>379</v>
      </c>
      <c r="B27" s="67"/>
      <c r="C27" s="330"/>
      <c r="D27" s="330"/>
      <c r="E27" s="283">
        <f t="shared" si="1"/>
        <v>0</v>
      </c>
    </row>
    <row r="28" spans="1:5" ht="12.75">
      <c r="A28" s="67" t="s">
        <v>380</v>
      </c>
      <c r="B28" s="67"/>
      <c r="C28" s="330"/>
      <c r="D28" s="330"/>
      <c r="E28" s="283">
        <f t="shared" si="1"/>
        <v>0</v>
      </c>
    </row>
    <row r="29" spans="1:5" ht="12.75">
      <c r="A29" s="67" t="s">
        <v>381</v>
      </c>
      <c r="B29" s="67"/>
      <c r="C29" s="330"/>
      <c r="D29" s="330"/>
      <c r="E29" s="283">
        <f t="shared" si="1"/>
        <v>0</v>
      </c>
    </row>
    <row r="30" spans="1:5" ht="12.75">
      <c r="A30" s="67" t="s">
        <v>368</v>
      </c>
      <c r="B30" s="67"/>
      <c r="C30" s="330"/>
      <c r="D30" s="330"/>
      <c r="E30" s="283">
        <f t="shared" si="1"/>
        <v>0</v>
      </c>
    </row>
    <row r="31" spans="1:5" ht="12.75">
      <c r="A31" s="67" t="s">
        <v>368</v>
      </c>
      <c r="B31" s="67"/>
      <c r="C31" s="330"/>
      <c r="D31" s="330"/>
      <c r="E31" s="283">
        <f t="shared" si="1"/>
        <v>0</v>
      </c>
    </row>
    <row r="32" spans="1:5" ht="12.75">
      <c r="A32" s="67"/>
      <c r="B32" s="67"/>
      <c r="C32" s="330"/>
      <c r="D32" s="330"/>
      <c r="E32" s="283">
        <f t="shared" si="1"/>
        <v>0</v>
      </c>
    </row>
    <row r="33" spans="1:5" ht="13.5" thickBot="1">
      <c r="A33" s="68"/>
      <c r="B33" s="67"/>
      <c r="C33" s="330"/>
      <c r="D33" s="330"/>
      <c r="E33" s="283">
        <f t="shared" si="1"/>
        <v>0</v>
      </c>
    </row>
    <row r="34" spans="1:5" ht="12.75">
      <c r="A34" s="62" t="s">
        <v>198</v>
      </c>
      <c r="C34" s="28"/>
      <c r="D34" s="28"/>
      <c r="E34" s="313"/>
    </row>
    <row r="35" spans="1:5" ht="12.75">
      <c r="A35" s="2" t="s">
        <v>246</v>
      </c>
      <c r="C35" s="283">
        <f>SUM(C25:C33)</f>
        <v>0</v>
      </c>
      <c r="D35" s="283">
        <f>SUM(D25:D33)</f>
        <v>0</v>
      </c>
      <c r="E35" s="283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369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79" t="s">
        <v>371</v>
      </c>
      <c r="B40" s="67"/>
      <c r="C40" s="103"/>
      <c r="D40" s="103"/>
      <c r="E40" s="103"/>
    </row>
    <row r="41" spans="1:5" ht="12.75">
      <c r="A41" s="67"/>
      <c r="B41" s="67"/>
      <c r="C41" s="330"/>
      <c r="D41" s="330"/>
      <c r="E41" s="283">
        <f>C41-D41</f>
        <v>0</v>
      </c>
    </row>
    <row r="42" spans="1:5" ht="12.75">
      <c r="A42" s="67"/>
      <c r="B42" s="67"/>
      <c r="C42" s="330"/>
      <c r="D42" s="330"/>
      <c r="E42" s="283">
        <f aca="true" t="shared" si="2" ref="E42:E49">C42-D42</f>
        <v>0</v>
      </c>
    </row>
    <row r="43" spans="1:5" ht="12.75">
      <c r="A43" s="67" t="s">
        <v>364</v>
      </c>
      <c r="B43" s="67"/>
      <c r="C43" s="330"/>
      <c r="D43" s="330"/>
      <c r="E43" s="283">
        <f t="shared" si="2"/>
        <v>0</v>
      </c>
    </row>
    <row r="44" spans="1:5" ht="12.75">
      <c r="A44" s="67" t="s">
        <v>365</v>
      </c>
      <c r="B44" s="67"/>
      <c r="C44" s="330"/>
      <c r="D44" s="330"/>
      <c r="E44" s="283">
        <f t="shared" si="2"/>
        <v>0</v>
      </c>
    </row>
    <row r="45" spans="1:5" ht="12.75">
      <c r="A45" s="67" t="s">
        <v>366</v>
      </c>
      <c r="B45" s="67"/>
      <c r="C45" s="330"/>
      <c r="D45" s="330"/>
      <c r="E45" s="283">
        <f t="shared" si="2"/>
        <v>0</v>
      </c>
    </row>
    <row r="46" spans="1:5" ht="12.75">
      <c r="A46" s="67" t="s">
        <v>367</v>
      </c>
      <c r="B46" s="67"/>
      <c r="C46" s="330"/>
      <c r="D46" s="330"/>
      <c r="E46" s="283">
        <f t="shared" si="2"/>
        <v>0</v>
      </c>
    </row>
    <row r="47" spans="1:5" ht="12.75">
      <c r="A47" s="67" t="s">
        <v>368</v>
      </c>
      <c r="B47" s="67"/>
      <c r="C47" s="330"/>
      <c r="D47" s="330"/>
      <c r="E47" s="283">
        <f t="shared" si="2"/>
        <v>0</v>
      </c>
    </row>
    <row r="48" spans="1:5" ht="12.75">
      <c r="A48" s="67" t="s">
        <v>368</v>
      </c>
      <c r="B48" s="67"/>
      <c r="C48" s="330"/>
      <c r="D48" s="330"/>
      <c r="E48" s="283">
        <f t="shared" si="2"/>
        <v>0</v>
      </c>
    </row>
    <row r="49" spans="1:5" ht="12.75">
      <c r="A49" s="67"/>
      <c r="B49" s="67"/>
      <c r="C49" s="357"/>
      <c r="D49" s="357"/>
      <c r="E49" s="313">
        <f t="shared" si="2"/>
        <v>0</v>
      </c>
    </row>
    <row r="50" spans="1:5" ht="12.75">
      <c r="A50" s="2" t="s">
        <v>246</v>
      </c>
      <c r="C50" s="283">
        <f>SUM(C41:C49)</f>
        <v>0</v>
      </c>
      <c r="D50" s="283">
        <f>SUM(D41:D49)</f>
        <v>0</v>
      </c>
      <c r="E50" s="283">
        <f>SUM(E41:E49)</f>
        <v>0</v>
      </c>
    </row>
    <row r="51" spans="3:5" ht="12.75">
      <c r="C51" s="28"/>
      <c r="D51" s="28"/>
      <c r="E51" s="28"/>
    </row>
    <row r="52" spans="1:5" ht="12.75">
      <c r="A52" s="279" t="s">
        <v>370</v>
      </c>
      <c r="B52" s="67"/>
      <c r="C52" s="103"/>
      <c r="D52" s="103"/>
      <c r="E52" s="103"/>
    </row>
    <row r="53" spans="1:5" ht="12.75">
      <c r="A53" s="67"/>
      <c r="B53" s="67"/>
      <c r="C53" s="330"/>
      <c r="D53" s="330"/>
      <c r="E53" s="283">
        <f>C53-D53</f>
        <v>0</v>
      </c>
    </row>
    <row r="54" spans="1:5" ht="12.75">
      <c r="A54" s="278"/>
      <c r="B54" s="67"/>
      <c r="C54" s="330"/>
      <c r="D54" s="330"/>
      <c r="E54" s="283">
        <f aca="true" t="shared" si="3" ref="E54:E61">C54-D54</f>
        <v>0</v>
      </c>
    </row>
    <row r="55" spans="1:5" ht="12.75">
      <c r="A55" s="278" t="s">
        <v>364</v>
      </c>
      <c r="B55" s="67"/>
      <c r="C55" s="330"/>
      <c r="D55" s="330"/>
      <c r="E55" s="283">
        <f t="shared" si="3"/>
        <v>0</v>
      </c>
    </row>
    <row r="56" spans="1:5" ht="12.75">
      <c r="A56" s="278" t="s">
        <v>365</v>
      </c>
      <c r="B56" s="67"/>
      <c r="C56" s="330"/>
      <c r="D56" s="330"/>
      <c r="E56" s="283">
        <f t="shared" si="3"/>
        <v>0</v>
      </c>
    </row>
    <row r="57" spans="1:5" ht="12.75">
      <c r="A57" s="278" t="s">
        <v>366</v>
      </c>
      <c r="B57" s="67"/>
      <c r="C57" s="330"/>
      <c r="D57" s="330"/>
      <c r="E57" s="283">
        <f t="shared" si="3"/>
        <v>0</v>
      </c>
    </row>
    <row r="58" spans="1:5" ht="12.75">
      <c r="A58" s="278" t="s">
        <v>367</v>
      </c>
      <c r="B58" s="67"/>
      <c r="C58" s="330"/>
      <c r="D58" s="330"/>
      <c r="E58" s="283">
        <f t="shared" si="3"/>
        <v>0</v>
      </c>
    </row>
    <row r="59" spans="1:5" ht="12.75">
      <c r="A59" s="67" t="s">
        <v>368</v>
      </c>
      <c r="B59" s="67"/>
      <c r="C59" s="330"/>
      <c r="D59" s="330"/>
      <c r="E59" s="283">
        <f t="shared" si="3"/>
        <v>0</v>
      </c>
    </row>
    <row r="60" spans="1:5" ht="12.75">
      <c r="A60" s="67" t="s">
        <v>368</v>
      </c>
      <c r="B60" s="67"/>
      <c r="C60" s="330"/>
      <c r="D60" s="330"/>
      <c r="E60" s="283">
        <f t="shared" si="3"/>
        <v>0</v>
      </c>
    </row>
    <row r="61" spans="1:5" ht="13.5" thickBot="1">
      <c r="A61" s="68"/>
      <c r="B61" s="67"/>
      <c r="C61" s="330"/>
      <c r="D61" s="330"/>
      <c r="E61" s="283">
        <f t="shared" si="3"/>
        <v>0</v>
      </c>
    </row>
    <row r="62" spans="1:5" ht="12.75">
      <c r="A62" s="62" t="s">
        <v>198</v>
      </c>
      <c r="C62" s="28"/>
      <c r="D62" s="28"/>
      <c r="E62" s="313"/>
    </row>
    <row r="63" spans="1:5" ht="12.75">
      <c r="A63" s="2" t="s">
        <v>246</v>
      </c>
      <c r="C63" s="283">
        <f>SUM(C53:C61)</f>
        <v>0</v>
      </c>
      <c r="D63" s="283">
        <f>SUM(D53:D61)</f>
        <v>0</v>
      </c>
      <c r="E63" s="283">
        <f>SUM(E53:E61)</f>
        <v>0</v>
      </c>
    </row>
  </sheetData>
  <sheetProtection/>
  <printOptions gridLines="1" headings="1"/>
  <pageMargins left="0.75" right="0.25" top="0.52" bottom="0.5" header="0.17" footer="0"/>
  <pageSetup horizontalDpi="600" verticalDpi="600" orientation="portrait" scale="80" r:id="rId1"/>
  <headerFooter alignWithMargins="0">
    <oddHeader>&amp;C&amp;F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14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5" sqref="A16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4"/>
    </row>
    <row r="2" spans="1:6" ht="12.75">
      <c r="A2" s="1" t="str">
        <f>REGINFO!A1</f>
        <v>SIMPIL RRR FILING</v>
      </c>
      <c r="B2" s="8" t="s">
        <v>56</v>
      </c>
      <c r="C2" s="8" t="s">
        <v>36</v>
      </c>
      <c r="D2" s="8" t="s">
        <v>16</v>
      </c>
      <c r="E2" s="27" t="s">
        <v>17</v>
      </c>
      <c r="F2" s="8"/>
    </row>
    <row r="3" spans="1:6" ht="12.75">
      <c r="A3" s="2" t="s">
        <v>346</v>
      </c>
      <c r="B3" s="8"/>
      <c r="C3" s="8" t="s">
        <v>106</v>
      </c>
      <c r="D3" s="8" t="s">
        <v>52</v>
      </c>
      <c r="E3" s="27" t="s">
        <v>19</v>
      </c>
      <c r="F3" s="8"/>
    </row>
    <row r="4" spans="1:6" ht="12.75">
      <c r="A4" s="4" t="s">
        <v>53</v>
      </c>
      <c r="B4" s="8"/>
      <c r="C4" s="8" t="s">
        <v>19</v>
      </c>
      <c r="D4" s="530" t="s">
        <v>610</v>
      </c>
      <c r="E4" s="27" t="s">
        <v>18</v>
      </c>
      <c r="F4" s="8"/>
    </row>
    <row r="5" spans="1:6" ht="12.75">
      <c r="A5" s="2" t="str">
        <f>REGINFO!E2</f>
        <v>RRR # 2.1.8</v>
      </c>
      <c r="B5" s="8"/>
      <c r="C5" s="8" t="s">
        <v>18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2005.1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528" t="str">
        <f>REGINFO!A3</f>
        <v>Utility Name:  Centre Wellington Hydro Ltd</v>
      </c>
      <c r="B8" s="26"/>
      <c r="C8" s="31"/>
      <c r="D8" s="31"/>
      <c r="E8" s="31"/>
      <c r="F8" s="26"/>
    </row>
    <row r="9" spans="1:6" ht="12.75">
      <c r="A9" s="528" t="str">
        <f>REGINFO!A4</f>
        <v>Reporting period:   2005</v>
      </c>
      <c r="B9" s="26"/>
      <c r="C9" s="31"/>
      <c r="D9" s="31"/>
      <c r="E9" s="31"/>
      <c r="F9" s="26"/>
    </row>
    <row r="10" spans="1:6" ht="12.75">
      <c r="A10" s="2" t="s">
        <v>188</v>
      </c>
      <c r="B10" s="26"/>
      <c r="C10" s="304">
        <f>TAXREC!C11</f>
        <v>365</v>
      </c>
      <c r="D10" s="66"/>
      <c r="E10" s="31"/>
      <c r="F10" s="26"/>
    </row>
    <row r="11" spans="1:6" ht="12.75">
      <c r="A11" s="2" t="s">
        <v>185</v>
      </c>
      <c r="B11" s="26"/>
      <c r="C11" s="305">
        <f>TAXREC!C13</f>
        <v>10692.1575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243</v>
      </c>
      <c r="B13" s="26"/>
      <c r="C13" s="31"/>
      <c r="D13" s="31"/>
      <c r="E13" s="32"/>
      <c r="F13" s="8"/>
    </row>
    <row r="14" ht="12.75">
      <c r="A14" s="2" t="s">
        <v>189</v>
      </c>
    </row>
    <row r="15" spans="1:5" ht="12.75">
      <c r="A15" s="78" t="s">
        <v>199</v>
      </c>
      <c r="B15" t="s">
        <v>257</v>
      </c>
      <c r="C15" s="331"/>
      <c r="D15" s="331"/>
      <c r="E15" s="360">
        <f>C15-D15</f>
        <v>0</v>
      </c>
    </row>
    <row r="16" spans="1:5" ht="12.75">
      <c r="A16" s="78" t="s">
        <v>347</v>
      </c>
      <c r="B16" t="s">
        <v>257</v>
      </c>
      <c r="C16" s="331"/>
      <c r="D16" s="331"/>
      <c r="E16" s="360">
        <f aca="true" t="shared" si="0" ref="E16:E52">C16-D16</f>
        <v>0</v>
      </c>
    </row>
    <row r="17" spans="1:5" ht="12.75">
      <c r="A17" s="78" t="s">
        <v>273</v>
      </c>
      <c r="B17" t="s">
        <v>257</v>
      </c>
      <c r="C17" s="331"/>
      <c r="D17" s="331"/>
      <c r="E17" s="360">
        <f t="shared" si="0"/>
        <v>0</v>
      </c>
    </row>
    <row r="18" spans="1:5" ht="12.75">
      <c r="A18" s="78" t="s">
        <v>200</v>
      </c>
      <c r="B18" t="s">
        <v>257</v>
      </c>
      <c r="C18" s="331"/>
      <c r="D18" s="361"/>
      <c r="E18" s="360">
        <f t="shared" si="0"/>
        <v>0</v>
      </c>
    </row>
    <row r="19" spans="1:5" ht="12.75">
      <c r="A19" s="78" t="s">
        <v>201</v>
      </c>
      <c r="B19" t="s">
        <v>257</v>
      </c>
      <c r="C19" s="331"/>
      <c r="D19" s="331"/>
      <c r="E19" s="360">
        <f t="shared" si="0"/>
        <v>0</v>
      </c>
    </row>
    <row r="20" spans="1:5" ht="12.75">
      <c r="A20" s="78" t="s">
        <v>626</v>
      </c>
      <c r="B20" t="s">
        <v>257</v>
      </c>
      <c r="C20" s="331">
        <v>103200</v>
      </c>
      <c r="D20" s="331">
        <v>0</v>
      </c>
      <c r="E20" s="360">
        <f t="shared" si="0"/>
        <v>103200</v>
      </c>
    </row>
    <row r="21" spans="1:5" ht="12.75">
      <c r="A21" s="78" t="s">
        <v>22</v>
      </c>
      <c r="B21" t="s">
        <v>257</v>
      </c>
      <c r="C21" s="331"/>
      <c r="D21" s="331"/>
      <c r="E21" s="360">
        <f t="shared" si="0"/>
        <v>0</v>
      </c>
    </row>
    <row r="22" spans="1:5" ht="12.75">
      <c r="A22" s="78" t="s">
        <v>202</v>
      </c>
      <c r="B22" t="s">
        <v>257</v>
      </c>
      <c r="C22" s="331"/>
      <c r="D22" s="331"/>
      <c r="E22" s="360">
        <f t="shared" si="0"/>
        <v>0</v>
      </c>
    </row>
    <row r="23" spans="1:5" ht="12.75">
      <c r="A23" s="78" t="s">
        <v>203</v>
      </c>
      <c r="B23" t="s">
        <v>257</v>
      </c>
      <c r="C23" s="331"/>
      <c r="D23" s="331"/>
      <c r="E23" s="360">
        <f t="shared" si="0"/>
        <v>0</v>
      </c>
    </row>
    <row r="24" spans="1:5" ht="12.75">
      <c r="A24" s="78" t="s">
        <v>204</v>
      </c>
      <c r="B24" t="s">
        <v>257</v>
      </c>
      <c r="C24" s="331"/>
      <c r="D24" s="331"/>
      <c r="E24" s="360">
        <f t="shared" si="0"/>
        <v>0</v>
      </c>
    </row>
    <row r="25" spans="1:5" ht="12.75">
      <c r="A25" s="78" t="s">
        <v>23</v>
      </c>
      <c r="B25" t="s">
        <v>257</v>
      </c>
      <c r="C25" s="331"/>
      <c r="D25" s="331"/>
      <c r="E25" s="360">
        <f t="shared" si="0"/>
        <v>0</v>
      </c>
    </row>
    <row r="26" spans="1:5" ht="12.75">
      <c r="A26" s="78" t="s">
        <v>205</v>
      </c>
      <c r="B26" t="s">
        <v>257</v>
      </c>
      <c r="C26" s="331"/>
      <c r="D26" s="331"/>
      <c r="E26" s="360">
        <f t="shared" si="0"/>
        <v>0</v>
      </c>
    </row>
    <row r="27" spans="1:5" ht="12.75">
      <c r="A27" s="78" t="s">
        <v>206</v>
      </c>
      <c r="B27" t="s">
        <v>257</v>
      </c>
      <c r="C27" s="331"/>
      <c r="D27" s="331"/>
      <c r="E27" s="360">
        <f t="shared" si="0"/>
        <v>0</v>
      </c>
    </row>
    <row r="28" spans="1:5" ht="12.75">
      <c r="A28" s="78" t="s">
        <v>348</v>
      </c>
      <c r="B28" t="s">
        <v>257</v>
      </c>
      <c r="C28" s="331"/>
      <c r="D28" s="331"/>
      <c r="E28" s="360">
        <f t="shared" si="0"/>
        <v>0</v>
      </c>
    </row>
    <row r="29" spans="1:5" ht="12.75">
      <c r="A29" s="78" t="s">
        <v>274</v>
      </c>
      <c r="B29" t="s">
        <v>257</v>
      </c>
      <c r="C29" s="331"/>
      <c r="D29" s="331"/>
      <c r="E29" s="360">
        <f t="shared" si="0"/>
        <v>0</v>
      </c>
    </row>
    <row r="30" spans="1:5" ht="12.75">
      <c r="A30" s="78" t="s">
        <v>397</v>
      </c>
      <c r="B30" t="s">
        <v>257</v>
      </c>
      <c r="C30" s="331"/>
      <c r="D30" s="331">
        <v>0</v>
      </c>
      <c r="E30" s="360">
        <f t="shared" si="0"/>
        <v>0</v>
      </c>
    </row>
    <row r="31" spans="1:5" ht="12.75">
      <c r="A31" s="78" t="s">
        <v>275</v>
      </c>
      <c r="B31" t="s">
        <v>257</v>
      </c>
      <c r="C31" s="331"/>
      <c r="D31" s="331"/>
      <c r="E31" s="360">
        <f t="shared" si="0"/>
        <v>0</v>
      </c>
    </row>
    <row r="32" spans="1:5" ht="12.75">
      <c r="A32" s="78" t="s">
        <v>21</v>
      </c>
      <c r="B32" t="s">
        <v>257</v>
      </c>
      <c r="C32" s="331"/>
      <c r="D32" s="331"/>
      <c r="E32" s="360">
        <f t="shared" si="0"/>
        <v>0</v>
      </c>
    </row>
    <row r="33" spans="1:5" ht="12.75">
      <c r="A33" s="78" t="s">
        <v>190</v>
      </c>
      <c r="B33" t="s">
        <v>257</v>
      </c>
      <c r="C33" s="331"/>
      <c r="D33" s="331"/>
      <c r="E33" s="360">
        <f t="shared" si="0"/>
        <v>0</v>
      </c>
    </row>
    <row r="34" spans="1:5" ht="12.75">
      <c r="A34" s="78" t="s">
        <v>191</v>
      </c>
      <c r="B34" t="s">
        <v>257</v>
      </c>
      <c r="C34" s="331"/>
      <c r="D34" s="331"/>
      <c r="E34" s="360">
        <f t="shared" si="0"/>
        <v>0</v>
      </c>
    </row>
    <row r="35" spans="1:5" ht="12.75">
      <c r="A35" s="78" t="s">
        <v>276</v>
      </c>
      <c r="B35" t="s">
        <v>257</v>
      </c>
      <c r="C35" s="331"/>
      <c r="D35" s="331"/>
      <c r="E35" s="360">
        <f t="shared" si="0"/>
        <v>0</v>
      </c>
    </row>
    <row r="36" spans="1:5" ht="12.75">
      <c r="A36" s="78" t="s">
        <v>207</v>
      </c>
      <c r="B36" t="s">
        <v>257</v>
      </c>
      <c r="C36" s="331"/>
      <c r="D36" s="331"/>
      <c r="E36" s="283">
        <f t="shared" si="0"/>
        <v>0</v>
      </c>
    </row>
    <row r="37" spans="1:5" ht="12.75">
      <c r="A37" s="78" t="s">
        <v>208</v>
      </c>
      <c r="B37" t="s">
        <v>257</v>
      </c>
      <c r="C37" s="331"/>
      <c r="D37" s="331"/>
      <c r="E37" s="283">
        <f t="shared" si="0"/>
        <v>0</v>
      </c>
    </row>
    <row r="38" spans="1:5" ht="12.75">
      <c r="A38" s="78" t="s">
        <v>349</v>
      </c>
      <c r="B38" t="s">
        <v>257</v>
      </c>
      <c r="C38" s="331"/>
      <c r="D38" s="331"/>
      <c r="E38" s="283">
        <f t="shared" si="0"/>
        <v>0</v>
      </c>
    </row>
    <row r="39" spans="1:5" ht="12.75">
      <c r="A39" s="78" t="s">
        <v>209</v>
      </c>
      <c r="B39" t="s">
        <v>257</v>
      </c>
      <c r="C39" s="331"/>
      <c r="D39" s="331"/>
      <c r="E39" s="283">
        <f t="shared" si="0"/>
        <v>0</v>
      </c>
    </row>
    <row r="40" spans="1:5" ht="12.75">
      <c r="A40" s="78" t="s">
        <v>210</v>
      </c>
      <c r="B40" t="s">
        <v>257</v>
      </c>
      <c r="C40" s="331"/>
      <c r="D40" s="331"/>
      <c r="E40" s="283">
        <f t="shared" si="0"/>
        <v>0</v>
      </c>
    </row>
    <row r="41" spans="1:5" ht="12.75">
      <c r="A41" s="78" t="s">
        <v>211</v>
      </c>
      <c r="B41" t="s">
        <v>257</v>
      </c>
      <c r="C41" s="330"/>
      <c r="D41" s="331"/>
      <c r="E41" s="283">
        <f t="shared" si="0"/>
        <v>0</v>
      </c>
    </row>
    <row r="42" spans="1:5" ht="12.75">
      <c r="A42" s="78" t="s">
        <v>277</v>
      </c>
      <c r="B42" t="s">
        <v>257</v>
      </c>
      <c r="C42" s="330"/>
      <c r="D42" s="331"/>
      <c r="E42" s="283">
        <f t="shared" si="0"/>
        <v>0</v>
      </c>
    </row>
    <row r="43" spans="1:5" ht="12.75">
      <c r="A43" s="79" t="s">
        <v>288</v>
      </c>
      <c r="B43" t="s">
        <v>257</v>
      </c>
      <c r="C43" s="330"/>
      <c r="D43" s="330"/>
      <c r="E43" s="283">
        <f t="shared" si="0"/>
        <v>0</v>
      </c>
    </row>
    <row r="44" spans="1:5" ht="12.75">
      <c r="A44" s="78" t="s">
        <v>398</v>
      </c>
      <c r="B44" t="s">
        <v>257</v>
      </c>
      <c r="C44" s="330"/>
      <c r="D44" s="330"/>
      <c r="E44" s="283">
        <f t="shared" si="0"/>
        <v>0</v>
      </c>
    </row>
    <row r="45" spans="1:5" ht="12.75">
      <c r="A45" s="78"/>
      <c r="B45" t="s">
        <v>257</v>
      </c>
      <c r="C45" s="330"/>
      <c r="D45" s="330">
        <v>0</v>
      </c>
      <c r="E45" s="283">
        <f t="shared" si="0"/>
        <v>0</v>
      </c>
    </row>
    <row r="46" spans="1:5" ht="12.75">
      <c r="A46" s="78"/>
      <c r="B46" t="s">
        <v>257</v>
      </c>
      <c r="C46" s="330"/>
      <c r="D46" s="330">
        <v>0</v>
      </c>
      <c r="E46" s="283">
        <f t="shared" si="0"/>
        <v>0</v>
      </c>
    </row>
    <row r="47" spans="1:5" ht="12.75">
      <c r="A47" s="78" t="s">
        <v>602</v>
      </c>
      <c r="B47" t="s">
        <v>257</v>
      </c>
      <c r="C47" s="330"/>
      <c r="D47" s="330"/>
      <c r="E47" s="283">
        <f t="shared" si="0"/>
        <v>0</v>
      </c>
    </row>
    <row r="48" spans="1:5" ht="12.75">
      <c r="A48" s="78"/>
      <c r="B48" t="s">
        <v>257</v>
      </c>
      <c r="C48" s="330"/>
      <c r="D48" s="330">
        <v>0</v>
      </c>
      <c r="E48" s="283">
        <f t="shared" si="0"/>
        <v>0</v>
      </c>
    </row>
    <row r="49" spans="1:5" ht="12.75">
      <c r="A49" s="78"/>
      <c r="B49" t="s">
        <v>257</v>
      </c>
      <c r="C49" s="330"/>
      <c r="D49" s="330">
        <v>0</v>
      </c>
      <c r="E49" s="283">
        <f t="shared" si="0"/>
        <v>0</v>
      </c>
    </row>
    <row r="50" spans="1:5" ht="12.75">
      <c r="A50" s="78"/>
      <c r="B50" t="s">
        <v>257</v>
      </c>
      <c r="C50" s="330"/>
      <c r="D50" s="330">
        <v>0</v>
      </c>
      <c r="E50" s="283">
        <f t="shared" si="0"/>
        <v>0</v>
      </c>
    </row>
    <row r="51" spans="1:5" ht="12.75">
      <c r="A51" s="78"/>
      <c r="B51" t="s">
        <v>257</v>
      </c>
      <c r="C51" s="330"/>
      <c r="D51" s="330"/>
      <c r="E51" s="283">
        <f t="shared" si="0"/>
        <v>0</v>
      </c>
    </row>
    <row r="52" spans="1:5" ht="12.75">
      <c r="A52" s="78"/>
      <c r="B52" t="s">
        <v>257</v>
      </c>
      <c r="C52" s="330"/>
      <c r="D52" s="330"/>
      <c r="E52" s="283">
        <f t="shared" si="0"/>
        <v>0</v>
      </c>
    </row>
    <row r="53" spans="1:5" ht="12.75">
      <c r="A53" s="78"/>
      <c r="B53" t="s">
        <v>257</v>
      </c>
      <c r="C53" s="330"/>
      <c r="D53" s="330"/>
      <c r="E53" s="313"/>
    </row>
    <row r="54" spans="1:5" ht="12.75">
      <c r="A54" s="81" t="s">
        <v>236</v>
      </c>
      <c r="B54" t="s">
        <v>260</v>
      </c>
      <c r="C54" s="283">
        <f>SUM(C15:C53)</f>
        <v>103200</v>
      </c>
      <c r="D54" s="283">
        <f>SUM(D15:D53)</f>
        <v>0</v>
      </c>
      <c r="E54" s="283">
        <f>SUM(E15:E53)</f>
        <v>103200</v>
      </c>
    </row>
    <row r="55" ht="12.75">
      <c r="A55" s="78"/>
    </row>
    <row r="56" ht="12.75">
      <c r="A56" s="78" t="s">
        <v>238</v>
      </c>
    </row>
    <row r="57" spans="1:5" ht="12.75">
      <c r="A57" s="308" t="str">
        <f aca="true" t="shared" si="1" ref="A57:A71">IF($E15&gt;$C$11,A15," ")</f>
        <v> </v>
      </c>
      <c r="B57" s="306"/>
      <c r="C57" s="283">
        <f aca="true" t="shared" si="2" ref="C57:E71">IF($E15&gt;$C$11,C15,)</f>
        <v>0</v>
      </c>
      <c r="D57" s="283">
        <f t="shared" si="2"/>
        <v>0</v>
      </c>
      <c r="E57" s="283">
        <f t="shared" si="2"/>
        <v>0</v>
      </c>
    </row>
    <row r="58" spans="1:5" ht="12.75">
      <c r="A58" s="308" t="str">
        <f t="shared" si="1"/>
        <v> </v>
      </c>
      <c r="B58" s="306"/>
      <c r="C58" s="283">
        <f t="shared" si="2"/>
        <v>0</v>
      </c>
      <c r="D58" s="283">
        <f t="shared" si="2"/>
        <v>0</v>
      </c>
      <c r="E58" s="283">
        <f t="shared" si="2"/>
        <v>0</v>
      </c>
    </row>
    <row r="59" spans="1:5" ht="12.75">
      <c r="A59" s="308" t="str">
        <f t="shared" si="1"/>
        <v> </v>
      </c>
      <c r="B59" s="306"/>
      <c r="C59" s="283">
        <f t="shared" si="2"/>
        <v>0</v>
      </c>
      <c r="D59" s="283">
        <f t="shared" si="2"/>
        <v>0</v>
      </c>
      <c r="E59" s="283">
        <f t="shared" si="2"/>
        <v>0</v>
      </c>
    </row>
    <row r="60" spans="1:5" ht="12.75">
      <c r="A60" s="308" t="str">
        <f t="shared" si="1"/>
        <v> </v>
      </c>
      <c r="B60" s="306"/>
      <c r="C60" s="283">
        <f t="shared" si="2"/>
        <v>0</v>
      </c>
      <c r="D60" s="283">
        <f t="shared" si="2"/>
        <v>0</v>
      </c>
      <c r="E60" s="283">
        <f t="shared" si="2"/>
        <v>0</v>
      </c>
    </row>
    <row r="61" spans="1:5" ht="12.75">
      <c r="A61" s="308" t="str">
        <f t="shared" si="1"/>
        <v> </v>
      </c>
      <c r="B61" s="306"/>
      <c r="C61" s="283">
        <f t="shared" si="2"/>
        <v>0</v>
      </c>
      <c r="D61" s="283">
        <f t="shared" si="2"/>
        <v>0</v>
      </c>
      <c r="E61" s="283">
        <f t="shared" si="2"/>
        <v>0</v>
      </c>
    </row>
    <row r="62" spans="1:5" ht="12.75">
      <c r="A62" s="308" t="str">
        <f t="shared" si="1"/>
        <v>Charitable donations-(T2 Sch1 L112)</v>
      </c>
      <c r="B62" s="306"/>
      <c r="C62" s="283">
        <f t="shared" si="2"/>
        <v>103200</v>
      </c>
      <c r="D62" s="283">
        <f t="shared" si="2"/>
        <v>0</v>
      </c>
      <c r="E62" s="283">
        <f t="shared" si="2"/>
        <v>103200</v>
      </c>
    </row>
    <row r="63" spans="1:5" ht="12.75">
      <c r="A63" s="308" t="str">
        <f t="shared" si="1"/>
        <v> </v>
      </c>
      <c r="B63" s="306"/>
      <c r="C63" s="283">
        <f t="shared" si="2"/>
        <v>0</v>
      </c>
      <c r="D63" s="283">
        <f t="shared" si="2"/>
        <v>0</v>
      </c>
      <c r="E63" s="283">
        <f t="shared" si="2"/>
        <v>0</v>
      </c>
    </row>
    <row r="64" spans="1:5" ht="12.75">
      <c r="A64" s="308" t="str">
        <f t="shared" si="1"/>
        <v> </v>
      </c>
      <c r="B64" s="306"/>
      <c r="C64" s="283">
        <f t="shared" si="2"/>
        <v>0</v>
      </c>
      <c r="D64" s="283">
        <f t="shared" si="2"/>
        <v>0</v>
      </c>
      <c r="E64" s="283">
        <f t="shared" si="2"/>
        <v>0</v>
      </c>
    </row>
    <row r="65" spans="1:5" ht="12.75">
      <c r="A65" s="308" t="str">
        <f t="shared" si="1"/>
        <v> </v>
      </c>
      <c r="B65" s="306"/>
      <c r="C65" s="283">
        <f t="shared" si="2"/>
        <v>0</v>
      </c>
      <c r="D65" s="283">
        <f t="shared" si="2"/>
        <v>0</v>
      </c>
      <c r="E65" s="283">
        <f t="shared" si="2"/>
        <v>0</v>
      </c>
    </row>
    <row r="66" spans="1:5" ht="12.75">
      <c r="A66" s="308" t="str">
        <f t="shared" si="1"/>
        <v> </v>
      </c>
      <c r="B66" s="306"/>
      <c r="C66" s="283">
        <f t="shared" si="2"/>
        <v>0</v>
      </c>
      <c r="D66" s="283">
        <f t="shared" si="2"/>
        <v>0</v>
      </c>
      <c r="E66" s="283">
        <f t="shared" si="2"/>
        <v>0</v>
      </c>
    </row>
    <row r="67" spans="1:5" ht="12.75">
      <c r="A67" s="308" t="str">
        <f t="shared" si="1"/>
        <v> </v>
      </c>
      <c r="B67" s="306"/>
      <c r="C67" s="283">
        <f t="shared" si="2"/>
        <v>0</v>
      </c>
      <c r="D67" s="283">
        <f t="shared" si="2"/>
        <v>0</v>
      </c>
      <c r="E67" s="283">
        <f t="shared" si="2"/>
        <v>0</v>
      </c>
    </row>
    <row r="68" spans="1:5" ht="12.75">
      <c r="A68" s="308" t="str">
        <f t="shared" si="1"/>
        <v> </v>
      </c>
      <c r="B68" s="306"/>
      <c r="C68" s="283">
        <f t="shared" si="2"/>
        <v>0</v>
      </c>
      <c r="D68" s="283">
        <f t="shared" si="2"/>
        <v>0</v>
      </c>
      <c r="E68" s="283">
        <f t="shared" si="2"/>
        <v>0</v>
      </c>
    </row>
    <row r="69" spans="1:5" ht="12.75">
      <c r="A69" s="308" t="str">
        <f t="shared" si="1"/>
        <v> </v>
      </c>
      <c r="B69" s="306"/>
      <c r="C69" s="283">
        <f t="shared" si="2"/>
        <v>0</v>
      </c>
      <c r="D69" s="283">
        <f t="shared" si="2"/>
        <v>0</v>
      </c>
      <c r="E69" s="283">
        <f t="shared" si="2"/>
        <v>0</v>
      </c>
    </row>
    <row r="70" spans="1:5" ht="12.75">
      <c r="A70" s="308" t="str">
        <f t="shared" si="1"/>
        <v> </v>
      </c>
      <c r="B70" s="306"/>
      <c r="C70" s="283">
        <f t="shared" si="2"/>
        <v>0</v>
      </c>
      <c r="D70" s="283">
        <f t="shared" si="2"/>
        <v>0</v>
      </c>
      <c r="E70" s="283">
        <f t="shared" si="2"/>
        <v>0</v>
      </c>
    </row>
    <row r="71" spans="1:5" ht="12.75">
      <c r="A71" s="308" t="str">
        <f t="shared" si="1"/>
        <v> </v>
      </c>
      <c r="B71" s="306"/>
      <c r="C71" s="283">
        <f t="shared" si="2"/>
        <v>0</v>
      </c>
      <c r="D71" s="283">
        <f t="shared" si="2"/>
        <v>0</v>
      </c>
      <c r="E71" s="283">
        <f t="shared" si="2"/>
        <v>0</v>
      </c>
    </row>
    <row r="72" spans="1:5" ht="12.75">
      <c r="A72" s="308" t="str">
        <f aca="true" t="shared" si="3" ref="A72:A93">IF($E31&gt;$C$11,A31," ")</f>
        <v> </v>
      </c>
      <c r="B72" s="306"/>
      <c r="C72" s="283">
        <f aca="true" t="shared" si="4" ref="C72:E76">IF($E31&gt;$C$11,C31,)</f>
        <v>0</v>
      </c>
      <c r="D72" s="283">
        <f t="shared" si="4"/>
        <v>0</v>
      </c>
      <c r="E72" s="283">
        <f t="shared" si="4"/>
        <v>0</v>
      </c>
    </row>
    <row r="73" spans="1:5" ht="12.75">
      <c r="A73" s="308" t="str">
        <f t="shared" si="3"/>
        <v> </v>
      </c>
      <c r="B73" s="306"/>
      <c r="C73" s="283">
        <f t="shared" si="4"/>
        <v>0</v>
      </c>
      <c r="D73" s="283">
        <f t="shared" si="4"/>
        <v>0</v>
      </c>
      <c r="E73" s="283">
        <f t="shared" si="4"/>
        <v>0</v>
      </c>
    </row>
    <row r="74" spans="1:5" ht="12.75">
      <c r="A74" s="308" t="str">
        <f t="shared" si="3"/>
        <v> </v>
      </c>
      <c r="B74" s="306"/>
      <c r="C74" s="283">
        <f t="shared" si="4"/>
        <v>0</v>
      </c>
      <c r="D74" s="283">
        <f t="shared" si="4"/>
        <v>0</v>
      </c>
      <c r="E74" s="283">
        <f t="shared" si="4"/>
        <v>0</v>
      </c>
    </row>
    <row r="75" spans="1:5" ht="12.75">
      <c r="A75" s="308" t="str">
        <f t="shared" si="3"/>
        <v> </v>
      </c>
      <c r="B75" s="306"/>
      <c r="C75" s="283">
        <f t="shared" si="4"/>
        <v>0</v>
      </c>
      <c r="D75" s="283">
        <f t="shared" si="4"/>
        <v>0</v>
      </c>
      <c r="E75" s="283">
        <f t="shared" si="4"/>
        <v>0</v>
      </c>
    </row>
    <row r="76" spans="1:5" ht="12.75">
      <c r="A76" s="308" t="str">
        <f t="shared" si="3"/>
        <v> </v>
      </c>
      <c r="B76" s="306"/>
      <c r="C76" s="283">
        <f t="shared" si="4"/>
        <v>0</v>
      </c>
      <c r="D76" s="283">
        <f t="shared" si="4"/>
        <v>0</v>
      </c>
      <c r="E76" s="283">
        <f t="shared" si="4"/>
        <v>0</v>
      </c>
    </row>
    <row r="77" spans="1:5" ht="12.75">
      <c r="A77" s="308" t="str">
        <f t="shared" si="3"/>
        <v> </v>
      </c>
      <c r="B77" s="306"/>
      <c r="C77" s="283">
        <f aca="true" t="shared" si="5" ref="C77:E91">IF($E36&gt;$C$11,C36,)</f>
        <v>0</v>
      </c>
      <c r="D77" s="283">
        <f t="shared" si="5"/>
        <v>0</v>
      </c>
      <c r="E77" s="283">
        <f t="shared" si="5"/>
        <v>0</v>
      </c>
    </row>
    <row r="78" spans="1:5" ht="12.75">
      <c r="A78" s="308" t="str">
        <f t="shared" si="3"/>
        <v> </v>
      </c>
      <c r="B78" s="306"/>
      <c r="C78" s="283">
        <f t="shared" si="5"/>
        <v>0</v>
      </c>
      <c r="D78" s="283">
        <f t="shared" si="5"/>
        <v>0</v>
      </c>
      <c r="E78" s="283">
        <f t="shared" si="5"/>
        <v>0</v>
      </c>
    </row>
    <row r="79" spans="1:5" ht="12.75">
      <c r="A79" s="308" t="str">
        <f t="shared" si="3"/>
        <v> </v>
      </c>
      <c r="B79" s="306"/>
      <c r="C79" s="283">
        <f t="shared" si="5"/>
        <v>0</v>
      </c>
      <c r="D79" s="283">
        <f t="shared" si="5"/>
        <v>0</v>
      </c>
      <c r="E79" s="283">
        <f t="shared" si="5"/>
        <v>0</v>
      </c>
    </row>
    <row r="80" spans="1:5" ht="12.75">
      <c r="A80" s="308" t="str">
        <f t="shared" si="3"/>
        <v> </v>
      </c>
      <c r="B80" s="306"/>
      <c r="C80" s="283">
        <f t="shared" si="5"/>
        <v>0</v>
      </c>
      <c r="D80" s="283">
        <f t="shared" si="5"/>
        <v>0</v>
      </c>
      <c r="E80" s="283">
        <f t="shared" si="5"/>
        <v>0</v>
      </c>
    </row>
    <row r="81" spans="1:5" ht="12.75">
      <c r="A81" s="308" t="str">
        <f t="shared" si="3"/>
        <v> </v>
      </c>
      <c r="B81" s="306"/>
      <c r="C81" s="283">
        <f t="shared" si="5"/>
        <v>0</v>
      </c>
      <c r="D81" s="283">
        <f t="shared" si="5"/>
        <v>0</v>
      </c>
      <c r="E81" s="283">
        <f t="shared" si="5"/>
        <v>0</v>
      </c>
    </row>
    <row r="82" spans="1:5" ht="12.75">
      <c r="A82" s="308" t="str">
        <f t="shared" si="3"/>
        <v> </v>
      </c>
      <c r="B82" s="306"/>
      <c r="C82" s="283">
        <f t="shared" si="5"/>
        <v>0</v>
      </c>
      <c r="D82" s="283">
        <f t="shared" si="5"/>
        <v>0</v>
      </c>
      <c r="E82" s="283">
        <f t="shared" si="5"/>
        <v>0</v>
      </c>
    </row>
    <row r="83" spans="1:5" ht="12.75">
      <c r="A83" s="308" t="str">
        <f t="shared" si="3"/>
        <v> </v>
      </c>
      <c r="B83" s="306"/>
      <c r="C83" s="283">
        <f t="shared" si="5"/>
        <v>0</v>
      </c>
      <c r="D83" s="283">
        <f t="shared" si="5"/>
        <v>0</v>
      </c>
      <c r="E83" s="283">
        <f t="shared" si="5"/>
        <v>0</v>
      </c>
    </row>
    <row r="84" spans="1:5" ht="12.75">
      <c r="A84" s="308" t="str">
        <f t="shared" si="3"/>
        <v> </v>
      </c>
      <c r="B84" s="306"/>
      <c r="C84" s="283">
        <f t="shared" si="5"/>
        <v>0</v>
      </c>
      <c r="D84" s="283">
        <f t="shared" si="5"/>
        <v>0</v>
      </c>
      <c r="E84" s="283">
        <f t="shared" si="5"/>
        <v>0</v>
      </c>
    </row>
    <row r="85" spans="1:5" ht="12.75">
      <c r="A85" s="308" t="str">
        <f t="shared" si="3"/>
        <v> </v>
      </c>
      <c r="B85" s="306"/>
      <c r="C85" s="283">
        <f t="shared" si="5"/>
        <v>0</v>
      </c>
      <c r="D85" s="283">
        <f t="shared" si="5"/>
        <v>0</v>
      </c>
      <c r="E85" s="283">
        <f t="shared" si="5"/>
        <v>0</v>
      </c>
    </row>
    <row r="86" spans="1:5" ht="12.75">
      <c r="A86" s="308" t="str">
        <f t="shared" si="3"/>
        <v> </v>
      </c>
      <c r="B86" s="306"/>
      <c r="C86" s="283">
        <f t="shared" si="5"/>
        <v>0</v>
      </c>
      <c r="D86" s="283">
        <f t="shared" si="5"/>
        <v>0</v>
      </c>
      <c r="E86" s="283">
        <f t="shared" si="5"/>
        <v>0</v>
      </c>
    </row>
    <row r="87" spans="1:5" ht="12.75">
      <c r="A87" s="308" t="str">
        <f t="shared" si="3"/>
        <v> </v>
      </c>
      <c r="B87" s="306"/>
      <c r="C87" s="283">
        <f t="shared" si="5"/>
        <v>0</v>
      </c>
      <c r="D87" s="283">
        <f t="shared" si="5"/>
        <v>0</v>
      </c>
      <c r="E87" s="283">
        <f t="shared" si="5"/>
        <v>0</v>
      </c>
    </row>
    <row r="88" spans="1:5" ht="12.75">
      <c r="A88" s="308" t="str">
        <f t="shared" si="3"/>
        <v> </v>
      </c>
      <c r="B88" s="306"/>
      <c r="C88" s="283">
        <f t="shared" si="5"/>
        <v>0</v>
      </c>
      <c r="D88" s="283">
        <f t="shared" si="5"/>
        <v>0</v>
      </c>
      <c r="E88" s="283">
        <f t="shared" si="5"/>
        <v>0</v>
      </c>
    </row>
    <row r="89" spans="1:5" ht="12.75">
      <c r="A89" s="308" t="str">
        <f t="shared" si="3"/>
        <v> </v>
      </c>
      <c r="B89" s="306"/>
      <c r="C89" s="283">
        <f t="shared" si="5"/>
        <v>0</v>
      </c>
      <c r="D89" s="283">
        <f t="shared" si="5"/>
        <v>0</v>
      </c>
      <c r="E89" s="283">
        <f t="shared" si="5"/>
        <v>0</v>
      </c>
    </row>
    <row r="90" spans="1:5" ht="12.75">
      <c r="A90" s="308" t="str">
        <f t="shared" si="3"/>
        <v> </v>
      </c>
      <c r="B90" s="306"/>
      <c r="C90" s="283">
        <f t="shared" si="5"/>
        <v>0</v>
      </c>
      <c r="D90" s="283">
        <f t="shared" si="5"/>
        <v>0</v>
      </c>
      <c r="E90" s="283">
        <f t="shared" si="5"/>
        <v>0</v>
      </c>
    </row>
    <row r="91" spans="1:5" ht="12.75">
      <c r="A91" s="308" t="str">
        <f t="shared" si="3"/>
        <v> </v>
      </c>
      <c r="B91" s="306"/>
      <c r="C91" s="283">
        <f t="shared" si="5"/>
        <v>0</v>
      </c>
      <c r="D91" s="283">
        <f t="shared" si="5"/>
        <v>0</v>
      </c>
      <c r="E91" s="283">
        <f t="shared" si="5"/>
        <v>0</v>
      </c>
    </row>
    <row r="92" spans="1:5" ht="12.75">
      <c r="A92" s="308" t="str">
        <f t="shared" si="3"/>
        <v> </v>
      </c>
      <c r="B92" s="306"/>
      <c r="C92" s="283">
        <f aca="true" t="shared" si="6" ref="C92:E93">IF($E51&gt;$C$11,C51,)</f>
        <v>0</v>
      </c>
      <c r="D92" s="283">
        <f t="shared" si="6"/>
        <v>0</v>
      </c>
      <c r="E92" s="283">
        <f t="shared" si="6"/>
        <v>0</v>
      </c>
    </row>
    <row r="93" spans="1:5" ht="12.75">
      <c r="A93" s="308" t="str">
        <f t="shared" si="3"/>
        <v> </v>
      </c>
      <c r="B93" s="306"/>
      <c r="C93" s="283">
        <f t="shared" si="6"/>
        <v>0</v>
      </c>
      <c r="D93" s="283">
        <f t="shared" si="6"/>
        <v>0</v>
      </c>
      <c r="E93" s="283">
        <f t="shared" si="6"/>
        <v>0</v>
      </c>
    </row>
    <row r="94" spans="1:5" ht="12.75">
      <c r="A94" s="309"/>
      <c r="B94" s="307"/>
      <c r="C94" s="313"/>
      <c r="D94" s="313"/>
      <c r="E94" s="313"/>
    </row>
    <row r="95" spans="1:5" ht="12.75">
      <c r="A95" s="310" t="s">
        <v>212</v>
      </c>
      <c r="B95" s="306"/>
      <c r="C95" s="283">
        <f>SUM(C57:C93)</f>
        <v>103200</v>
      </c>
      <c r="D95" s="283">
        <f>SUM(D57:D93)</f>
        <v>0</v>
      </c>
      <c r="E95" s="283">
        <f>SUM(E57:E93)</f>
        <v>103200</v>
      </c>
    </row>
    <row r="96" spans="1:5" ht="12.75">
      <c r="A96" s="310" t="s">
        <v>287</v>
      </c>
      <c r="B96" s="311"/>
      <c r="C96" s="362">
        <f>C54-C95</f>
        <v>0</v>
      </c>
      <c r="D96" s="362">
        <f>D54-D95</f>
        <v>0</v>
      </c>
      <c r="E96" s="362">
        <f>E54-E95</f>
        <v>0</v>
      </c>
    </row>
    <row r="97" spans="1:5" ht="12.75">
      <c r="A97" s="310" t="s">
        <v>236</v>
      </c>
      <c r="B97" s="311"/>
      <c r="C97" s="362">
        <f>C95+C96</f>
        <v>103200</v>
      </c>
      <c r="D97" s="362">
        <f>D95+D96</f>
        <v>0</v>
      </c>
      <c r="E97" s="362">
        <f>E95+E96</f>
        <v>103200</v>
      </c>
    </row>
    <row r="98" ht="12.75">
      <c r="A98" s="78"/>
    </row>
    <row r="99" ht="12.75">
      <c r="A99" s="78" t="s">
        <v>213</v>
      </c>
    </row>
    <row r="100" spans="1:5" ht="12.75">
      <c r="A100" s="78" t="s">
        <v>214</v>
      </c>
      <c r="B100" s="8" t="s">
        <v>258</v>
      </c>
      <c r="C100" s="330"/>
      <c r="D100" s="330"/>
      <c r="E100" s="283">
        <f>C100-D100</f>
        <v>0</v>
      </c>
    </row>
    <row r="101" spans="1:5" ht="12.75">
      <c r="A101" s="82" t="s">
        <v>218</v>
      </c>
      <c r="B101" s="8" t="s">
        <v>258</v>
      </c>
      <c r="C101" s="330"/>
      <c r="D101" s="330"/>
      <c r="E101" s="283">
        <f aca="true" t="shared" si="7" ref="E101:E120">C101-D101</f>
        <v>0</v>
      </c>
    </row>
    <row r="102" spans="1:5" ht="12.75">
      <c r="A102" s="82" t="s">
        <v>215</v>
      </c>
      <c r="B102" s="8" t="s">
        <v>258</v>
      </c>
      <c r="C102" s="330"/>
      <c r="D102" s="330"/>
      <c r="E102" s="283">
        <f t="shared" si="7"/>
        <v>0</v>
      </c>
    </row>
    <row r="103" spans="1:5" ht="12.75">
      <c r="A103" s="82" t="s">
        <v>350</v>
      </c>
      <c r="B103" s="8" t="s">
        <v>258</v>
      </c>
      <c r="C103" s="330"/>
      <c r="D103" s="330"/>
      <c r="E103" s="283">
        <f t="shared" si="7"/>
        <v>0</v>
      </c>
    </row>
    <row r="104" spans="1:5" ht="12.75">
      <c r="A104" s="78" t="s">
        <v>278</v>
      </c>
      <c r="B104" s="8" t="s">
        <v>258</v>
      </c>
      <c r="C104" s="330"/>
      <c r="D104" s="330"/>
      <c r="E104" s="283">
        <f t="shared" si="7"/>
        <v>0</v>
      </c>
    </row>
    <row r="105" spans="1:5" ht="12.75">
      <c r="A105" s="78" t="s">
        <v>474</v>
      </c>
      <c r="B105" s="8" t="s">
        <v>258</v>
      </c>
      <c r="C105" s="330"/>
      <c r="D105" s="330"/>
      <c r="E105" s="283">
        <f t="shared" si="7"/>
        <v>0</v>
      </c>
    </row>
    <row r="106" spans="1:5" ht="12.75">
      <c r="A106" s="78" t="s">
        <v>279</v>
      </c>
      <c r="B106" s="8" t="s">
        <v>258</v>
      </c>
      <c r="C106" s="330"/>
      <c r="D106" s="330"/>
      <c r="E106" s="283">
        <f t="shared" si="7"/>
        <v>0</v>
      </c>
    </row>
    <row r="107" spans="1:5" ht="12.75">
      <c r="A107" s="78" t="s">
        <v>233</v>
      </c>
      <c r="B107" s="8" t="s">
        <v>258</v>
      </c>
      <c r="C107" s="330"/>
      <c r="D107" s="330"/>
      <c r="E107" s="283">
        <f t="shared" si="7"/>
        <v>0</v>
      </c>
    </row>
    <row r="108" spans="1:5" ht="12.75">
      <c r="A108" s="78" t="s">
        <v>234</v>
      </c>
      <c r="B108" s="8" t="s">
        <v>258</v>
      </c>
      <c r="C108" s="330"/>
      <c r="D108" s="330"/>
      <c r="E108" s="283">
        <f t="shared" si="7"/>
        <v>0</v>
      </c>
    </row>
    <row r="109" spans="1:5" ht="12.75">
      <c r="A109" s="78" t="s">
        <v>235</v>
      </c>
      <c r="B109" s="8" t="s">
        <v>258</v>
      </c>
      <c r="C109" s="330"/>
      <c r="D109" s="330"/>
      <c r="E109" s="283">
        <f t="shared" si="7"/>
        <v>0</v>
      </c>
    </row>
    <row r="110" spans="1:5" ht="12.75">
      <c r="A110" s="79" t="s">
        <v>289</v>
      </c>
      <c r="B110" s="8" t="s">
        <v>258</v>
      </c>
      <c r="C110" s="330"/>
      <c r="D110" s="330"/>
      <c r="E110" s="283"/>
    </row>
    <row r="111" spans="1:5" ht="12.75">
      <c r="A111" s="78" t="s">
        <v>399</v>
      </c>
      <c r="B111" s="8" t="s">
        <v>258</v>
      </c>
      <c r="C111" s="330"/>
      <c r="D111" s="330"/>
      <c r="E111" s="283">
        <f t="shared" si="7"/>
        <v>0</v>
      </c>
    </row>
    <row r="112" spans="1:5" ht="12.75">
      <c r="A112" s="78" t="s">
        <v>536</v>
      </c>
      <c r="B112" s="8" t="s">
        <v>258</v>
      </c>
      <c r="C112" s="330"/>
      <c r="D112" s="330"/>
      <c r="E112" s="283">
        <f t="shared" si="7"/>
        <v>0</v>
      </c>
    </row>
    <row r="113" spans="1:5" ht="12.75">
      <c r="A113" s="78" t="s">
        <v>537</v>
      </c>
      <c r="B113" s="8" t="s">
        <v>258</v>
      </c>
      <c r="C113" s="330"/>
      <c r="D113" s="330"/>
      <c r="E113" s="283">
        <f t="shared" si="7"/>
        <v>0</v>
      </c>
    </row>
    <row r="114" spans="1:5" ht="12.75">
      <c r="A114" s="78" t="s">
        <v>538</v>
      </c>
      <c r="B114" s="8" t="s">
        <v>258</v>
      </c>
      <c r="C114" s="330"/>
      <c r="D114" s="330"/>
      <c r="E114" s="283">
        <f t="shared" si="7"/>
        <v>0</v>
      </c>
    </row>
    <row r="115" spans="1:5" ht="12.75">
      <c r="A115" s="78"/>
      <c r="B115" s="8" t="s">
        <v>258</v>
      </c>
      <c r="C115" s="330"/>
      <c r="D115" s="330">
        <v>0</v>
      </c>
      <c r="E115" s="283">
        <f t="shared" si="7"/>
        <v>0</v>
      </c>
    </row>
    <row r="116" spans="1:5" ht="12.75">
      <c r="A116" s="78" t="s">
        <v>603</v>
      </c>
      <c r="B116" s="8" t="s">
        <v>258</v>
      </c>
      <c r="C116" s="330"/>
      <c r="D116" s="330"/>
      <c r="E116" s="283">
        <f t="shared" si="7"/>
        <v>0</v>
      </c>
    </row>
    <row r="117" spans="1:5" ht="12.75">
      <c r="A117" s="78" t="s">
        <v>627</v>
      </c>
      <c r="B117" s="8" t="s">
        <v>258</v>
      </c>
      <c r="C117" s="330">
        <v>16055</v>
      </c>
      <c r="D117" s="330">
        <v>0</v>
      </c>
      <c r="E117" s="283">
        <f t="shared" si="7"/>
        <v>16055</v>
      </c>
    </row>
    <row r="118" spans="1:5" ht="12.75">
      <c r="A118" s="78" t="s">
        <v>628</v>
      </c>
      <c r="B118" s="8" t="s">
        <v>258</v>
      </c>
      <c r="C118" s="330">
        <v>29046</v>
      </c>
      <c r="D118" s="330">
        <v>0</v>
      </c>
      <c r="E118" s="283">
        <f t="shared" si="7"/>
        <v>29046</v>
      </c>
    </row>
    <row r="119" spans="1:5" ht="12.75">
      <c r="A119" s="78" t="s">
        <v>629</v>
      </c>
      <c r="B119" s="8" t="s">
        <v>258</v>
      </c>
      <c r="C119" s="330">
        <v>96659</v>
      </c>
      <c r="D119" s="330">
        <v>0</v>
      </c>
      <c r="E119" s="283">
        <f t="shared" si="7"/>
        <v>96659</v>
      </c>
    </row>
    <row r="120" spans="1:5" ht="12.75">
      <c r="A120" s="78"/>
      <c r="B120" s="8" t="s">
        <v>258</v>
      </c>
      <c r="C120" s="330"/>
      <c r="D120" s="330"/>
      <c r="E120" s="283">
        <f t="shared" si="7"/>
        <v>0</v>
      </c>
    </row>
    <row r="121" spans="1:5" ht="12.75">
      <c r="A121" s="78" t="s">
        <v>237</v>
      </c>
      <c r="B121" s="8" t="s">
        <v>260</v>
      </c>
      <c r="C121" s="283">
        <f>SUM(C100:C120)</f>
        <v>141760</v>
      </c>
      <c r="D121" s="283">
        <f>SUM(D100:D120)</f>
        <v>0</v>
      </c>
      <c r="E121" s="283">
        <f>SUM(E100:E120)</f>
        <v>141760</v>
      </c>
    </row>
    <row r="122" ht="12.75">
      <c r="A122" s="78"/>
    </row>
    <row r="123" ht="12.75">
      <c r="A123" s="78"/>
    </row>
    <row r="124" ht="12.75">
      <c r="A124" s="78" t="s">
        <v>240</v>
      </c>
    </row>
    <row r="125" spans="1:5" ht="12.75">
      <c r="A125" s="308" t="str">
        <f>IF($E100&gt;$C$11,A100," ")</f>
        <v> </v>
      </c>
      <c r="B125" s="306"/>
      <c r="C125" s="283">
        <f aca="true" t="shared" si="8" ref="C125:E143">IF($E100&gt;$C$11,C100,)</f>
        <v>0</v>
      </c>
      <c r="D125" s="283">
        <f t="shared" si="8"/>
        <v>0</v>
      </c>
      <c r="E125" s="283">
        <f t="shared" si="8"/>
        <v>0</v>
      </c>
    </row>
    <row r="126" spans="1:5" ht="12.75">
      <c r="A126" s="308" t="str">
        <f aca="true" t="shared" si="9" ref="A126:A145">IF($E101&gt;$C$11,A101," ")</f>
        <v> </v>
      </c>
      <c r="B126" s="306"/>
      <c r="C126" s="283">
        <f t="shared" si="8"/>
        <v>0</v>
      </c>
      <c r="D126" s="283">
        <f t="shared" si="8"/>
        <v>0</v>
      </c>
      <c r="E126" s="283">
        <f t="shared" si="8"/>
        <v>0</v>
      </c>
    </row>
    <row r="127" spans="1:5" ht="12.75">
      <c r="A127" s="308" t="str">
        <f t="shared" si="9"/>
        <v> </v>
      </c>
      <c r="B127" s="306"/>
      <c r="C127" s="283">
        <f t="shared" si="8"/>
        <v>0</v>
      </c>
      <c r="D127" s="283">
        <f t="shared" si="8"/>
        <v>0</v>
      </c>
      <c r="E127" s="283">
        <f t="shared" si="8"/>
        <v>0</v>
      </c>
    </row>
    <row r="128" spans="1:5" ht="12.75">
      <c r="A128" s="308" t="str">
        <f t="shared" si="9"/>
        <v> </v>
      </c>
      <c r="B128" s="306"/>
      <c r="C128" s="283">
        <f t="shared" si="8"/>
        <v>0</v>
      </c>
      <c r="D128" s="283">
        <f t="shared" si="8"/>
        <v>0</v>
      </c>
      <c r="E128" s="283">
        <f t="shared" si="8"/>
        <v>0</v>
      </c>
    </row>
    <row r="129" spans="1:5" ht="12.75">
      <c r="A129" s="308" t="str">
        <f t="shared" si="9"/>
        <v> </v>
      </c>
      <c r="B129" s="306"/>
      <c r="C129" s="283">
        <f t="shared" si="8"/>
        <v>0</v>
      </c>
      <c r="D129" s="283">
        <f t="shared" si="8"/>
        <v>0</v>
      </c>
      <c r="E129" s="283">
        <f t="shared" si="8"/>
        <v>0</v>
      </c>
    </row>
    <row r="130" spans="1:5" ht="12.75">
      <c r="A130" s="308" t="str">
        <f t="shared" si="9"/>
        <v> </v>
      </c>
      <c r="B130" s="306"/>
      <c r="C130" s="283">
        <f t="shared" si="8"/>
        <v>0</v>
      </c>
      <c r="D130" s="283">
        <f t="shared" si="8"/>
        <v>0</v>
      </c>
      <c r="E130" s="283">
        <f t="shared" si="8"/>
        <v>0</v>
      </c>
    </row>
    <row r="131" spans="1:5" ht="12.75">
      <c r="A131" s="308" t="str">
        <f t="shared" si="9"/>
        <v> </v>
      </c>
      <c r="B131" s="306"/>
      <c r="C131" s="283">
        <f t="shared" si="8"/>
        <v>0</v>
      </c>
      <c r="D131" s="283">
        <f t="shared" si="8"/>
        <v>0</v>
      </c>
      <c r="E131" s="283">
        <f t="shared" si="8"/>
        <v>0</v>
      </c>
    </row>
    <row r="132" spans="1:5" ht="12.75">
      <c r="A132" s="308" t="str">
        <f t="shared" si="9"/>
        <v> </v>
      </c>
      <c r="B132" s="306"/>
      <c r="C132" s="283">
        <f t="shared" si="8"/>
        <v>0</v>
      </c>
      <c r="D132" s="283">
        <f t="shared" si="8"/>
        <v>0</v>
      </c>
      <c r="E132" s="283">
        <f t="shared" si="8"/>
        <v>0</v>
      </c>
    </row>
    <row r="133" spans="1:5" ht="12.75">
      <c r="A133" s="308" t="str">
        <f t="shared" si="9"/>
        <v> </v>
      </c>
      <c r="B133" s="306"/>
      <c r="C133" s="283">
        <f t="shared" si="8"/>
        <v>0</v>
      </c>
      <c r="D133" s="283">
        <f t="shared" si="8"/>
        <v>0</v>
      </c>
      <c r="E133" s="283">
        <f t="shared" si="8"/>
        <v>0</v>
      </c>
    </row>
    <row r="134" spans="1:5" ht="12.75">
      <c r="A134" s="308" t="str">
        <f t="shared" si="9"/>
        <v> </v>
      </c>
      <c r="B134" s="306"/>
      <c r="C134" s="283">
        <f t="shared" si="8"/>
        <v>0</v>
      </c>
      <c r="D134" s="283">
        <f t="shared" si="8"/>
        <v>0</v>
      </c>
      <c r="E134" s="283">
        <f t="shared" si="8"/>
        <v>0</v>
      </c>
    </row>
    <row r="135" spans="1:5" ht="12.75">
      <c r="A135" s="308" t="str">
        <f t="shared" si="9"/>
        <v> </v>
      </c>
      <c r="B135" s="306"/>
      <c r="C135" s="283">
        <f t="shared" si="8"/>
        <v>0</v>
      </c>
      <c r="D135" s="283">
        <f t="shared" si="8"/>
        <v>0</v>
      </c>
      <c r="E135" s="283">
        <f t="shared" si="8"/>
        <v>0</v>
      </c>
    </row>
    <row r="136" spans="1:5" ht="12.75">
      <c r="A136" s="308" t="str">
        <f>IF($E111&gt;$C$11,A111," ")</f>
        <v> </v>
      </c>
      <c r="B136" s="306"/>
      <c r="C136" s="283">
        <f t="shared" si="8"/>
        <v>0</v>
      </c>
      <c r="D136" s="283">
        <f t="shared" si="8"/>
        <v>0</v>
      </c>
      <c r="E136" s="283">
        <f t="shared" si="8"/>
        <v>0</v>
      </c>
    </row>
    <row r="137" spans="1:5" ht="12.75">
      <c r="A137" s="308" t="str">
        <f t="shared" si="9"/>
        <v> </v>
      </c>
      <c r="B137" s="306"/>
      <c r="C137" s="283">
        <f t="shared" si="8"/>
        <v>0</v>
      </c>
      <c r="D137" s="283">
        <f t="shared" si="8"/>
        <v>0</v>
      </c>
      <c r="E137" s="283">
        <f t="shared" si="8"/>
        <v>0</v>
      </c>
    </row>
    <row r="138" spans="1:5" ht="12.75">
      <c r="A138" s="308" t="str">
        <f>IF($E113&gt;$C$11,A113," ")</f>
        <v> </v>
      </c>
      <c r="B138" s="306"/>
      <c r="C138" s="283">
        <f t="shared" si="8"/>
        <v>0</v>
      </c>
      <c r="D138" s="283">
        <f t="shared" si="8"/>
        <v>0</v>
      </c>
      <c r="E138" s="283">
        <f t="shared" si="8"/>
        <v>0</v>
      </c>
    </row>
    <row r="139" spans="1:5" ht="12.75">
      <c r="A139" s="308" t="str">
        <f t="shared" si="9"/>
        <v> </v>
      </c>
      <c r="B139" s="306"/>
      <c r="C139" s="283">
        <f t="shared" si="8"/>
        <v>0</v>
      </c>
      <c r="D139" s="283">
        <f t="shared" si="8"/>
        <v>0</v>
      </c>
      <c r="E139" s="283">
        <f t="shared" si="8"/>
        <v>0</v>
      </c>
    </row>
    <row r="140" spans="1:5" ht="12.75">
      <c r="A140" s="308" t="str">
        <f t="shared" si="9"/>
        <v> </v>
      </c>
      <c r="B140" s="306"/>
      <c r="C140" s="283">
        <f t="shared" si="8"/>
        <v>0</v>
      </c>
      <c r="D140" s="283">
        <f t="shared" si="8"/>
        <v>0</v>
      </c>
      <c r="E140" s="283">
        <f t="shared" si="8"/>
        <v>0</v>
      </c>
    </row>
    <row r="141" spans="1:5" ht="12.75">
      <c r="A141" s="308" t="str">
        <f t="shared" si="9"/>
        <v> </v>
      </c>
      <c r="B141" s="306"/>
      <c r="C141" s="283">
        <f t="shared" si="8"/>
        <v>0</v>
      </c>
      <c r="D141" s="283">
        <f t="shared" si="8"/>
        <v>0</v>
      </c>
      <c r="E141" s="283">
        <f t="shared" si="8"/>
        <v>0</v>
      </c>
    </row>
    <row r="142" spans="1:5" ht="12.75">
      <c r="A142" s="308" t="str">
        <f t="shared" si="9"/>
        <v>Settlement Variance-(T2 Sch1 L390)</v>
      </c>
      <c r="B142" s="306"/>
      <c r="C142" s="283">
        <f t="shared" si="8"/>
        <v>16055</v>
      </c>
      <c r="D142" s="283">
        <f t="shared" si="8"/>
        <v>0</v>
      </c>
      <c r="E142" s="283">
        <f t="shared" si="8"/>
        <v>16055</v>
      </c>
    </row>
    <row r="143" spans="1:5" ht="12.75">
      <c r="A143" s="308" t="str">
        <f t="shared" si="9"/>
        <v>Ontario Capital Tax per tax return-(T2 Sch1 L391)</v>
      </c>
      <c r="B143" s="306"/>
      <c r="C143" s="283">
        <f t="shared" si="8"/>
        <v>29046</v>
      </c>
      <c r="D143" s="283">
        <f t="shared" si="8"/>
        <v>0</v>
      </c>
      <c r="E143" s="283">
        <f t="shared" si="8"/>
        <v>29046</v>
      </c>
    </row>
    <row r="144" spans="1:5" ht="12.75">
      <c r="A144" s="308" t="str">
        <f t="shared" si="9"/>
        <v>Regulatory Assets recovered-(T2 Sch1 L392)</v>
      </c>
      <c r="B144" s="306"/>
      <c r="C144" s="283">
        <f aca="true" t="shared" si="10" ref="C144:E145">IF($E119&gt;$C$11,C119,)</f>
        <v>96659</v>
      </c>
      <c r="D144" s="283">
        <f t="shared" si="10"/>
        <v>0</v>
      </c>
      <c r="E144" s="283">
        <f t="shared" si="10"/>
        <v>96659</v>
      </c>
    </row>
    <row r="145" spans="1:5" ht="12.75">
      <c r="A145" s="308" t="str">
        <f t="shared" si="9"/>
        <v> </v>
      </c>
      <c r="B145" s="306"/>
      <c r="C145" s="283">
        <f t="shared" si="10"/>
        <v>0</v>
      </c>
      <c r="D145" s="283">
        <f t="shared" si="10"/>
        <v>0</v>
      </c>
      <c r="E145" s="283">
        <f t="shared" si="10"/>
        <v>0</v>
      </c>
    </row>
    <row r="146" spans="1:5" ht="12.75">
      <c r="A146" s="312" t="s">
        <v>286</v>
      </c>
      <c r="B146" s="306"/>
      <c r="C146" s="283">
        <f>SUM(C125:C145)</f>
        <v>141760</v>
      </c>
      <c r="D146" s="283">
        <f>SUM(D125:D145)</f>
        <v>0</v>
      </c>
      <c r="E146" s="283">
        <f>SUM(E125:E145)</f>
        <v>141760</v>
      </c>
    </row>
    <row r="147" spans="1:5" ht="12.75">
      <c r="A147" s="312" t="s">
        <v>285</v>
      </c>
      <c r="B147" s="306"/>
      <c r="C147" s="283">
        <f>C121-C146</f>
        <v>0</v>
      </c>
      <c r="D147" s="283">
        <f>D121-D146</f>
        <v>0</v>
      </c>
      <c r="E147" s="283">
        <f>E121-E146</f>
        <v>0</v>
      </c>
    </row>
    <row r="148" spans="1:5" ht="12.75">
      <c r="A148" s="312" t="s">
        <v>237</v>
      </c>
      <c r="B148" s="306"/>
      <c r="C148" s="283">
        <f>C146+C147</f>
        <v>141760</v>
      </c>
      <c r="D148" s="283">
        <f>D146+D147</f>
        <v>0</v>
      </c>
      <c r="E148" s="283">
        <f>E146+E147</f>
        <v>141760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5" right="0.25" top="0.54" bottom="0.45" header="0.25" footer="0"/>
  <pageSetup horizontalDpi="600" verticalDpi="600" orientation="portrait" scale="70" r:id="rId1"/>
  <headerFooter alignWithMargins="0">
    <oddHeader>&amp;C&amp;F</oddHeader>
    <oddFooter>&amp;C&amp;A&amp;RPage &amp;P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34" t="str">
        <f>REGINFO!A1</f>
        <v>SIMPIL RRR FILING</v>
      </c>
      <c r="B1" s="435"/>
      <c r="C1" s="394"/>
      <c r="D1" s="394"/>
      <c r="E1" s="394"/>
      <c r="F1" s="394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8" ht="12.75">
      <c r="A2" s="395" t="s">
        <v>173</v>
      </c>
      <c r="B2" s="394"/>
      <c r="C2" s="394"/>
      <c r="D2" s="394"/>
      <c r="E2" s="394"/>
      <c r="F2" s="396" t="str">
        <f>REGINFO!E1</f>
        <v>Version 2005.1</v>
      </c>
      <c r="G2" s="208"/>
      <c r="H2" s="208"/>
      <c r="I2" s="208"/>
      <c r="J2" s="208"/>
      <c r="K2" s="271"/>
      <c r="L2" s="208"/>
      <c r="M2" s="208"/>
      <c r="N2" s="208"/>
      <c r="O2" s="208"/>
      <c r="P2" s="208"/>
      <c r="Q2" s="40"/>
      <c r="R2" s="40"/>
    </row>
    <row r="3" spans="1:18" ht="12.75">
      <c r="A3" s="395" t="s">
        <v>401</v>
      </c>
      <c r="B3" s="394"/>
      <c r="C3" s="394"/>
      <c r="D3" s="394"/>
      <c r="E3" s="394"/>
      <c r="F3" s="396" t="str">
        <f>REGINFO!E2</f>
        <v>RRR # 2.1.8</v>
      </c>
      <c r="G3" s="208"/>
      <c r="H3" s="208"/>
      <c r="I3" s="208"/>
      <c r="J3" s="208"/>
      <c r="K3" s="271"/>
      <c r="L3" s="208"/>
      <c r="M3" s="208"/>
      <c r="N3" s="208"/>
      <c r="O3" s="208"/>
      <c r="P3" s="208"/>
      <c r="Q3" s="40"/>
      <c r="R3" s="40"/>
    </row>
    <row r="4" spans="1:18" ht="12.75">
      <c r="A4" s="545" t="str">
        <f>REGINFO!A3</f>
        <v>Utility Name:  Centre Wellington Hydro Ltd</v>
      </c>
      <c r="B4" s="533"/>
      <c r="C4" s="533"/>
      <c r="D4" s="533"/>
      <c r="E4" s="394"/>
      <c r="F4" s="394"/>
      <c r="G4" s="208"/>
      <c r="H4" s="208"/>
      <c r="I4" s="208"/>
      <c r="J4" s="208"/>
      <c r="K4" s="271"/>
      <c r="L4" s="208"/>
      <c r="M4" s="208"/>
      <c r="N4" s="208"/>
      <c r="O4" s="208"/>
      <c r="P4" s="208"/>
      <c r="Q4" s="40"/>
      <c r="R4" s="40"/>
    </row>
    <row r="5" spans="1:18" ht="12.75">
      <c r="A5" s="545" t="str">
        <f>REGINFO!A4</f>
        <v>Reporting period:   2005</v>
      </c>
      <c r="B5" s="533"/>
      <c r="C5" s="533"/>
      <c r="D5" s="533"/>
      <c r="E5" s="394"/>
      <c r="F5" s="394"/>
      <c r="G5" s="208"/>
      <c r="H5" s="208"/>
      <c r="I5" s="208"/>
      <c r="J5" s="208"/>
      <c r="K5" s="271"/>
      <c r="L5" s="208"/>
      <c r="M5" s="208"/>
      <c r="N5" s="208"/>
      <c r="O5" s="208"/>
      <c r="P5" s="208"/>
      <c r="Q5" s="40"/>
      <c r="R5" s="40"/>
    </row>
    <row r="6" spans="1:18" ht="12.75">
      <c r="A6" s="395"/>
      <c r="B6" s="394"/>
      <c r="C6" s="394"/>
      <c r="D6" s="394"/>
      <c r="E6" s="394"/>
      <c r="F6" s="394"/>
      <c r="G6" s="208"/>
      <c r="H6" s="208"/>
      <c r="I6" s="208"/>
      <c r="J6" s="208"/>
      <c r="K6" s="271"/>
      <c r="L6" s="208"/>
      <c r="M6" s="208"/>
      <c r="N6" s="208"/>
      <c r="O6" s="208"/>
      <c r="P6" s="208"/>
      <c r="Q6" s="40"/>
      <c r="R6" s="40"/>
    </row>
    <row r="7" spans="1:18" ht="12.75">
      <c r="A7" s="395"/>
      <c r="B7" s="394"/>
      <c r="C7" s="394"/>
      <c r="D7" s="394"/>
      <c r="E7" s="394"/>
      <c r="F7" s="461" t="s">
        <v>430</v>
      </c>
      <c r="G7" s="208"/>
      <c r="H7" s="208"/>
      <c r="I7" s="208"/>
      <c r="J7" s="208"/>
      <c r="K7" s="271"/>
      <c r="L7" s="208"/>
      <c r="M7" s="208"/>
      <c r="N7" s="208"/>
      <c r="O7" s="208"/>
      <c r="P7" s="208"/>
      <c r="Q7" s="40"/>
      <c r="R7" s="40"/>
    </row>
    <row r="8" spans="1:18" ht="13.5" thickBot="1">
      <c r="A8" s="388" t="s">
        <v>485</v>
      </c>
      <c r="B8" s="389"/>
      <c r="C8" s="389"/>
      <c r="D8" s="394"/>
      <c r="E8" s="394"/>
      <c r="F8" s="431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40"/>
      <c r="R8" s="40"/>
    </row>
    <row r="9" spans="1:16" ht="12.75">
      <c r="A9" s="367" t="s">
        <v>178</v>
      </c>
      <c r="B9" s="372"/>
      <c r="C9" s="373">
        <v>0</v>
      </c>
      <c r="D9" s="373"/>
      <c r="E9" s="373">
        <v>400001</v>
      </c>
      <c r="F9" s="374"/>
      <c r="G9" s="209"/>
      <c r="H9" s="209"/>
      <c r="I9" s="209"/>
      <c r="J9" s="209"/>
      <c r="K9" s="207"/>
      <c r="L9" s="207"/>
      <c r="M9" s="207"/>
      <c r="N9" s="207"/>
      <c r="O9" s="207"/>
      <c r="P9" s="207"/>
    </row>
    <row r="10" spans="1:16" ht="12.75">
      <c r="A10" s="368" t="s">
        <v>487</v>
      </c>
      <c r="B10" s="375"/>
      <c r="C10" s="375" t="s">
        <v>177</v>
      </c>
      <c r="D10" s="375"/>
      <c r="E10" s="375" t="s">
        <v>177</v>
      </c>
      <c r="F10" s="376" t="s">
        <v>356</v>
      </c>
      <c r="G10" s="210"/>
      <c r="H10" s="210"/>
      <c r="I10" s="210"/>
      <c r="J10" s="210"/>
      <c r="K10" s="207"/>
      <c r="L10" s="207"/>
      <c r="M10" s="207"/>
      <c r="N10" s="207"/>
      <c r="O10" s="207"/>
      <c r="P10" s="207"/>
    </row>
    <row r="11" spans="1:16" ht="13.5" thickBot="1">
      <c r="A11" s="368"/>
      <c r="B11" s="375" t="s">
        <v>182</v>
      </c>
      <c r="C11" s="377">
        <v>400000</v>
      </c>
      <c r="D11" s="377"/>
      <c r="E11" s="377">
        <v>1128000</v>
      </c>
      <c r="F11" s="378"/>
      <c r="G11" s="209"/>
      <c r="H11" s="209"/>
      <c r="I11" s="209"/>
      <c r="J11" s="209"/>
      <c r="K11" s="207"/>
      <c r="L11" s="207"/>
      <c r="M11" s="207"/>
      <c r="N11" s="207"/>
      <c r="O11" s="207"/>
      <c r="P11" s="207"/>
    </row>
    <row r="12" spans="1:16" ht="13.5" thickBot="1">
      <c r="A12" s="369" t="s">
        <v>174</v>
      </c>
      <c r="B12" s="258"/>
      <c r="C12" s="259"/>
      <c r="D12" s="259"/>
      <c r="E12" s="274"/>
      <c r="F12" s="274"/>
      <c r="G12" s="211"/>
      <c r="H12" s="211"/>
      <c r="I12" s="211"/>
      <c r="J12" s="211"/>
      <c r="K12" s="207"/>
      <c r="L12" s="207"/>
      <c r="M12" s="207"/>
      <c r="N12" s="207"/>
      <c r="O12" s="207"/>
      <c r="P12" s="207"/>
    </row>
    <row r="13" spans="1:16" ht="13.5" thickBot="1">
      <c r="A13" s="370" t="s">
        <v>392</v>
      </c>
      <c r="B13" s="460">
        <v>2005</v>
      </c>
      <c r="C13" s="260"/>
      <c r="D13" s="260"/>
      <c r="E13" s="275"/>
      <c r="F13" s="275"/>
      <c r="G13" s="212"/>
      <c r="H13" s="212"/>
      <c r="I13" s="212"/>
      <c r="J13" s="212"/>
      <c r="K13" s="207"/>
      <c r="L13" s="207"/>
      <c r="M13" s="207"/>
      <c r="N13" s="207"/>
      <c r="O13" s="207"/>
      <c r="P13" s="207"/>
    </row>
    <row r="14" spans="1:16" ht="13.5" thickBot="1">
      <c r="A14" s="370" t="s">
        <v>391</v>
      </c>
      <c r="B14" s="277"/>
      <c r="C14" s="379">
        <v>0.1312</v>
      </c>
      <c r="D14" s="379"/>
      <c r="E14" s="380">
        <v>0.1775</v>
      </c>
      <c r="F14" s="380">
        <v>0.2212</v>
      </c>
      <c r="G14" s="212"/>
      <c r="H14" s="212"/>
      <c r="I14" s="212"/>
      <c r="J14" s="212"/>
      <c r="K14" s="207"/>
      <c r="L14" s="207"/>
      <c r="M14" s="207"/>
      <c r="N14" s="207"/>
      <c r="O14" s="207"/>
      <c r="P14" s="207"/>
    </row>
    <row r="15" spans="1:16" ht="13.5" thickBot="1">
      <c r="A15" s="370" t="s">
        <v>41</v>
      </c>
      <c r="B15" s="277"/>
      <c r="C15" s="381">
        <v>0.055</v>
      </c>
      <c r="D15" s="381"/>
      <c r="E15" s="382">
        <v>0.0975</v>
      </c>
      <c r="F15" s="382">
        <v>0.14</v>
      </c>
      <c r="G15" s="212"/>
      <c r="H15" s="212"/>
      <c r="I15" s="212"/>
      <c r="J15" s="212"/>
      <c r="K15" s="207"/>
      <c r="L15" s="207"/>
      <c r="M15" s="207"/>
      <c r="N15" s="207"/>
      <c r="O15" s="207"/>
      <c r="P15" s="207"/>
    </row>
    <row r="16" spans="1:16" ht="13.5" thickBot="1">
      <c r="A16" s="370" t="s">
        <v>357</v>
      </c>
      <c r="B16" s="277"/>
      <c r="C16" s="383">
        <f>SUM(C14:C15)</f>
        <v>0.1862</v>
      </c>
      <c r="D16" s="383">
        <f>SUM(D14:D15)</f>
        <v>0</v>
      </c>
      <c r="E16" s="384">
        <f>SUM(E14:E15)</f>
        <v>0.275</v>
      </c>
      <c r="F16" s="384">
        <f>SUM(F14:F15)</f>
        <v>0.3612</v>
      </c>
      <c r="G16" s="212"/>
      <c r="H16" s="212"/>
      <c r="I16" s="212"/>
      <c r="J16" s="212"/>
      <c r="K16" s="207"/>
      <c r="L16" s="207"/>
      <c r="M16" s="207"/>
      <c r="N16" s="207"/>
      <c r="O16" s="207"/>
      <c r="P16" s="207"/>
    </row>
    <row r="17" spans="1:16" ht="13.5" thickBot="1">
      <c r="A17" s="370"/>
      <c r="B17" s="277"/>
      <c r="C17" s="379"/>
      <c r="D17" s="379"/>
      <c r="E17" s="380"/>
      <c r="F17" s="380"/>
      <c r="G17" s="212"/>
      <c r="H17" s="212"/>
      <c r="I17" s="212"/>
      <c r="J17" s="212"/>
      <c r="K17" s="207"/>
      <c r="L17" s="207"/>
      <c r="M17" s="207"/>
      <c r="N17" s="207"/>
      <c r="O17" s="207"/>
      <c r="P17" s="207"/>
    </row>
    <row r="18" spans="1:16" ht="13.5" thickBot="1">
      <c r="A18" s="369" t="s">
        <v>175</v>
      </c>
      <c r="B18" s="276"/>
      <c r="C18" s="385">
        <v>0.003</v>
      </c>
      <c r="D18" s="539" t="s">
        <v>552</v>
      </c>
      <c r="E18" s="540"/>
      <c r="F18" s="541"/>
      <c r="G18" s="212"/>
      <c r="H18" s="212"/>
      <c r="I18" s="212"/>
      <c r="J18" s="212"/>
      <c r="K18" s="207"/>
      <c r="L18" s="207"/>
      <c r="M18" s="207"/>
      <c r="N18" s="207"/>
      <c r="O18" s="207"/>
      <c r="P18" s="207"/>
    </row>
    <row r="19" spans="1:16" ht="13.5" thickBot="1">
      <c r="A19" s="369" t="s">
        <v>176</v>
      </c>
      <c r="B19" s="261"/>
      <c r="C19" s="386">
        <v>0.00175</v>
      </c>
      <c r="D19" s="539" t="s">
        <v>553</v>
      </c>
      <c r="E19" s="540"/>
      <c r="F19" s="541"/>
      <c r="G19" s="212"/>
      <c r="H19" s="212"/>
      <c r="I19" s="212"/>
      <c r="J19" s="212"/>
      <c r="K19" s="207"/>
      <c r="L19" s="207"/>
      <c r="M19" s="207"/>
      <c r="N19" s="207"/>
      <c r="O19" s="207"/>
      <c r="P19" s="207"/>
    </row>
    <row r="20" spans="1:16" ht="13.5" thickBot="1">
      <c r="A20" s="369" t="s">
        <v>179</v>
      </c>
      <c r="B20" s="261"/>
      <c r="C20" s="387">
        <v>0.0112</v>
      </c>
      <c r="D20" s="544" t="s">
        <v>554</v>
      </c>
      <c r="E20" s="540"/>
      <c r="F20" s="541"/>
      <c r="G20" s="211"/>
      <c r="H20" s="211"/>
      <c r="I20" s="211"/>
      <c r="J20" s="211"/>
      <c r="K20" s="207"/>
      <c r="L20" s="207"/>
      <c r="M20" s="207"/>
      <c r="N20" s="207"/>
      <c r="O20" s="207"/>
      <c r="P20" s="207"/>
    </row>
    <row r="21" spans="1:16" ht="26.25" thickBot="1">
      <c r="A21" s="371" t="s">
        <v>423</v>
      </c>
      <c r="B21" s="456" t="s">
        <v>486</v>
      </c>
      <c r="C21" s="410">
        <v>7500000</v>
      </c>
      <c r="D21" s="534" t="s">
        <v>555</v>
      </c>
      <c r="E21" s="535"/>
      <c r="F21" s="536"/>
      <c r="G21" s="211"/>
      <c r="H21" s="211"/>
      <c r="I21" s="211"/>
      <c r="J21" s="211"/>
      <c r="K21" s="207"/>
      <c r="L21" s="207"/>
      <c r="M21" s="207"/>
      <c r="N21" s="207"/>
      <c r="O21" s="207"/>
      <c r="P21" s="207"/>
    </row>
    <row r="22" spans="1:16" ht="39" thickBot="1">
      <c r="A22" s="371" t="s">
        <v>424</v>
      </c>
      <c r="B22" s="457" t="s">
        <v>404</v>
      </c>
      <c r="C22" s="411">
        <v>50000000</v>
      </c>
      <c r="D22" s="534" t="s">
        <v>556</v>
      </c>
      <c r="E22" s="535"/>
      <c r="F22" s="536"/>
      <c r="G22" s="211"/>
      <c r="H22" s="211"/>
      <c r="I22" s="211"/>
      <c r="J22" s="211"/>
      <c r="K22" s="207"/>
      <c r="L22" s="207"/>
      <c r="M22" s="207"/>
      <c r="N22" s="207"/>
      <c r="O22" s="207"/>
      <c r="P22" s="207"/>
    </row>
    <row r="23" spans="1:16" ht="12.75">
      <c r="A23" s="537" t="s">
        <v>488</v>
      </c>
      <c r="B23" s="538"/>
      <c r="C23" s="538"/>
      <c r="D23" s="538"/>
      <c r="E23" s="538"/>
      <c r="F23" s="538"/>
      <c r="G23" s="211"/>
      <c r="H23" s="211"/>
      <c r="I23" s="211"/>
      <c r="J23" s="211"/>
      <c r="K23" s="207"/>
      <c r="L23" s="207"/>
      <c r="M23" s="207"/>
      <c r="N23" s="207"/>
      <c r="O23" s="207"/>
      <c r="P23" s="207"/>
    </row>
    <row r="24" spans="1:16" ht="12.75">
      <c r="A24" s="462"/>
      <c r="B24" s="463"/>
      <c r="C24" s="463"/>
      <c r="D24" s="463"/>
      <c r="E24" s="463"/>
      <c r="F24" s="463"/>
      <c r="G24" s="211"/>
      <c r="H24" s="211"/>
      <c r="I24" s="211"/>
      <c r="J24" s="211"/>
      <c r="K24" s="207"/>
      <c r="L24" s="207"/>
      <c r="M24" s="207"/>
      <c r="N24" s="207"/>
      <c r="O24" s="207"/>
      <c r="P24" s="207"/>
    </row>
    <row r="25" spans="1:16" ht="12.75">
      <c r="A25" s="428"/>
      <c r="B25" s="429"/>
      <c r="C25" s="432"/>
      <c r="D25" s="394"/>
      <c r="E25" s="394"/>
      <c r="F25" s="461" t="s">
        <v>431</v>
      </c>
      <c r="G25" s="211"/>
      <c r="H25" s="211"/>
      <c r="I25" s="211"/>
      <c r="J25" s="211"/>
      <c r="K25" s="207"/>
      <c r="L25" s="207"/>
      <c r="M25" s="207"/>
      <c r="N25" s="207"/>
      <c r="O25" s="207"/>
      <c r="P25" s="207"/>
    </row>
    <row r="26" spans="1:16" ht="13.5" thickBot="1">
      <c r="A26" s="392" t="s">
        <v>481</v>
      </c>
      <c r="B26" s="391"/>
      <c r="C26" s="390"/>
      <c r="D26" s="429"/>
      <c r="E26" s="429"/>
      <c r="F26" s="433"/>
      <c r="G26" s="211"/>
      <c r="H26" s="211"/>
      <c r="I26" s="211"/>
      <c r="J26" s="211"/>
      <c r="K26" s="207"/>
      <c r="L26" s="207"/>
      <c r="M26" s="207"/>
      <c r="N26" s="207"/>
      <c r="O26" s="207"/>
      <c r="P26" s="207"/>
    </row>
    <row r="27" spans="1:16" ht="12.75">
      <c r="A27" s="367" t="s">
        <v>178</v>
      </c>
      <c r="B27" s="372"/>
      <c r="C27" s="421">
        <v>0</v>
      </c>
      <c r="D27" s="421">
        <v>300001</v>
      </c>
      <c r="E27" s="421">
        <v>400001</v>
      </c>
      <c r="F27" s="422"/>
      <c r="G27" s="211"/>
      <c r="H27" s="211"/>
      <c r="I27" s="211"/>
      <c r="J27" s="211"/>
      <c r="K27" s="207"/>
      <c r="L27" s="207"/>
      <c r="M27" s="207"/>
      <c r="N27" s="207"/>
      <c r="O27" s="207"/>
      <c r="P27" s="207"/>
    </row>
    <row r="28" spans="1:16" ht="12.75">
      <c r="A28" s="368" t="s">
        <v>482</v>
      </c>
      <c r="B28" s="375"/>
      <c r="C28" s="423" t="s">
        <v>177</v>
      </c>
      <c r="D28" s="423" t="s">
        <v>177</v>
      </c>
      <c r="E28" s="423" t="s">
        <v>177</v>
      </c>
      <c r="F28" s="424" t="s">
        <v>356</v>
      </c>
      <c r="G28" s="211"/>
      <c r="H28" s="211"/>
      <c r="I28" s="211"/>
      <c r="J28" s="211"/>
      <c r="K28" s="207"/>
      <c r="L28" s="207"/>
      <c r="M28" s="207"/>
      <c r="N28" s="207"/>
      <c r="O28" s="207"/>
      <c r="P28" s="207"/>
    </row>
    <row r="29" spans="1:16" ht="13.5" thickBot="1">
      <c r="A29" s="368"/>
      <c r="B29" s="375" t="s">
        <v>182</v>
      </c>
      <c r="C29" s="425">
        <v>300000</v>
      </c>
      <c r="D29" s="425">
        <v>400000</v>
      </c>
      <c r="E29" s="425">
        <v>1128000</v>
      </c>
      <c r="F29" s="426"/>
      <c r="G29" s="211"/>
      <c r="H29" s="211"/>
      <c r="I29" s="211"/>
      <c r="J29" s="211"/>
      <c r="K29" s="207"/>
      <c r="L29" s="207"/>
      <c r="M29" s="207"/>
      <c r="N29" s="207"/>
      <c r="O29" s="207"/>
      <c r="P29" s="207"/>
    </row>
    <row r="30" spans="1:16" ht="13.5" thickBot="1">
      <c r="A30" s="369" t="s">
        <v>174</v>
      </c>
      <c r="B30" s="258"/>
      <c r="C30" s="259"/>
      <c r="D30" s="259"/>
      <c r="E30" s="274"/>
      <c r="F30" s="274"/>
      <c r="G30" s="211"/>
      <c r="H30" s="211"/>
      <c r="I30" s="211"/>
      <c r="J30" s="211"/>
      <c r="K30" s="207"/>
      <c r="L30" s="207"/>
      <c r="M30" s="207"/>
      <c r="N30" s="207"/>
      <c r="O30" s="207"/>
      <c r="P30" s="207"/>
    </row>
    <row r="31" spans="1:16" ht="13.5" thickBot="1">
      <c r="A31" s="370" t="s">
        <v>181</v>
      </c>
      <c r="B31" s="460">
        <v>2005</v>
      </c>
      <c r="C31" s="260"/>
      <c r="D31" s="260"/>
      <c r="E31" s="275"/>
      <c r="F31" s="275"/>
      <c r="G31" s="211"/>
      <c r="H31" s="211"/>
      <c r="I31" s="211"/>
      <c r="J31" s="211"/>
      <c r="K31" s="207"/>
      <c r="L31" s="207"/>
      <c r="M31" s="207"/>
      <c r="N31" s="207"/>
      <c r="O31" s="207"/>
      <c r="P31" s="207"/>
    </row>
    <row r="32" spans="1:16" ht="13.5" thickBot="1">
      <c r="A32" s="370" t="s">
        <v>391</v>
      </c>
      <c r="B32" s="277"/>
      <c r="C32" s="379">
        <v>0.1312</v>
      </c>
      <c r="D32" s="379">
        <v>0.2212</v>
      </c>
      <c r="E32" s="380">
        <v>0.2212</v>
      </c>
      <c r="F32" s="380">
        <v>0.2212</v>
      </c>
      <c r="G32" s="211"/>
      <c r="H32" s="211"/>
      <c r="I32" s="211"/>
      <c r="J32" s="211"/>
      <c r="K32" s="207"/>
      <c r="L32" s="207"/>
      <c r="M32" s="207"/>
      <c r="N32" s="207"/>
      <c r="O32" s="207"/>
      <c r="P32" s="207"/>
    </row>
    <row r="33" spans="1:16" ht="13.5" thickBot="1">
      <c r="A33" s="370" t="s">
        <v>41</v>
      </c>
      <c r="B33" s="277"/>
      <c r="C33" s="381">
        <v>0.055</v>
      </c>
      <c r="D33" s="381">
        <v>0.055</v>
      </c>
      <c r="E33" s="382">
        <f>5.5%+4.25%</f>
        <v>0.0975</v>
      </c>
      <c r="F33" s="382">
        <v>0.14</v>
      </c>
      <c r="G33" s="211"/>
      <c r="H33" s="211"/>
      <c r="I33" s="211"/>
      <c r="J33" s="211"/>
      <c r="K33" s="207"/>
      <c r="L33" s="207"/>
      <c r="M33" s="207"/>
      <c r="N33" s="207"/>
      <c r="O33" s="207"/>
      <c r="P33" s="207"/>
    </row>
    <row r="34" spans="1:16" ht="13.5" thickBot="1">
      <c r="A34" s="370" t="s">
        <v>357</v>
      </c>
      <c r="B34" s="277"/>
      <c r="C34" s="383">
        <f>SUM(C32:C33)</f>
        <v>0.1862</v>
      </c>
      <c r="D34" s="383">
        <f>SUM(D32:D33)</f>
        <v>0.2762</v>
      </c>
      <c r="E34" s="384">
        <f>SUM(E32:E33)</f>
        <v>0.3187</v>
      </c>
      <c r="F34" s="384">
        <f>SUM(F32:F33)</f>
        <v>0.3612</v>
      </c>
      <c r="G34" s="211"/>
      <c r="H34" s="211"/>
      <c r="I34" s="211"/>
      <c r="J34" s="211"/>
      <c r="K34" s="207"/>
      <c r="L34" s="207"/>
      <c r="M34" s="207"/>
      <c r="N34" s="207"/>
      <c r="O34" s="207"/>
      <c r="P34" s="207"/>
    </row>
    <row r="35" spans="1:16" ht="13.5" thickBot="1">
      <c r="A35" s="370"/>
      <c r="B35" s="277"/>
      <c r="C35" s="379"/>
      <c r="D35" s="379"/>
      <c r="E35" s="380"/>
      <c r="F35" s="380"/>
      <c r="G35" s="211"/>
      <c r="H35" s="211"/>
      <c r="I35" s="211"/>
      <c r="J35" s="211"/>
      <c r="K35" s="207"/>
      <c r="L35" s="207"/>
      <c r="M35" s="207"/>
      <c r="N35" s="207"/>
      <c r="O35" s="207"/>
      <c r="P35" s="207"/>
    </row>
    <row r="36" spans="1:16" ht="13.5" thickBot="1">
      <c r="A36" s="369" t="s">
        <v>175</v>
      </c>
      <c r="B36" s="276"/>
      <c r="C36" s="385">
        <v>0.003</v>
      </c>
      <c r="D36" s="539" t="s">
        <v>547</v>
      </c>
      <c r="E36" s="540"/>
      <c r="F36" s="541"/>
      <c r="G36" s="211"/>
      <c r="H36" s="211"/>
      <c r="I36" s="211"/>
      <c r="J36" s="211"/>
      <c r="K36" s="207"/>
      <c r="L36" s="207"/>
      <c r="M36" s="207"/>
      <c r="N36" s="207"/>
      <c r="O36" s="207"/>
      <c r="P36" s="207"/>
    </row>
    <row r="37" spans="1:16" ht="13.5" thickBot="1">
      <c r="A37" s="369" t="s">
        <v>176</v>
      </c>
      <c r="B37" s="261"/>
      <c r="C37" s="386">
        <v>0.00175</v>
      </c>
      <c r="D37" s="539" t="s">
        <v>548</v>
      </c>
      <c r="E37" s="540"/>
      <c r="F37" s="541"/>
      <c r="G37" s="211"/>
      <c r="H37" s="211"/>
      <c r="I37" s="211"/>
      <c r="J37" s="211"/>
      <c r="K37" s="207"/>
      <c r="L37" s="207"/>
      <c r="M37" s="207"/>
      <c r="N37" s="207"/>
      <c r="O37" s="207"/>
      <c r="P37" s="207"/>
    </row>
    <row r="38" spans="1:16" ht="13.5" thickBot="1">
      <c r="A38" s="369" t="s">
        <v>179</v>
      </c>
      <c r="B38" s="261"/>
      <c r="C38" s="387">
        <v>0.0112</v>
      </c>
      <c r="D38" s="544" t="s">
        <v>549</v>
      </c>
      <c r="E38" s="540"/>
      <c r="F38" s="541"/>
      <c r="G38" s="211"/>
      <c r="H38" s="211"/>
      <c r="I38" s="211"/>
      <c r="J38" s="211"/>
      <c r="K38" s="207"/>
      <c r="L38" s="207"/>
      <c r="M38" s="207"/>
      <c r="N38" s="207"/>
      <c r="O38" s="207"/>
      <c r="P38" s="207"/>
    </row>
    <row r="39" spans="1:16" ht="26.25" thickBot="1">
      <c r="A39" s="371" t="s">
        <v>427</v>
      </c>
      <c r="B39" s="458" t="s">
        <v>484</v>
      </c>
      <c r="C39" s="410">
        <v>7500000</v>
      </c>
      <c r="D39" s="534" t="s">
        <v>550</v>
      </c>
      <c r="E39" s="535"/>
      <c r="F39" s="536"/>
      <c r="G39" s="211"/>
      <c r="H39" s="211"/>
      <c r="I39" s="211"/>
      <c r="J39" s="211"/>
      <c r="K39" s="207"/>
      <c r="L39" s="207"/>
      <c r="M39" s="207"/>
      <c r="N39" s="207"/>
      <c r="O39" s="207"/>
      <c r="P39" s="207"/>
    </row>
    <row r="40" spans="1:16" ht="39" thickBot="1">
      <c r="A40" s="371" t="s">
        <v>428</v>
      </c>
      <c r="B40" s="457" t="s">
        <v>404</v>
      </c>
      <c r="C40" s="411">
        <v>50000000</v>
      </c>
      <c r="D40" s="534" t="s">
        <v>551</v>
      </c>
      <c r="E40" s="535"/>
      <c r="F40" s="536"/>
      <c r="G40" s="211"/>
      <c r="H40" s="211"/>
      <c r="I40" s="211"/>
      <c r="J40" s="211"/>
      <c r="K40" s="207"/>
      <c r="L40" s="207"/>
      <c r="M40" s="207"/>
      <c r="N40" s="207"/>
      <c r="O40" s="207"/>
      <c r="P40" s="207"/>
    </row>
    <row r="41" spans="1:16" ht="12.75">
      <c r="A41" s="546" t="s">
        <v>426</v>
      </c>
      <c r="B41" s="547"/>
      <c r="C41" s="547"/>
      <c r="D41" s="547"/>
      <c r="E41" s="547"/>
      <c r="F41" s="547"/>
      <c r="G41" s="211"/>
      <c r="H41" s="211"/>
      <c r="I41" s="211"/>
      <c r="J41" s="211"/>
      <c r="K41" s="207"/>
      <c r="L41" s="207"/>
      <c r="M41" s="207"/>
      <c r="N41" s="207"/>
      <c r="O41" s="207"/>
      <c r="P41" s="207"/>
    </row>
    <row r="42" spans="1:16" ht="12.75">
      <c r="A42" s="548"/>
      <c r="B42" s="548"/>
      <c r="C42" s="548"/>
      <c r="D42" s="548"/>
      <c r="E42" s="548"/>
      <c r="F42" s="548"/>
      <c r="G42" s="211"/>
      <c r="H42" s="211"/>
      <c r="I42" s="211"/>
      <c r="J42" s="211"/>
      <c r="K42" s="207"/>
      <c r="L42" s="207"/>
      <c r="M42" s="207"/>
      <c r="N42" s="207"/>
      <c r="O42" s="207"/>
      <c r="P42" s="207"/>
    </row>
    <row r="43" spans="1:16" ht="12.75">
      <c r="A43" s="428"/>
      <c r="B43" s="429"/>
      <c r="C43" s="430"/>
      <c r="D43" s="429"/>
      <c r="E43" s="429"/>
      <c r="F43" s="461" t="s">
        <v>432</v>
      </c>
      <c r="G43" s="211"/>
      <c r="H43" s="211"/>
      <c r="I43" s="211"/>
      <c r="J43" s="211"/>
      <c r="K43" s="207"/>
      <c r="L43" s="207"/>
      <c r="M43" s="207"/>
      <c r="N43" s="207"/>
      <c r="O43" s="207"/>
      <c r="P43" s="207"/>
    </row>
    <row r="44" spans="1:16" ht="13.5" thickBot="1">
      <c r="A44" s="459" t="s">
        <v>483</v>
      </c>
      <c r="B44" s="412"/>
      <c r="C44" s="413"/>
      <c r="D44" s="412"/>
      <c r="E44" s="394"/>
      <c r="F44" s="431"/>
      <c r="G44" s="211"/>
      <c r="H44" s="211"/>
      <c r="I44" s="211"/>
      <c r="J44" s="211"/>
      <c r="K44" s="207"/>
      <c r="L44" s="207"/>
      <c r="M44" s="207"/>
      <c r="N44" s="207"/>
      <c r="O44" s="207"/>
      <c r="P44" s="207"/>
    </row>
    <row r="45" spans="1:16" ht="12.75">
      <c r="A45" s="367" t="s">
        <v>178</v>
      </c>
      <c r="B45" s="372"/>
      <c r="C45" s="414">
        <v>0</v>
      </c>
      <c r="D45" s="414">
        <v>300001</v>
      </c>
      <c r="E45" s="414">
        <v>400001</v>
      </c>
      <c r="F45" s="415"/>
      <c r="G45" s="213"/>
      <c r="H45" s="213"/>
      <c r="I45" s="213"/>
      <c r="J45" s="213"/>
      <c r="K45" s="207"/>
      <c r="L45" s="207"/>
      <c r="M45" s="207"/>
      <c r="N45" s="207"/>
      <c r="O45" s="207"/>
      <c r="P45" s="207"/>
    </row>
    <row r="46" spans="1:16" ht="12.75">
      <c r="A46" s="368"/>
      <c r="B46" s="375"/>
      <c r="C46" s="416" t="s">
        <v>177</v>
      </c>
      <c r="D46" s="416" t="s">
        <v>177</v>
      </c>
      <c r="E46" s="416" t="s">
        <v>177</v>
      </c>
      <c r="F46" s="417" t="s">
        <v>356</v>
      </c>
      <c r="G46" s="210"/>
      <c r="H46" s="210"/>
      <c r="I46" s="210"/>
      <c r="J46" s="210"/>
      <c r="K46" s="207"/>
      <c r="L46" s="208"/>
      <c r="M46" s="208"/>
      <c r="N46" s="208"/>
      <c r="O46" s="208"/>
      <c r="P46" s="208"/>
    </row>
    <row r="47" spans="1:16" ht="13.5" thickBot="1">
      <c r="A47" s="368"/>
      <c r="B47" s="393" t="s">
        <v>182</v>
      </c>
      <c r="C47" s="418">
        <v>300000</v>
      </c>
      <c r="D47" s="418">
        <v>400000</v>
      </c>
      <c r="E47" s="419">
        <v>1128000</v>
      </c>
      <c r="F47" s="420"/>
      <c r="G47" s="213"/>
      <c r="H47" s="213"/>
      <c r="I47" s="213"/>
      <c r="J47" s="213"/>
      <c r="K47" s="207"/>
      <c r="L47" s="208"/>
      <c r="M47" s="208"/>
      <c r="N47" s="208"/>
      <c r="O47" s="208"/>
      <c r="P47" s="208"/>
    </row>
    <row r="48" spans="1:16" ht="13.5" thickBot="1">
      <c r="A48" s="369" t="s">
        <v>174</v>
      </c>
      <c r="B48" s="258"/>
      <c r="C48" s="259"/>
      <c r="D48" s="259"/>
      <c r="E48" s="274"/>
      <c r="F48" s="274"/>
      <c r="G48" s="213"/>
      <c r="H48" s="213"/>
      <c r="I48" s="213"/>
      <c r="J48" s="213"/>
      <c r="K48" s="207"/>
      <c r="L48" s="208"/>
      <c r="M48" s="208"/>
      <c r="N48" s="208"/>
      <c r="O48" s="208"/>
      <c r="P48" s="208"/>
    </row>
    <row r="49" spans="1:16" ht="13.5" thickBot="1">
      <c r="A49" s="370" t="s">
        <v>181</v>
      </c>
      <c r="B49" s="460">
        <v>2005</v>
      </c>
      <c r="C49" s="260"/>
      <c r="D49" s="260"/>
      <c r="E49" s="275"/>
      <c r="F49" s="275"/>
      <c r="G49" s="213"/>
      <c r="H49" s="213"/>
      <c r="I49" s="213"/>
      <c r="J49" s="213"/>
      <c r="K49" s="207"/>
      <c r="L49" s="208"/>
      <c r="M49" s="208"/>
      <c r="N49" s="208"/>
      <c r="O49" s="208"/>
      <c r="P49" s="208"/>
    </row>
    <row r="50" spans="1:16" ht="13.5" thickBot="1">
      <c r="A50" s="370" t="s">
        <v>391</v>
      </c>
      <c r="B50" s="277"/>
      <c r="C50" s="403">
        <v>0.1312</v>
      </c>
      <c r="D50" s="403">
        <v>0.2212</v>
      </c>
      <c r="E50" s="404">
        <v>0.2212</v>
      </c>
      <c r="F50" s="404">
        <v>0.2212</v>
      </c>
      <c r="G50" s="213"/>
      <c r="H50" s="213"/>
      <c r="I50" s="213"/>
      <c r="J50" s="213"/>
      <c r="K50" s="207"/>
      <c r="L50" s="208"/>
      <c r="M50" s="208"/>
      <c r="N50" s="208"/>
      <c r="O50" s="208"/>
      <c r="P50" s="208"/>
    </row>
    <row r="51" spans="1:16" ht="13.5" thickBot="1">
      <c r="A51" s="370" t="s">
        <v>41</v>
      </c>
      <c r="B51" s="277"/>
      <c r="C51" s="405">
        <v>0.055</v>
      </c>
      <c r="D51" s="405">
        <v>0.055</v>
      </c>
      <c r="E51" s="406">
        <v>0.0975</v>
      </c>
      <c r="F51" s="406">
        <v>0.14</v>
      </c>
      <c r="G51" s="213"/>
      <c r="H51" s="213"/>
      <c r="I51" s="213"/>
      <c r="J51" s="213"/>
      <c r="K51" s="207"/>
      <c r="L51" s="208"/>
      <c r="M51" s="208"/>
      <c r="N51" s="208"/>
      <c r="O51" s="208"/>
      <c r="P51" s="208"/>
    </row>
    <row r="52" spans="1:16" ht="13.5" thickBot="1">
      <c r="A52" s="370" t="s">
        <v>357</v>
      </c>
      <c r="B52" s="277"/>
      <c r="C52" s="383">
        <f>SUM(C50:C51)</f>
        <v>0.1862</v>
      </c>
      <c r="D52" s="383">
        <f>SUM(D50:D51)</f>
        <v>0.2762</v>
      </c>
      <c r="E52" s="384">
        <f>SUM(E50:E51)</f>
        <v>0.3187</v>
      </c>
      <c r="F52" s="384">
        <f>SUM(F50:F51)</f>
        <v>0.3612</v>
      </c>
      <c r="G52" s="213"/>
      <c r="H52" s="213"/>
      <c r="I52" s="213"/>
      <c r="J52" s="213"/>
      <c r="K52" s="207"/>
      <c r="L52" s="208"/>
      <c r="M52" s="208"/>
      <c r="N52" s="208"/>
      <c r="O52" s="208"/>
      <c r="P52" s="208"/>
    </row>
    <row r="53" spans="1:16" ht="13.5" thickBot="1">
      <c r="A53" s="370"/>
      <c r="B53" s="277"/>
      <c r="C53" s="379"/>
      <c r="D53" s="379"/>
      <c r="E53" s="380"/>
      <c r="F53" s="380"/>
      <c r="G53" s="213"/>
      <c r="H53" s="213"/>
      <c r="I53" s="213"/>
      <c r="J53" s="213"/>
      <c r="K53" s="207"/>
      <c r="L53" s="208"/>
      <c r="M53" s="208"/>
      <c r="N53" s="208"/>
      <c r="O53" s="208"/>
      <c r="P53" s="208"/>
    </row>
    <row r="54" spans="1:16" ht="13.5" thickBot="1">
      <c r="A54" s="369" t="s">
        <v>175</v>
      </c>
      <c r="B54" s="276"/>
      <c r="C54" s="407">
        <v>0.003</v>
      </c>
      <c r="D54" s="539" t="s">
        <v>544</v>
      </c>
      <c r="E54" s="540"/>
      <c r="F54" s="541"/>
      <c r="G54" s="213"/>
      <c r="H54" s="213"/>
      <c r="I54" s="213"/>
      <c r="J54" s="213"/>
      <c r="K54" s="207"/>
      <c r="L54" s="208"/>
      <c r="M54" s="208"/>
      <c r="N54" s="208"/>
      <c r="O54" s="208"/>
      <c r="P54" s="208"/>
    </row>
    <row r="55" spans="1:16" ht="13.5" thickBot="1">
      <c r="A55" s="369" t="s">
        <v>176</v>
      </c>
      <c r="B55" s="261"/>
      <c r="C55" s="408">
        <v>0.00175</v>
      </c>
      <c r="D55" s="539" t="s">
        <v>545</v>
      </c>
      <c r="E55" s="540"/>
      <c r="F55" s="541"/>
      <c r="G55" s="213"/>
      <c r="H55" s="213"/>
      <c r="I55" s="213"/>
      <c r="J55" s="213"/>
      <c r="K55" s="207"/>
      <c r="L55" s="208"/>
      <c r="M55" s="208"/>
      <c r="N55" s="208"/>
      <c r="O55" s="208"/>
      <c r="P55" s="208"/>
    </row>
    <row r="56" spans="1:16" ht="13.5" thickBot="1">
      <c r="A56" s="369" t="s">
        <v>179</v>
      </c>
      <c r="B56" s="261"/>
      <c r="C56" s="409">
        <v>0.0112</v>
      </c>
      <c r="D56" s="544" t="s">
        <v>546</v>
      </c>
      <c r="E56" s="540"/>
      <c r="F56" s="541"/>
      <c r="G56" s="213"/>
      <c r="H56" s="213"/>
      <c r="I56" s="213"/>
      <c r="J56" s="213"/>
      <c r="K56" s="207"/>
      <c r="L56" s="208"/>
      <c r="M56" s="208"/>
      <c r="N56" s="208"/>
      <c r="O56" s="208"/>
      <c r="P56" s="208"/>
    </row>
    <row r="57" spans="1:16" ht="26.25" thickBot="1">
      <c r="A57" s="371" t="s">
        <v>439</v>
      </c>
      <c r="B57" s="458" t="s">
        <v>484</v>
      </c>
      <c r="C57" s="410">
        <v>7500000</v>
      </c>
      <c r="D57" s="534" t="s">
        <v>542</v>
      </c>
      <c r="E57" s="535"/>
      <c r="F57" s="536"/>
      <c r="G57" s="213"/>
      <c r="H57" s="213"/>
      <c r="I57" s="213"/>
      <c r="J57" s="213"/>
      <c r="K57" s="207"/>
      <c r="L57" s="208"/>
      <c r="M57" s="208"/>
      <c r="N57" s="208"/>
      <c r="O57" s="208"/>
      <c r="P57" s="208"/>
    </row>
    <row r="58" spans="1:16" ht="39" thickBot="1">
      <c r="A58" s="371" t="s">
        <v>440</v>
      </c>
      <c r="B58" s="457" t="s">
        <v>404</v>
      </c>
      <c r="C58" s="411">
        <v>50000000</v>
      </c>
      <c r="D58" s="534" t="s">
        <v>543</v>
      </c>
      <c r="E58" s="535"/>
      <c r="F58" s="536"/>
      <c r="G58" s="213"/>
      <c r="H58" s="213"/>
      <c r="I58" s="213"/>
      <c r="J58" s="213"/>
      <c r="K58" s="207"/>
      <c r="L58" s="208"/>
      <c r="M58" s="208"/>
      <c r="N58" s="208"/>
      <c r="O58" s="208"/>
      <c r="P58" s="208"/>
    </row>
    <row r="59" spans="1:16" ht="12.75">
      <c r="A59" s="537" t="s">
        <v>576</v>
      </c>
      <c r="B59" s="542"/>
      <c r="C59" s="542"/>
      <c r="D59" s="542"/>
      <c r="E59" s="542"/>
      <c r="F59" s="542"/>
      <c r="G59" s="211"/>
      <c r="H59" s="211"/>
      <c r="I59" s="211"/>
      <c r="J59" s="211"/>
      <c r="K59" s="207"/>
      <c r="L59" s="207"/>
      <c r="M59" s="207"/>
      <c r="N59" s="207"/>
      <c r="O59" s="207"/>
      <c r="P59" s="207"/>
    </row>
    <row r="60" spans="1:16" ht="12.75">
      <c r="A60" s="543"/>
      <c r="B60" s="543"/>
      <c r="C60" s="543"/>
      <c r="D60" s="543"/>
      <c r="E60" s="543"/>
      <c r="F60" s="543"/>
      <c r="G60" s="213"/>
      <c r="H60" s="213"/>
      <c r="I60" s="213"/>
      <c r="J60" s="213"/>
      <c r="K60" s="207"/>
      <c r="L60" s="207"/>
      <c r="M60" s="207"/>
      <c r="N60" s="207"/>
      <c r="O60" s="207"/>
      <c r="P60" s="207"/>
    </row>
    <row r="61" spans="1:16" ht="12.75">
      <c r="A61" s="395"/>
      <c r="B61" s="396"/>
      <c r="C61" s="396"/>
      <c r="D61" s="396"/>
      <c r="E61" s="396"/>
      <c r="F61" s="398"/>
      <c r="G61" s="210"/>
      <c r="H61" s="210"/>
      <c r="I61" s="210"/>
      <c r="J61" s="210"/>
      <c r="K61" s="207"/>
      <c r="L61" s="207"/>
      <c r="M61" s="207"/>
      <c r="N61" s="207"/>
      <c r="O61" s="207"/>
      <c r="P61" s="207"/>
    </row>
    <row r="62" spans="1:16" ht="12.75">
      <c r="A62" s="395"/>
      <c r="B62" s="396"/>
      <c r="C62" s="397"/>
      <c r="D62" s="397"/>
      <c r="E62" s="397"/>
      <c r="F62" s="399"/>
      <c r="G62" s="213"/>
      <c r="H62" s="213"/>
      <c r="I62" s="213"/>
      <c r="J62" s="213"/>
      <c r="K62" s="207"/>
      <c r="L62" s="207"/>
      <c r="M62" s="207"/>
      <c r="N62" s="207"/>
      <c r="O62" s="207"/>
      <c r="P62" s="207"/>
    </row>
    <row r="63" spans="1:16" ht="12.75">
      <c r="A63" s="395"/>
      <c r="B63" s="394"/>
      <c r="C63" s="394"/>
      <c r="D63" s="394"/>
      <c r="E63" s="394"/>
      <c r="F63" s="394"/>
      <c r="G63" s="211"/>
      <c r="H63" s="211"/>
      <c r="I63" s="211"/>
      <c r="J63" s="211"/>
      <c r="K63" s="207"/>
      <c r="L63" s="207"/>
      <c r="M63" s="207"/>
      <c r="N63" s="207"/>
      <c r="O63" s="207"/>
      <c r="P63" s="207"/>
    </row>
    <row r="64" spans="1:16" ht="64.5" customHeight="1">
      <c r="A64" s="400"/>
      <c r="B64" s="401"/>
      <c r="C64" s="402"/>
      <c r="D64" s="402"/>
      <c r="E64" s="402"/>
      <c r="F64" s="402"/>
      <c r="G64" s="212"/>
      <c r="H64" s="212"/>
      <c r="I64" s="212"/>
      <c r="J64" s="212"/>
      <c r="K64" s="207"/>
      <c r="L64" s="207"/>
      <c r="M64" s="207"/>
      <c r="N64" s="207"/>
      <c r="O64" s="207"/>
      <c r="P64" s="207"/>
    </row>
    <row r="65" spans="1:16" ht="3.75" customHeight="1">
      <c r="A65" s="214"/>
      <c r="B65" s="215"/>
      <c r="C65" s="215"/>
      <c r="D65" s="215"/>
      <c r="E65" s="215"/>
      <c r="F65" s="215"/>
      <c r="G65" s="211"/>
      <c r="H65" s="211"/>
      <c r="I65" s="211"/>
      <c r="J65" s="211"/>
      <c r="K65" s="207"/>
      <c r="L65" s="207"/>
      <c r="M65" s="207"/>
      <c r="N65" s="207"/>
      <c r="O65" s="207"/>
      <c r="P65" s="207"/>
    </row>
    <row r="66" spans="1:16" ht="12.75">
      <c r="A66" s="207"/>
      <c r="B66" s="272"/>
      <c r="C66" s="272"/>
      <c r="D66" s="272"/>
      <c r="E66" s="272"/>
      <c r="F66" s="272"/>
      <c r="G66" s="207"/>
      <c r="H66" s="207"/>
      <c r="I66" s="207"/>
      <c r="J66" s="207"/>
      <c r="K66" s="207"/>
      <c r="L66" s="207"/>
      <c r="M66" s="207"/>
      <c r="N66" s="207"/>
      <c r="O66" s="207"/>
      <c r="P66" s="207"/>
    </row>
    <row r="67" spans="1:16" ht="12.75">
      <c r="A67" s="207"/>
      <c r="B67" s="272"/>
      <c r="C67" s="272"/>
      <c r="D67" s="272"/>
      <c r="E67" s="272"/>
      <c r="F67" s="272"/>
      <c r="G67" s="207"/>
      <c r="H67" s="207"/>
      <c r="I67" s="207"/>
      <c r="J67" s="207"/>
      <c r="K67" s="207"/>
      <c r="L67" s="207"/>
      <c r="M67" s="207"/>
      <c r="N67" s="207"/>
      <c r="O67" s="207"/>
      <c r="P67" s="207"/>
    </row>
    <row r="68" spans="1:16" ht="12.75">
      <c r="A68" s="207"/>
      <c r="B68" s="272"/>
      <c r="C68" s="272"/>
      <c r="D68" s="272"/>
      <c r="E68" s="272"/>
      <c r="F68" s="272"/>
      <c r="G68" s="207"/>
      <c r="H68" s="207"/>
      <c r="I68" s="207"/>
      <c r="J68" s="207"/>
      <c r="K68" s="207"/>
      <c r="L68" s="207"/>
      <c r="M68" s="207"/>
      <c r="N68" s="207"/>
      <c r="O68" s="207"/>
      <c r="P68" s="207"/>
    </row>
    <row r="69" spans="1:16" ht="12.75">
      <c r="A69" s="207"/>
      <c r="B69" s="272"/>
      <c r="C69" s="272"/>
      <c r="D69" s="272"/>
      <c r="E69" s="272"/>
      <c r="F69" s="272"/>
      <c r="G69" s="207"/>
      <c r="H69" s="207"/>
      <c r="I69" s="207"/>
      <c r="J69" s="207"/>
      <c r="K69" s="207"/>
      <c r="L69" s="207"/>
      <c r="M69" s="207"/>
      <c r="N69" s="207"/>
      <c r="O69" s="207"/>
      <c r="P69" s="207"/>
    </row>
    <row r="70" spans="1:16" ht="12.75">
      <c r="A70" s="207"/>
      <c r="B70" s="272"/>
      <c r="C70" s="272"/>
      <c r="D70" s="272"/>
      <c r="E70" s="272"/>
      <c r="F70" s="272"/>
      <c r="G70" s="207"/>
      <c r="H70" s="207"/>
      <c r="I70" s="207"/>
      <c r="J70" s="207"/>
      <c r="K70" s="207"/>
      <c r="L70" s="207"/>
      <c r="M70" s="207"/>
      <c r="N70" s="207"/>
      <c r="O70" s="207"/>
      <c r="P70" s="207"/>
    </row>
    <row r="71" spans="1:16" ht="12.75">
      <c r="A71" s="207"/>
      <c r="B71" s="272"/>
      <c r="C71" s="272"/>
      <c r="D71" s="272"/>
      <c r="E71" s="272"/>
      <c r="F71" s="272"/>
      <c r="G71" s="207"/>
      <c r="H71" s="207"/>
      <c r="I71" s="207"/>
      <c r="J71" s="207"/>
      <c r="K71" s="207"/>
      <c r="L71" s="207"/>
      <c r="M71" s="207"/>
      <c r="N71" s="207"/>
      <c r="O71" s="207"/>
      <c r="P71" s="207"/>
    </row>
    <row r="72" spans="1:16" ht="12.75">
      <c r="A72" s="207"/>
      <c r="B72" s="272"/>
      <c r="C72" s="272"/>
      <c r="D72" s="272"/>
      <c r="E72" s="272"/>
      <c r="F72" s="272"/>
      <c r="G72" s="207"/>
      <c r="H72" s="207"/>
      <c r="I72" s="207"/>
      <c r="J72" s="207"/>
      <c r="K72" s="207"/>
      <c r="L72" s="207"/>
      <c r="M72" s="207"/>
      <c r="N72" s="207"/>
      <c r="O72" s="207"/>
      <c r="P72" s="207"/>
    </row>
    <row r="73" spans="1:16" ht="12.75">
      <c r="A73" s="207"/>
      <c r="B73" s="272"/>
      <c r="C73" s="272"/>
      <c r="D73" s="272"/>
      <c r="E73" s="272"/>
      <c r="F73" s="272"/>
      <c r="G73" s="207"/>
      <c r="H73" s="207"/>
      <c r="I73" s="207"/>
      <c r="J73" s="207"/>
      <c r="K73" s="207"/>
      <c r="L73" s="207"/>
      <c r="M73" s="207"/>
      <c r="N73" s="207"/>
      <c r="O73" s="207"/>
      <c r="P73" s="207"/>
    </row>
    <row r="74" spans="1:16" ht="12.75">
      <c r="A74" s="207"/>
      <c r="B74" s="272"/>
      <c r="C74" s="272"/>
      <c r="D74" s="272"/>
      <c r="E74" s="272"/>
      <c r="F74" s="272"/>
      <c r="G74" s="207"/>
      <c r="H74" s="207"/>
      <c r="I74" s="207"/>
      <c r="J74" s="207"/>
      <c r="K74" s="207"/>
      <c r="L74" s="207"/>
      <c r="M74" s="207"/>
      <c r="N74" s="207"/>
      <c r="O74" s="207"/>
      <c r="P74" s="207"/>
    </row>
    <row r="75" spans="1:16" ht="12.75">
      <c r="A75" s="207"/>
      <c r="B75" s="272"/>
      <c r="C75" s="272"/>
      <c r="D75" s="272"/>
      <c r="E75" s="272"/>
      <c r="F75" s="272"/>
      <c r="G75" s="207"/>
      <c r="H75" s="207"/>
      <c r="I75" s="207"/>
      <c r="J75" s="207"/>
      <c r="K75" s="207"/>
      <c r="L75" s="207"/>
      <c r="M75" s="207"/>
      <c r="N75" s="207"/>
      <c r="O75" s="207"/>
      <c r="P75" s="207"/>
    </row>
    <row r="76" spans="1:16" ht="12.75">
      <c r="A76" s="207"/>
      <c r="B76" s="272"/>
      <c r="C76" s="272"/>
      <c r="D76" s="272"/>
      <c r="E76" s="272"/>
      <c r="F76" s="272"/>
      <c r="G76" s="207"/>
      <c r="H76" s="207"/>
      <c r="I76" s="207"/>
      <c r="J76" s="207"/>
      <c r="K76" s="207"/>
      <c r="L76" s="207"/>
      <c r="M76" s="207"/>
      <c r="N76" s="207"/>
      <c r="O76" s="207"/>
      <c r="P76" s="207"/>
    </row>
    <row r="77" spans="1:16" ht="12.75">
      <c r="A77" s="207"/>
      <c r="B77" s="272"/>
      <c r="C77" s="272"/>
      <c r="D77" s="272"/>
      <c r="E77" s="272"/>
      <c r="F77" s="272"/>
      <c r="G77" s="207"/>
      <c r="H77" s="207"/>
      <c r="I77" s="207"/>
      <c r="J77" s="207"/>
      <c r="K77" s="207"/>
      <c r="L77" s="207"/>
      <c r="M77" s="207"/>
      <c r="N77" s="207"/>
      <c r="O77" s="207"/>
      <c r="P77" s="207"/>
    </row>
    <row r="78" spans="1:16" ht="12.75">
      <c r="A78" s="207"/>
      <c r="B78" s="272"/>
      <c r="C78" s="272"/>
      <c r="D78" s="272"/>
      <c r="E78" s="272"/>
      <c r="F78" s="272"/>
      <c r="G78" s="207"/>
      <c r="H78" s="207"/>
      <c r="I78" s="207"/>
      <c r="J78" s="207"/>
      <c r="K78" s="207"/>
      <c r="L78" s="207"/>
      <c r="M78" s="207"/>
      <c r="N78" s="207"/>
      <c r="O78" s="207"/>
      <c r="P78" s="207"/>
    </row>
    <row r="79" spans="1:16" ht="12.75">
      <c r="A79" s="207"/>
      <c r="B79" s="272"/>
      <c r="C79" s="272"/>
      <c r="D79" s="272"/>
      <c r="E79" s="272"/>
      <c r="F79" s="272"/>
      <c r="G79" s="207"/>
      <c r="H79" s="207"/>
      <c r="I79" s="207"/>
      <c r="J79" s="207"/>
      <c r="K79" s="207"/>
      <c r="L79" s="207"/>
      <c r="M79" s="207"/>
      <c r="N79" s="207"/>
      <c r="O79" s="207"/>
      <c r="P79" s="207"/>
    </row>
    <row r="80" spans="1:16" ht="12.75">
      <c r="A80" s="207"/>
      <c r="B80" s="272"/>
      <c r="C80" s="272"/>
      <c r="D80" s="272"/>
      <c r="E80" s="272"/>
      <c r="F80" s="272"/>
      <c r="G80" s="207"/>
      <c r="H80" s="207"/>
      <c r="I80" s="207"/>
      <c r="J80" s="207"/>
      <c r="K80" s="207"/>
      <c r="L80" s="207"/>
      <c r="M80" s="207"/>
      <c r="N80" s="207"/>
      <c r="O80" s="207"/>
      <c r="P80" s="207"/>
    </row>
    <row r="81" spans="1:16" ht="12.75">
      <c r="A81" s="207"/>
      <c r="B81" s="272"/>
      <c r="C81" s="272"/>
      <c r="D81" s="272"/>
      <c r="E81" s="272"/>
      <c r="F81" s="272"/>
      <c r="G81" s="207"/>
      <c r="H81" s="207"/>
      <c r="I81" s="207"/>
      <c r="J81" s="207"/>
      <c r="K81" s="207"/>
      <c r="L81" s="207"/>
      <c r="M81" s="207"/>
      <c r="N81" s="207"/>
      <c r="O81" s="207"/>
      <c r="P81" s="207"/>
    </row>
    <row r="82" spans="1:16" ht="12.75">
      <c r="A82" s="207"/>
      <c r="B82" s="272"/>
      <c r="C82" s="272"/>
      <c r="D82" s="272"/>
      <c r="E82" s="272"/>
      <c r="F82" s="272"/>
      <c r="G82" s="207"/>
      <c r="H82" s="207"/>
      <c r="I82" s="207"/>
      <c r="J82" s="207"/>
      <c r="K82" s="207"/>
      <c r="L82" s="207"/>
      <c r="M82" s="207"/>
      <c r="N82" s="207"/>
      <c r="O82" s="207"/>
      <c r="P82" s="207"/>
    </row>
    <row r="83" spans="1:16" ht="12.75">
      <c r="A83" s="207"/>
      <c r="B83" s="272"/>
      <c r="C83" s="272"/>
      <c r="D83" s="272"/>
      <c r="E83" s="272"/>
      <c r="F83" s="272"/>
      <c r="G83" s="207"/>
      <c r="H83" s="207"/>
      <c r="I83" s="207"/>
      <c r="J83" s="207"/>
      <c r="K83" s="207"/>
      <c r="L83" s="207"/>
      <c r="M83" s="207"/>
      <c r="N83" s="207"/>
      <c r="O83" s="207"/>
      <c r="P83" s="207"/>
    </row>
    <row r="84" spans="1:16" ht="12.75">
      <c r="A84" s="207"/>
      <c r="B84" s="272"/>
      <c r="C84" s="272"/>
      <c r="D84" s="272"/>
      <c r="E84" s="272"/>
      <c r="F84" s="272"/>
      <c r="G84" s="207"/>
      <c r="H84" s="207"/>
      <c r="I84" s="207"/>
      <c r="J84" s="207"/>
      <c r="K84" s="207"/>
      <c r="L84" s="207"/>
      <c r="M84" s="207"/>
      <c r="N84" s="207"/>
      <c r="O84" s="207"/>
      <c r="P84" s="207"/>
    </row>
    <row r="85" spans="1:16" ht="12.75">
      <c r="A85" s="207"/>
      <c r="B85" s="272"/>
      <c r="C85" s="272"/>
      <c r="D85" s="272"/>
      <c r="E85" s="272"/>
      <c r="F85" s="272"/>
      <c r="G85" s="207"/>
      <c r="H85" s="207"/>
      <c r="I85" s="207"/>
      <c r="J85" s="207"/>
      <c r="K85" s="207"/>
      <c r="L85" s="207"/>
      <c r="M85" s="207"/>
      <c r="N85" s="207"/>
      <c r="O85" s="207"/>
      <c r="P85" s="207"/>
    </row>
    <row r="86" spans="1:16" ht="12.75">
      <c r="A86" s="207"/>
      <c r="B86" s="272"/>
      <c r="C86" s="272"/>
      <c r="D86" s="272"/>
      <c r="E86" s="272"/>
      <c r="F86" s="272"/>
      <c r="G86" s="207"/>
      <c r="H86" s="207"/>
      <c r="I86" s="207"/>
      <c r="J86" s="207"/>
      <c r="K86" s="207"/>
      <c r="L86" s="207"/>
      <c r="M86" s="207"/>
      <c r="N86" s="207"/>
      <c r="O86" s="207"/>
      <c r="P86" s="207"/>
    </row>
    <row r="87" spans="1:16" ht="12.75">
      <c r="A87" s="207"/>
      <c r="B87" s="272"/>
      <c r="C87" s="272"/>
      <c r="D87" s="272"/>
      <c r="E87" s="272"/>
      <c r="F87" s="272"/>
      <c r="G87" s="207"/>
      <c r="H87" s="207"/>
      <c r="I87" s="207"/>
      <c r="J87" s="207"/>
      <c r="K87" s="207"/>
      <c r="L87" s="207"/>
      <c r="M87" s="207"/>
      <c r="N87" s="207"/>
      <c r="O87" s="207"/>
      <c r="P87" s="207"/>
    </row>
    <row r="88" spans="1:16" ht="12.75">
      <c r="A88" s="207"/>
      <c r="B88" s="272"/>
      <c r="C88" s="272"/>
      <c r="D88" s="272"/>
      <c r="E88" s="272"/>
      <c r="F88" s="272"/>
      <c r="G88" s="207"/>
      <c r="H88" s="207"/>
      <c r="I88" s="207"/>
      <c r="J88" s="207"/>
      <c r="K88" s="207"/>
      <c r="L88" s="207"/>
      <c r="M88" s="207"/>
      <c r="N88" s="207"/>
      <c r="O88" s="207"/>
      <c r="P88" s="207"/>
    </row>
    <row r="89" spans="1:16" ht="12.75">
      <c r="A89" s="207"/>
      <c r="B89" s="272"/>
      <c r="C89" s="272"/>
      <c r="D89" s="272"/>
      <c r="E89" s="272"/>
      <c r="F89" s="272"/>
      <c r="G89" s="207"/>
      <c r="H89" s="207"/>
      <c r="I89" s="207"/>
      <c r="J89" s="207"/>
      <c r="K89" s="207"/>
      <c r="L89" s="207"/>
      <c r="M89" s="207"/>
      <c r="N89" s="207"/>
      <c r="O89" s="207"/>
      <c r="P89" s="207"/>
    </row>
    <row r="90" spans="1:16" ht="12.75">
      <c r="A90" s="207"/>
      <c r="B90" s="272"/>
      <c r="C90" s="272"/>
      <c r="D90" s="272"/>
      <c r="E90" s="272"/>
      <c r="F90" s="272"/>
      <c r="G90" s="207"/>
      <c r="H90" s="207"/>
      <c r="I90" s="207"/>
      <c r="J90" s="207"/>
      <c r="K90" s="207"/>
      <c r="L90" s="207"/>
      <c r="M90" s="207"/>
      <c r="N90" s="207"/>
      <c r="O90" s="207"/>
      <c r="P90" s="207"/>
    </row>
    <row r="91" spans="1:16" ht="12.75">
      <c r="A91" s="207"/>
      <c r="B91" s="272"/>
      <c r="C91" s="272"/>
      <c r="D91" s="272"/>
      <c r="E91" s="272"/>
      <c r="F91" s="272"/>
      <c r="G91" s="207"/>
      <c r="H91" s="207"/>
      <c r="I91" s="207"/>
      <c r="J91" s="207"/>
      <c r="K91" s="207"/>
      <c r="L91" s="207"/>
      <c r="M91" s="207"/>
      <c r="N91" s="207"/>
      <c r="O91" s="207"/>
      <c r="P91" s="207"/>
    </row>
    <row r="92" spans="1:16" ht="12.75">
      <c r="A92" s="207"/>
      <c r="B92" s="272"/>
      <c r="C92" s="272"/>
      <c r="D92" s="272"/>
      <c r="E92" s="272"/>
      <c r="F92" s="272"/>
      <c r="G92" s="207"/>
      <c r="H92" s="207"/>
      <c r="I92" s="207"/>
      <c r="J92" s="207"/>
      <c r="K92" s="207"/>
      <c r="L92" s="207"/>
      <c r="M92" s="207"/>
      <c r="N92" s="207"/>
      <c r="O92" s="207"/>
      <c r="P92" s="207"/>
    </row>
    <row r="93" spans="1:16" ht="12.75">
      <c r="A93" s="207"/>
      <c r="B93" s="272"/>
      <c r="C93" s="272"/>
      <c r="D93" s="272"/>
      <c r="E93" s="272"/>
      <c r="F93" s="272"/>
      <c r="G93" s="207"/>
      <c r="H93" s="207"/>
      <c r="I93" s="207"/>
      <c r="J93" s="207"/>
      <c r="K93" s="207"/>
      <c r="L93" s="207"/>
      <c r="M93" s="207"/>
      <c r="N93" s="207"/>
      <c r="O93" s="207"/>
      <c r="P93" s="207"/>
    </row>
    <row r="94" spans="1:16" ht="12.75">
      <c r="A94" s="207"/>
      <c r="B94" s="272"/>
      <c r="C94" s="272"/>
      <c r="D94" s="272"/>
      <c r="E94" s="272"/>
      <c r="F94" s="272"/>
      <c r="G94" s="207"/>
      <c r="H94" s="207"/>
      <c r="I94" s="207"/>
      <c r="J94" s="207"/>
      <c r="K94" s="207"/>
      <c r="L94" s="207"/>
      <c r="M94" s="207"/>
      <c r="N94" s="207"/>
      <c r="O94" s="207"/>
      <c r="P94" s="207"/>
    </row>
    <row r="95" spans="1:16" ht="12.75">
      <c r="A95" s="207"/>
      <c r="B95" s="272"/>
      <c r="C95" s="272"/>
      <c r="D95" s="272"/>
      <c r="E95" s="272"/>
      <c r="F95" s="272"/>
      <c r="G95" s="207"/>
      <c r="H95" s="207"/>
      <c r="I95" s="207"/>
      <c r="J95" s="207"/>
      <c r="K95" s="207"/>
      <c r="L95" s="207"/>
      <c r="M95" s="207"/>
      <c r="N95" s="207"/>
      <c r="O95" s="207"/>
      <c r="P95" s="207"/>
    </row>
    <row r="96" spans="1:16" ht="12.75">
      <c r="A96" s="207"/>
      <c r="B96" s="272"/>
      <c r="C96" s="272"/>
      <c r="D96" s="272"/>
      <c r="E96" s="272"/>
      <c r="F96" s="272"/>
      <c r="G96" s="207"/>
      <c r="H96" s="207"/>
      <c r="I96" s="207"/>
      <c r="J96" s="207"/>
      <c r="K96" s="207"/>
      <c r="L96" s="207"/>
      <c r="M96" s="207"/>
      <c r="N96" s="207"/>
      <c r="O96" s="207"/>
      <c r="P96" s="207"/>
    </row>
    <row r="97" spans="1:16" ht="12.75">
      <c r="A97" s="207"/>
      <c r="B97" s="272"/>
      <c r="C97" s="272"/>
      <c r="D97" s="272"/>
      <c r="E97" s="272"/>
      <c r="F97" s="272"/>
      <c r="G97" s="207"/>
      <c r="H97" s="207"/>
      <c r="I97" s="207"/>
      <c r="J97" s="207"/>
      <c r="K97" s="207"/>
      <c r="L97" s="207"/>
      <c r="M97" s="207"/>
      <c r="N97" s="207"/>
      <c r="O97" s="207"/>
      <c r="P97" s="207"/>
    </row>
    <row r="98" spans="1:6" ht="12.75">
      <c r="A98" s="207"/>
      <c r="B98" s="272"/>
      <c r="C98" s="272"/>
      <c r="D98" s="272"/>
      <c r="E98" s="272"/>
      <c r="F98" s="272"/>
    </row>
  </sheetData>
  <sheetProtection/>
  <mergeCells count="20">
    <mergeCell ref="A4:D4"/>
    <mergeCell ref="A5:D5"/>
    <mergeCell ref="D39:F39"/>
    <mergeCell ref="A41:F42"/>
    <mergeCell ref="D40:F40"/>
    <mergeCell ref="D18:F18"/>
    <mergeCell ref="D19:F19"/>
    <mergeCell ref="D20:F20"/>
    <mergeCell ref="D21:F21"/>
    <mergeCell ref="D38:F38"/>
    <mergeCell ref="D22:F22"/>
    <mergeCell ref="A23:F23"/>
    <mergeCell ref="D36:F36"/>
    <mergeCell ref="D37:F37"/>
    <mergeCell ref="A59:F60"/>
    <mergeCell ref="D57:F57"/>
    <mergeCell ref="D58:F58"/>
    <mergeCell ref="D54:F54"/>
    <mergeCell ref="D55:F55"/>
    <mergeCell ref="D56:F56"/>
  </mergeCells>
  <printOptions gridLines="1" headings="1"/>
  <pageMargins left="0.87" right="0.25" top="0.43" bottom="0.49" header="0.17" footer="0"/>
  <pageSetup fitToHeight="1" fitToWidth="1" horizontalDpi="600" verticalDpi="600" orientation="portrait" scale="72" r:id="rId1"/>
  <headerFooter alignWithMargins="0">
    <oddHeader>&amp;C&amp;F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S103"/>
  <sheetViews>
    <sheetView zoomScalePageLayoutView="0" workbookViewId="0" topLeftCell="B1">
      <selection activeCell="Q12" sqref="Q12:Q1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SIMPIL RRR FILING</v>
      </c>
    </row>
    <row r="2" spans="1:2" ht="12.75">
      <c r="A2" s="2" t="s">
        <v>169</v>
      </c>
      <c r="B2" s="2" t="s">
        <v>475</v>
      </c>
    </row>
    <row r="3" spans="1:15" ht="12.75">
      <c r="A3" s="549" t="str">
        <f>REGINFO!A3</f>
        <v>Utility Name:  Centre Wellington Hydro Ltd</v>
      </c>
      <c r="B3" s="533"/>
      <c r="C3" s="533"/>
      <c r="O3" s="468" t="str">
        <f>REGINFO!E1</f>
        <v>Version 2005.1</v>
      </c>
    </row>
    <row r="4" spans="1:15" ht="12.75">
      <c r="A4" s="549" t="str">
        <f>REGINFO!A4</f>
        <v>Reporting period:   2005</v>
      </c>
      <c r="B4" s="533"/>
      <c r="C4" s="533"/>
      <c r="E4" s="470" t="s">
        <v>414</v>
      </c>
      <c r="F4" s="448"/>
      <c r="G4" s="448"/>
      <c r="H4" s="448"/>
      <c r="I4" s="448"/>
      <c r="O4" s="468" t="str">
        <f>REGINFO!E2</f>
        <v>RRR # 2.1.8</v>
      </c>
    </row>
    <row r="5" spans="4:7" ht="12.75">
      <c r="D5" s="40"/>
      <c r="E5" s="40"/>
      <c r="F5" s="40"/>
      <c r="G5" s="40"/>
    </row>
    <row r="6" spans="1:15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ht="13.5" thickTop="1"/>
    <row r="8" spans="1:13" ht="12.75">
      <c r="A8" s="2" t="s">
        <v>160</v>
      </c>
      <c r="C8" s="56">
        <v>37165</v>
      </c>
      <c r="E8" s="56">
        <v>37257</v>
      </c>
      <c r="G8" s="56">
        <v>37622</v>
      </c>
      <c r="I8" s="56">
        <v>37987</v>
      </c>
      <c r="K8" s="56">
        <v>38353</v>
      </c>
      <c r="M8" s="56">
        <v>38718</v>
      </c>
    </row>
    <row r="9" spans="1:15" ht="12.75">
      <c r="A9" s="2" t="s">
        <v>161</v>
      </c>
      <c r="C9" s="57">
        <v>37256</v>
      </c>
      <c r="E9" s="57">
        <v>37621</v>
      </c>
      <c r="G9" s="57">
        <v>37986</v>
      </c>
      <c r="I9" s="57">
        <v>38352</v>
      </c>
      <c r="K9" s="57">
        <v>38717</v>
      </c>
      <c r="M9" s="57">
        <v>38837</v>
      </c>
      <c r="O9" s="442" t="s">
        <v>170</v>
      </c>
    </row>
    <row r="10" spans="1:8" ht="12.75">
      <c r="A10" s="2"/>
      <c r="F10" s="40"/>
      <c r="H10" s="40"/>
    </row>
    <row r="11" spans="1:15" ht="20.25" customHeight="1">
      <c r="A11" s="92" t="s">
        <v>171</v>
      </c>
      <c r="B11" s="8" t="s">
        <v>260</v>
      </c>
      <c r="C11" s="444">
        <v>0</v>
      </c>
      <c r="D11" s="440"/>
      <c r="E11" s="446">
        <f>C21</f>
        <v>79861</v>
      </c>
      <c r="F11" s="472"/>
      <c r="G11" s="446">
        <f>E21</f>
        <v>14175</v>
      </c>
      <c r="H11" s="472"/>
      <c r="I11" s="446">
        <f>G21</f>
        <v>-388057</v>
      </c>
      <c r="J11" s="440"/>
      <c r="K11" s="446">
        <f>I21</f>
        <v>-342277.75</v>
      </c>
      <c r="L11" s="440"/>
      <c r="M11" s="446">
        <f>K21</f>
        <v>-280400.75070258614</v>
      </c>
      <c r="N11" s="440"/>
      <c r="O11" s="446">
        <f>C11</f>
        <v>0</v>
      </c>
    </row>
    <row r="12" spans="1:15" ht="27" customHeight="1">
      <c r="A12" s="92" t="s">
        <v>515</v>
      </c>
      <c r="B12" s="75" t="s">
        <v>262</v>
      </c>
      <c r="C12" s="445">
        <v>79861</v>
      </c>
      <c r="D12" s="441"/>
      <c r="E12" s="445">
        <v>269036</v>
      </c>
      <c r="F12" s="107"/>
      <c r="G12" s="471">
        <f>C12+E12</f>
        <v>348897</v>
      </c>
      <c r="H12" s="107"/>
      <c r="I12" s="471">
        <f>(E12/12*9)+(G12/12*3)</f>
        <v>289001.25</v>
      </c>
      <c r="J12" s="441"/>
      <c r="K12" s="471">
        <f>(E12/12*3)+(TAXCALC!C96/12*9)</f>
        <v>216995.48929741382</v>
      </c>
      <c r="L12" s="441"/>
      <c r="M12" s="471">
        <f>(TAXCALC!C96/12*4)</f>
        <v>66549.55079885059</v>
      </c>
      <c r="N12" s="441"/>
      <c r="O12" s="446">
        <f aca="true" t="shared" si="0" ref="O12:O19">SUM(C12:N12)</f>
        <v>1270340.2900962643</v>
      </c>
    </row>
    <row r="13" spans="1:15" ht="25.5">
      <c r="A13" s="92" t="s">
        <v>513</v>
      </c>
      <c r="B13" s="75" t="s">
        <v>262</v>
      </c>
      <c r="C13" s="445"/>
      <c r="D13" s="441"/>
      <c r="E13" s="445"/>
      <c r="F13" s="107"/>
      <c r="G13" s="445">
        <f>-322142+295791+1</f>
        <v>-26350</v>
      </c>
      <c r="H13" s="107"/>
      <c r="I13" s="445">
        <f>-322142+269036</f>
        <v>-53106</v>
      </c>
      <c r="J13" s="441"/>
      <c r="K13" s="445">
        <v>-40405</v>
      </c>
      <c r="L13" s="441"/>
      <c r="M13" s="445">
        <f>-66550+61430.16</f>
        <v>-5119.8399999999965</v>
      </c>
      <c r="N13" s="441"/>
      <c r="O13" s="446">
        <f t="shared" si="0"/>
        <v>-124980.84</v>
      </c>
    </row>
    <row r="14" spans="1:15" ht="27" customHeight="1">
      <c r="A14" s="92" t="s">
        <v>518</v>
      </c>
      <c r="B14" s="75" t="s">
        <v>262</v>
      </c>
      <c r="C14" s="445"/>
      <c r="D14" s="441"/>
      <c r="E14" s="445"/>
      <c r="F14" s="107"/>
      <c r="G14" s="445">
        <v>-404515</v>
      </c>
      <c r="H14" s="107"/>
      <c r="I14" s="445">
        <v>67013</v>
      </c>
      <c r="J14" s="441"/>
      <c r="K14" s="445">
        <v>205502</v>
      </c>
      <c r="L14" s="441"/>
      <c r="M14" s="471">
        <f>TAXCALC!I133</f>
        <v>167035.25977206152</v>
      </c>
      <c r="N14" s="441"/>
      <c r="O14" s="446">
        <f t="shared" si="0"/>
        <v>35035.259772061516</v>
      </c>
    </row>
    <row r="15" spans="1:15" ht="27" customHeight="1">
      <c r="A15" s="92" t="s">
        <v>517</v>
      </c>
      <c r="B15" s="75"/>
      <c r="C15" s="445"/>
      <c r="D15" s="441"/>
      <c r="E15" s="445"/>
      <c r="F15" s="107"/>
      <c r="G15" s="445"/>
      <c r="H15" s="107"/>
      <c r="I15" s="445"/>
      <c r="J15" s="441"/>
      <c r="K15" s="445"/>
      <c r="L15" s="441"/>
      <c r="M15" s="445"/>
      <c r="N15" s="441"/>
      <c r="O15" s="446">
        <f t="shared" si="0"/>
        <v>0</v>
      </c>
    </row>
    <row r="16" spans="1:15" ht="27.75" customHeight="1">
      <c r="A16" s="92" t="s">
        <v>519</v>
      </c>
      <c r="B16" s="75" t="s">
        <v>262</v>
      </c>
      <c r="C16" s="445"/>
      <c r="D16" s="441"/>
      <c r="E16" s="445"/>
      <c r="F16" s="107"/>
      <c r="G16" s="445"/>
      <c r="H16" s="107"/>
      <c r="I16" s="445"/>
      <c r="J16" s="441"/>
      <c r="K16" s="445">
        <v>-16209</v>
      </c>
      <c r="L16" s="441"/>
      <c r="M16" s="471">
        <f>TAXCALC!I182</f>
        <v>41444.788173288114</v>
      </c>
      <c r="N16" s="441"/>
      <c r="O16" s="446">
        <f t="shared" si="0"/>
        <v>25235.788173288114</v>
      </c>
    </row>
    <row r="17" spans="1:15" ht="25.5">
      <c r="A17" s="92" t="s">
        <v>514</v>
      </c>
      <c r="B17" s="75" t="s">
        <v>262</v>
      </c>
      <c r="C17" s="445"/>
      <c r="D17" s="441"/>
      <c r="E17" s="445"/>
      <c r="F17" s="107"/>
      <c r="G17" s="445"/>
      <c r="H17" s="107"/>
      <c r="I17" s="445"/>
      <c r="J17" s="441"/>
      <c r="K17" s="445"/>
      <c r="L17" s="441"/>
      <c r="M17" s="445"/>
      <c r="N17" s="441"/>
      <c r="O17" s="446">
        <f t="shared" si="0"/>
        <v>0</v>
      </c>
    </row>
    <row r="18" spans="1:15" ht="24" customHeight="1">
      <c r="A18" s="484" t="s">
        <v>528</v>
      </c>
      <c r="B18" s="75" t="s">
        <v>262</v>
      </c>
      <c r="C18" s="445"/>
      <c r="D18" s="441"/>
      <c r="E18" s="445"/>
      <c r="F18" s="107"/>
      <c r="G18" s="445">
        <v>10370</v>
      </c>
      <c r="H18" s="107"/>
      <c r="I18" s="445">
        <v>-2940</v>
      </c>
      <c r="J18" s="441"/>
      <c r="K18" s="445">
        <v>-72438.93</v>
      </c>
      <c r="L18" s="441"/>
      <c r="M18" s="445">
        <v>-2848.26</v>
      </c>
      <c r="N18" s="441"/>
      <c r="O18" s="446">
        <f t="shared" si="0"/>
        <v>-67857.18999999999</v>
      </c>
    </row>
    <row r="19" spans="1:15" ht="24.75" customHeight="1">
      <c r="A19" s="92" t="s">
        <v>529</v>
      </c>
      <c r="B19" s="75" t="s">
        <v>258</v>
      </c>
      <c r="C19" s="471">
        <v>0</v>
      </c>
      <c r="D19" s="441"/>
      <c r="E19" s="445">
        <v>-334722</v>
      </c>
      <c r="F19" s="107"/>
      <c r="G19" s="445">
        <v>-330634</v>
      </c>
      <c r="H19" s="107"/>
      <c r="I19" s="445">
        <v>-254189</v>
      </c>
      <c r="J19" s="441"/>
      <c r="K19" s="445">
        <v>-231567.56</v>
      </c>
      <c r="L19" s="441"/>
      <c r="M19" s="445">
        <v>-73922.18</v>
      </c>
      <c r="N19" s="441"/>
      <c r="O19" s="446">
        <f t="shared" si="0"/>
        <v>-1225034.74</v>
      </c>
    </row>
    <row r="20" spans="1:15" ht="12.75">
      <c r="A20" s="74"/>
      <c r="C20" s="441"/>
      <c r="D20" s="107"/>
      <c r="E20" s="441"/>
      <c r="F20" s="107"/>
      <c r="G20" s="441"/>
      <c r="H20" s="107"/>
      <c r="I20" s="441"/>
      <c r="J20" s="441"/>
      <c r="K20" s="441"/>
      <c r="L20" s="441"/>
      <c r="M20" s="441"/>
      <c r="N20" s="441"/>
      <c r="O20" s="472"/>
    </row>
    <row r="21" spans="1:15" ht="13.5" thickBot="1">
      <c r="A21" s="92" t="s">
        <v>473</v>
      </c>
      <c r="B21" s="40"/>
      <c r="C21" s="447">
        <f>SUM(C11:C19)</f>
        <v>79861</v>
      </c>
      <c r="D21" s="472"/>
      <c r="E21" s="447">
        <f>SUM(E11:E19)</f>
        <v>14175</v>
      </c>
      <c r="F21" s="472"/>
      <c r="G21" s="447">
        <f>SUM(G11:G19)</f>
        <v>-388057</v>
      </c>
      <c r="H21" s="472"/>
      <c r="I21" s="447">
        <f>SUM(I11:I19)</f>
        <v>-342277.75</v>
      </c>
      <c r="J21" s="440"/>
      <c r="K21" s="447">
        <f>SUM(K11:K19)</f>
        <v>-280400.75070258614</v>
      </c>
      <c r="L21" s="440"/>
      <c r="M21" s="447">
        <f>SUM(M11:M20)</f>
        <v>-87261.4319583859</v>
      </c>
      <c r="N21" s="440"/>
      <c r="O21" s="447">
        <f>SUM(O11:O19)</f>
        <v>-87261.43195838598</v>
      </c>
    </row>
    <row r="22" spans="1:15" ht="13.5" thickTop="1">
      <c r="A22" s="506"/>
      <c r="B22" s="507"/>
      <c r="C22" s="492"/>
      <c r="D22" s="492"/>
      <c r="E22" s="492"/>
      <c r="F22" s="492"/>
      <c r="G22" s="492"/>
      <c r="H22" s="492"/>
      <c r="I22" s="492"/>
      <c r="J22" s="507"/>
      <c r="K22" s="492"/>
      <c r="L22" s="214"/>
      <c r="M22" s="493"/>
      <c r="N22" s="214"/>
      <c r="O22" s="493"/>
    </row>
    <row r="23" spans="1:15" ht="9" customHeight="1">
      <c r="A23" s="485"/>
      <c r="B23" s="486"/>
      <c r="C23" s="486"/>
      <c r="D23" s="486"/>
      <c r="E23" s="486"/>
      <c r="F23" s="486"/>
      <c r="G23" s="486"/>
      <c r="H23" s="486"/>
      <c r="I23" s="486"/>
      <c r="J23" s="486"/>
      <c r="K23" s="487"/>
      <c r="L23" s="207"/>
      <c r="M23" s="207"/>
      <c r="N23" s="207"/>
      <c r="O23" s="207"/>
    </row>
    <row r="24" spans="1:15" ht="12.75">
      <c r="A24" s="485" t="s">
        <v>3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207"/>
      <c r="M24" s="207"/>
      <c r="N24" s="207"/>
      <c r="O24" s="207"/>
    </row>
    <row r="25" spans="1:15" ht="12.75">
      <c r="A25" s="488" t="s">
        <v>526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207"/>
      <c r="M25" s="207"/>
      <c r="N25" s="207"/>
      <c r="O25" s="207"/>
    </row>
    <row r="26" spans="1:15" ht="9" customHeight="1">
      <c r="A26" s="207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207"/>
      <c r="M26" s="207"/>
      <c r="N26" s="207"/>
      <c r="O26" s="207"/>
    </row>
    <row r="27" spans="1:15" ht="12.75">
      <c r="A27" s="501" t="s">
        <v>4</v>
      </c>
      <c r="B27" s="91"/>
      <c r="C27" s="91"/>
      <c r="D27" s="91"/>
      <c r="E27" s="91"/>
      <c r="F27" s="91"/>
      <c r="G27" s="91"/>
      <c r="H27" s="91"/>
      <c r="I27" s="498"/>
      <c r="J27" s="498"/>
      <c r="K27" s="498"/>
      <c r="L27" s="498"/>
      <c r="M27" s="498"/>
      <c r="N27" s="498"/>
      <c r="O27" s="498"/>
    </row>
    <row r="28" spans="1:15" ht="9" customHeight="1">
      <c r="A28" s="500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9" ht="12.75">
      <c r="A29" s="551" t="s">
        <v>516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473"/>
      <c r="Q29" s="473"/>
      <c r="R29" s="473"/>
      <c r="S29" s="473"/>
    </row>
    <row r="30" spans="1:19" ht="12.75">
      <c r="A30" s="550" t="s">
        <v>587</v>
      </c>
      <c r="B30" s="548"/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473"/>
      <c r="Q30" s="473"/>
      <c r="R30" s="473"/>
      <c r="S30" s="473"/>
    </row>
    <row r="31" spans="1:19" ht="12.75">
      <c r="A31" s="550" t="s">
        <v>588</v>
      </c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473"/>
      <c r="Q31" s="473"/>
      <c r="R31" s="473"/>
      <c r="S31" s="473"/>
    </row>
    <row r="32" spans="1:19" ht="12.75">
      <c r="A32" s="489" t="s">
        <v>471</v>
      </c>
      <c r="B32" s="490"/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73"/>
      <c r="Q32" s="473"/>
      <c r="R32" s="473"/>
      <c r="S32" s="473"/>
    </row>
    <row r="33" spans="1:19" ht="12.75">
      <c r="A33" s="489" t="s">
        <v>472</v>
      </c>
      <c r="B33" s="490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73"/>
      <c r="Q33" s="473"/>
      <c r="R33" s="473"/>
      <c r="S33" s="473"/>
    </row>
    <row r="34" spans="1:19" ht="12.75">
      <c r="A34" s="489" t="s">
        <v>527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73"/>
      <c r="Q34" s="473"/>
      <c r="R34" s="473"/>
      <c r="S34" s="473"/>
    </row>
    <row r="35" spans="1:19" ht="12.75">
      <c r="A35" s="489" t="s">
        <v>586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73"/>
      <c r="Q35" s="473"/>
      <c r="R35" s="473"/>
      <c r="S35" s="473"/>
    </row>
    <row r="36" spans="2:19" ht="9" customHeight="1"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73"/>
      <c r="Q36" s="473"/>
      <c r="R36" s="473"/>
      <c r="S36" s="473"/>
    </row>
    <row r="37" spans="1:15" ht="12.75">
      <c r="A37" s="491" t="s">
        <v>589</v>
      </c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207"/>
      <c r="M37" s="207"/>
      <c r="N37" s="207"/>
      <c r="O37" s="207"/>
    </row>
    <row r="38" spans="1:15" ht="12.75">
      <c r="A38" s="486" t="s">
        <v>0</v>
      </c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207"/>
      <c r="M38" s="207"/>
      <c r="N38" s="207"/>
      <c r="O38" s="207"/>
    </row>
    <row r="39" spans="1:15" ht="9" customHeight="1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207"/>
      <c r="M39" s="207"/>
      <c r="N39" s="207"/>
      <c r="O39" s="207"/>
    </row>
    <row r="40" spans="1:15" ht="12.75">
      <c r="A40" s="491" t="s">
        <v>590</v>
      </c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207"/>
      <c r="M40" s="207"/>
      <c r="N40" s="207"/>
      <c r="O40" s="207"/>
    </row>
    <row r="41" spans="1:15" ht="12.75">
      <c r="A41" s="486" t="s">
        <v>521</v>
      </c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207"/>
      <c r="M41" s="207"/>
      <c r="N41" s="207"/>
      <c r="O41" s="207"/>
    </row>
    <row r="42" spans="1:15" ht="9" customHeight="1">
      <c r="A42" s="486"/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207"/>
      <c r="M42" s="207"/>
      <c r="N42" s="207"/>
      <c r="O42" s="207"/>
    </row>
    <row r="43" spans="1:15" ht="12.75">
      <c r="A43" s="491" t="s">
        <v>591</v>
      </c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207"/>
      <c r="M43" s="207"/>
      <c r="N43" s="207"/>
      <c r="O43" s="207"/>
    </row>
    <row r="44" spans="1:15" ht="12.75">
      <c r="A44" s="486" t="s">
        <v>1</v>
      </c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207"/>
      <c r="M44" s="207"/>
      <c r="N44" s="207"/>
      <c r="O44" s="207"/>
    </row>
    <row r="45" spans="1:15" ht="9" customHeight="1">
      <c r="A45" s="486"/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207"/>
      <c r="M45" s="207"/>
      <c r="N45" s="207"/>
      <c r="O45" s="207"/>
    </row>
    <row r="46" spans="1:15" ht="12.75">
      <c r="A46" s="491" t="s">
        <v>592</v>
      </c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207"/>
      <c r="M46" s="207"/>
      <c r="N46" s="207"/>
      <c r="O46" s="207"/>
    </row>
    <row r="47" spans="1:15" ht="12.75">
      <c r="A47" s="486" t="s">
        <v>521</v>
      </c>
      <c r="B47" s="486"/>
      <c r="C47" s="486"/>
      <c r="D47" s="486"/>
      <c r="E47" s="486"/>
      <c r="F47" s="486"/>
      <c r="G47" s="486"/>
      <c r="H47" s="486"/>
      <c r="I47" s="486"/>
      <c r="J47" s="486"/>
      <c r="K47" s="486"/>
      <c r="L47" s="207"/>
      <c r="M47" s="207"/>
      <c r="N47" s="207"/>
      <c r="O47" s="207"/>
    </row>
    <row r="48" spans="1:15" ht="9" customHeight="1">
      <c r="A48" s="491"/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207"/>
      <c r="M48" s="207"/>
      <c r="N48" s="207"/>
      <c r="O48" s="207"/>
    </row>
    <row r="49" spans="1:15" ht="12.75">
      <c r="A49" s="486" t="s">
        <v>520</v>
      </c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207"/>
      <c r="M49" s="207"/>
      <c r="N49" s="207"/>
      <c r="O49" s="207"/>
    </row>
    <row r="50" spans="1:15" ht="9" customHeight="1">
      <c r="A50" s="486"/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L50" s="207"/>
      <c r="M50" s="207"/>
      <c r="N50" s="207"/>
      <c r="O50" s="207"/>
    </row>
    <row r="51" spans="1:15" ht="12.75" customHeight="1">
      <c r="A51" s="491" t="s">
        <v>5</v>
      </c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207"/>
      <c r="M51" s="207"/>
      <c r="N51" s="207"/>
      <c r="O51" s="207"/>
    </row>
    <row r="52" spans="1:15" ht="9" customHeight="1">
      <c r="A52" s="486"/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207"/>
      <c r="M52" s="207"/>
      <c r="N52" s="207"/>
      <c r="O52" s="207"/>
    </row>
    <row r="53" spans="1:15" ht="12.75">
      <c r="A53" s="486" t="s">
        <v>6</v>
      </c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207"/>
      <c r="M53" s="207"/>
      <c r="N53" s="207"/>
      <c r="O53" s="207"/>
    </row>
    <row r="54" spans="1:15" ht="12.75">
      <c r="A54" s="486" t="s">
        <v>7</v>
      </c>
      <c r="B54" s="486"/>
      <c r="C54" s="486"/>
      <c r="D54" s="486"/>
      <c r="E54" s="486"/>
      <c r="F54" s="486"/>
      <c r="G54" s="486"/>
      <c r="H54" s="486"/>
      <c r="I54" s="486"/>
      <c r="J54" s="486"/>
      <c r="K54" s="486"/>
      <c r="L54" s="207"/>
      <c r="M54" s="207"/>
      <c r="N54" s="207"/>
      <c r="O54" s="207"/>
    </row>
    <row r="55" spans="1:15" ht="12.75">
      <c r="A55" s="486" t="s">
        <v>2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207"/>
      <c r="M55" s="207"/>
      <c r="N55" s="207"/>
      <c r="O55" s="207"/>
    </row>
    <row r="56" spans="1:15" ht="12.75">
      <c r="A56" s="486" t="s">
        <v>577</v>
      </c>
      <c r="B56" s="486"/>
      <c r="C56" s="486"/>
      <c r="D56" s="486"/>
      <c r="E56" s="486"/>
      <c r="F56" s="486"/>
      <c r="G56" s="486"/>
      <c r="H56" s="486"/>
      <c r="I56" s="486"/>
      <c r="J56" s="486"/>
      <c r="K56" s="486"/>
      <c r="L56" s="207"/>
      <c r="M56" s="207"/>
      <c r="N56" s="207"/>
      <c r="O56" s="207"/>
    </row>
    <row r="57" spans="1:15" ht="9" customHeight="1">
      <c r="A57" s="486"/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207"/>
      <c r="M57" s="207"/>
      <c r="N57" s="207"/>
      <c r="O57" s="207"/>
    </row>
    <row r="58" spans="1:15" ht="12.75">
      <c r="A58" s="486" t="s">
        <v>508</v>
      </c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207"/>
      <c r="M58" s="207"/>
      <c r="N58" s="207"/>
      <c r="O58" s="207"/>
    </row>
    <row r="59" spans="1:15" ht="12.75">
      <c r="A59" s="486" t="s">
        <v>8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207"/>
      <c r="M59" s="207"/>
      <c r="N59" s="207"/>
      <c r="O59" s="207"/>
    </row>
    <row r="60" spans="1:15" ht="12.75">
      <c r="A60" s="486" t="s">
        <v>504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207"/>
      <c r="M60" s="207"/>
      <c r="N60" s="207"/>
      <c r="O60" s="207"/>
    </row>
    <row r="61" spans="1:15" ht="3.75" customHeight="1">
      <c r="A61" s="486"/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207"/>
      <c r="M61" s="207"/>
      <c r="N61" s="207"/>
      <c r="O61" s="207"/>
    </row>
    <row r="62" spans="1:15" ht="12.75">
      <c r="A62" s="486" t="s">
        <v>505</v>
      </c>
      <c r="B62" s="486"/>
      <c r="C62" s="486"/>
      <c r="D62" s="486"/>
      <c r="E62" s="486"/>
      <c r="F62" s="486"/>
      <c r="G62" s="486"/>
      <c r="H62" s="486"/>
      <c r="I62" s="486"/>
      <c r="J62" s="486"/>
      <c r="K62" s="486"/>
      <c r="L62" s="207"/>
      <c r="M62" s="207"/>
      <c r="N62" s="207"/>
      <c r="O62" s="207"/>
    </row>
    <row r="63" spans="1:15" ht="12.75">
      <c r="A63" s="486" t="s">
        <v>506</v>
      </c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207"/>
      <c r="M63" s="207"/>
      <c r="N63" s="207"/>
      <c r="O63" s="207"/>
    </row>
    <row r="64" spans="1:15" ht="3.75" customHeight="1">
      <c r="A64" s="486"/>
      <c r="B64" s="486"/>
      <c r="C64" s="486"/>
      <c r="D64" s="486"/>
      <c r="E64" s="486"/>
      <c r="F64" s="486"/>
      <c r="G64" s="486"/>
      <c r="H64" s="486"/>
      <c r="I64" s="486"/>
      <c r="J64" s="486"/>
      <c r="K64" s="486"/>
      <c r="L64" s="207"/>
      <c r="M64" s="207"/>
      <c r="N64" s="207"/>
      <c r="O64" s="207"/>
    </row>
    <row r="65" spans="1:15" ht="12.75">
      <c r="A65" s="486" t="s">
        <v>509</v>
      </c>
      <c r="B65" s="486"/>
      <c r="C65" s="486"/>
      <c r="D65" s="486"/>
      <c r="E65" s="486"/>
      <c r="F65" s="486"/>
      <c r="G65" s="486"/>
      <c r="H65" s="486"/>
      <c r="I65" s="486"/>
      <c r="J65" s="486"/>
      <c r="K65" s="486"/>
      <c r="L65" s="207"/>
      <c r="M65" s="207"/>
      <c r="N65" s="207"/>
      <c r="O65" s="207"/>
    </row>
    <row r="66" spans="1:15" ht="12.75">
      <c r="A66" s="486" t="s">
        <v>510</v>
      </c>
      <c r="B66" s="486"/>
      <c r="C66" s="486"/>
      <c r="D66" s="486"/>
      <c r="E66" s="486"/>
      <c r="F66" s="486"/>
      <c r="G66" s="486"/>
      <c r="H66" s="486"/>
      <c r="I66" s="486"/>
      <c r="J66" s="486"/>
      <c r="K66" s="486"/>
      <c r="L66" s="207"/>
      <c r="M66" s="207"/>
      <c r="N66" s="207"/>
      <c r="O66" s="207"/>
    </row>
    <row r="67" spans="1:15" ht="12.75">
      <c r="A67" s="486" t="s">
        <v>507</v>
      </c>
      <c r="B67" s="486"/>
      <c r="C67" s="486"/>
      <c r="D67" s="486"/>
      <c r="E67" s="486"/>
      <c r="F67" s="486"/>
      <c r="G67" s="486"/>
      <c r="H67" s="486"/>
      <c r="I67" s="486"/>
      <c r="J67" s="486"/>
      <c r="K67" s="486"/>
      <c r="L67" s="207"/>
      <c r="M67" s="207"/>
      <c r="N67" s="207"/>
      <c r="O67" s="207"/>
    </row>
    <row r="68" spans="1:15" ht="9" customHeight="1">
      <c r="A68" s="486"/>
      <c r="B68" s="486"/>
      <c r="C68" s="486"/>
      <c r="D68" s="486"/>
      <c r="E68" s="486"/>
      <c r="F68" s="486"/>
      <c r="G68" s="486"/>
      <c r="H68" s="486"/>
      <c r="I68" s="486"/>
      <c r="J68" s="486"/>
      <c r="K68" s="486"/>
      <c r="L68" s="207"/>
      <c r="M68" s="207"/>
      <c r="N68" s="207"/>
      <c r="O68" s="207"/>
    </row>
    <row r="69" spans="1:15" ht="12.75" customHeight="1">
      <c r="A69" s="550" t="s">
        <v>557</v>
      </c>
      <c r="B69" s="548"/>
      <c r="C69" s="548"/>
      <c r="D69" s="548"/>
      <c r="E69" s="548"/>
      <c r="F69" s="548"/>
      <c r="G69" s="548"/>
      <c r="H69" s="548"/>
      <c r="I69" s="548"/>
      <c r="J69" s="548"/>
      <c r="K69" s="548"/>
      <c r="L69" s="548"/>
      <c r="M69" s="548"/>
      <c r="N69" s="548"/>
      <c r="O69" s="548"/>
    </row>
    <row r="70" spans="1:15" ht="12.75">
      <c r="A70" s="552" t="s">
        <v>558</v>
      </c>
      <c r="B70" s="552"/>
      <c r="C70" s="552"/>
      <c r="D70" s="552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</row>
    <row r="71" spans="1:15" ht="12.75">
      <c r="A71" s="552"/>
      <c r="B71" s="552"/>
      <c r="C71" s="552"/>
      <c r="D71" s="552"/>
      <c r="E71" s="552"/>
      <c r="F71" s="552"/>
      <c r="G71" s="552"/>
      <c r="H71" s="552"/>
      <c r="I71" s="552"/>
      <c r="J71" s="552"/>
      <c r="K71" s="552"/>
      <c r="L71" s="552"/>
      <c r="M71" s="552"/>
      <c r="N71" s="552"/>
      <c r="O71" s="552"/>
    </row>
    <row r="72" spans="1:15" ht="12.75">
      <c r="A72" s="207"/>
      <c r="B72" s="486"/>
      <c r="C72" s="486"/>
      <c r="D72" s="486"/>
      <c r="E72" s="486"/>
      <c r="F72" s="486"/>
      <c r="G72" s="486"/>
      <c r="H72" s="486"/>
      <c r="I72" s="486"/>
      <c r="J72" s="486"/>
      <c r="K72" s="486"/>
      <c r="L72" s="207"/>
      <c r="M72" s="207"/>
      <c r="N72" s="207"/>
      <c r="O72" s="207"/>
    </row>
    <row r="73" spans="1:17" ht="12.75">
      <c r="A73" s="486"/>
      <c r="B73" s="486"/>
      <c r="C73" s="486"/>
      <c r="D73" s="486"/>
      <c r="E73" s="486"/>
      <c r="F73" s="486"/>
      <c r="G73" s="486"/>
      <c r="H73" s="486"/>
      <c r="I73" s="486"/>
      <c r="J73" s="486"/>
      <c r="K73" s="486"/>
      <c r="L73" s="486"/>
      <c r="M73" s="486"/>
      <c r="N73" s="207"/>
      <c r="O73" s="207"/>
      <c r="P73" s="207"/>
      <c r="Q73" s="207"/>
    </row>
    <row r="74" spans="1:17" ht="12.75">
      <c r="A74" s="207"/>
      <c r="B74" s="486"/>
      <c r="C74" s="486"/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207"/>
      <c r="O74" s="207"/>
      <c r="P74" s="207"/>
      <c r="Q74" s="207"/>
    </row>
    <row r="75" spans="1:17" ht="12.75">
      <c r="A75" s="207"/>
      <c r="B75" s="486"/>
      <c r="C75" s="486"/>
      <c r="D75" s="486"/>
      <c r="E75" s="486"/>
      <c r="F75" s="486"/>
      <c r="G75" s="486"/>
      <c r="H75" s="486"/>
      <c r="I75" s="486"/>
      <c r="J75" s="486"/>
      <c r="K75" s="486"/>
      <c r="L75" s="486"/>
      <c r="M75" s="486"/>
      <c r="N75" s="207"/>
      <c r="O75" s="207"/>
      <c r="P75" s="207"/>
      <c r="Q75" s="207"/>
    </row>
    <row r="76" spans="1:17" ht="12.75">
      <c r="A76" s="486"/>
      <c r="B76" s="486"/>
      <c r="C76" s="486"/>
      <c r="D76" s="486"/>
      <c r="E76" s="486"/>
      <c r="F76" s="486"/>
      <c r="G76" s="486"/>
      <c r="H76" s="486"/>
      <c r="I76" s="486"/>
      <c r="J76" s="486"/>
      <c r="K76" s="486"/>
      <c r="L76" s="486"/>
      <c r="M76" s="486"/>
      <c r="N76" s="207"/>
      <c r="O76" s="207"/>
      <c r="P76" s="207"/>
      <c r="Q76" s="207"/>
    </row>
    <row r="77" spans="1:17" ht="12.75">
      <c r="A77" s="207"/>
      <c r="B77" s="207"/>
      <c r="C77" s="486"/>
      <c r="D77" s="486"/>
      <c r="E77" s="486"/>
      <c r="F77" s="486"/>
      <c r="G77" s="486"/>
      <c r="H77" s="486"/>
      <c r="I77" s="486"/>
      <c r="J77" s="486"/>
      <c r="K77" s="486"/>
      <c r="L77" s="486"/>
      <c r="M77" s="486"/>
      <c r="N77" s="207"/>
      <c r="O77" s="207"/>
      <c r="P77" s="207"/>
      <c r="Q77" s="207"/>
    </row>
    <row r="78" spans="1:17" ht="12.75">
      <c r="A78" s="207"/>
      <c r="B78" s="207"/>
      <c r="C78" s="486"/>
      <c r="D78" s="486"/>
      <c r="E78" s="486"/>
      <c r="F78" s="486"/>
      <c r="G78" s="486"/>
      <c r="H78" s="486"/>
      <c r="I78" s="486"/>
      <c r="J78" s="486"/>
      <c r="K78" s="486"/>
      <c r="L78" s="486"/>
      <c r="M78" s="486"/>
      <c r="N78" s="207"/>
      <c r="O78" s="207"/>
      <c r="P78" s="207"/>
      <c r="Q78" s="207"/>
    </row>
    <row r="79" spans="1:17" ht="12.75">
      <c r="A79" s="486"/>
      <c r="B79" s="486"/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M79" s="486"/>
      <c r="N79" s="207"/>
      <c r="O79" s="207"/>
      <c r="P79" s="207"/>
      <c r="Q79" s="207"/>
    </row>
    <row r="80" spans="1:17" ht="12.75">
      <c r="A80" s="207"/>
      <c r="B80" s="486"/>
      <c r="C80" s="486"/>
      <c r="D80" s="486"/>
      <c r="E80" s="486"/>
      <c r="F80" s="486"/>
      <c r="G80" s="486"/>
      <c r="H80" s="486"/>
      <c r="I80" s="486"/>
      <c r="J80" s="486"/>
      <c r="K80" s="486"/>
      <c r="L80" s="486"/>
      <c r="M80" s="486"/>
      <c r="N80" s="207"/>
      <c r="O80" s="207"/>
      <c r="P80" s="207"/>
      <c r="Q80" s="207"/>
    </row>
    <row r="81" spans="1:17" ht="12.75">
      <c r="A81" s="207"/>
      <c r="B81" s="486"/>
      <c r="C81" s="486"/>
      <c r="D81" s="486"/>
      <c r="E81" s="486"/>
      <c r="F81" s="486"/>
      <c r="G81" s="486"/>
      <c r="H81" s="486"/>
      <c r="I81" s="486"/>
      <c r="J81" s="486"/>
      <c r="K81" s="486"/>
      <c r="L81" s="486"/>
      <c r="M81" s="486"/>
      <c r="N81" s="207"/>
      <c r="O81" s="207"/>
      <c r="P81" s="207"/>
      <c r="Q81" s="207"/>
    </row>
    <row r="82" spans="1:17" ht="12.75">
      <c r="A82" s="207"/>
      <c r="B82" s="207"/>
      <c r="C82" s="486"/>
      <c r="D82" s="486"/>
      <c r="E82" s="486"/>
      <c r="F82" s="486"/>
      <c r="G82" s="486"/>
      <c r="H82" s="486"/>
      <c r="I82" s="486"/>
      <c r="J82" s="486"/>
      <c r="K82" s="486"/>
      <c r="L82" s="486"/>
      <c r="M82" s="486"/>
      <c r="N82" s="207"/>
      <c r="O82" s="207"/>
      <c r="P82" s="207"/>
      <c r="Q82" s="207"/>
    </row>
    <row r="83" spans="1:17" ht="12.75">
      <c r="A83" s="207"/>
      <c r="B83" s="207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207"/>
      <c r="O83" s="207"/>
      <c r="P83" s="207"/>
      <c r="Q83" s="207"/>
    </row>
    <row r="84" spans="1:17" ht="12.75">
      <c r="A84" s="207"/>
      <c r="B84" s="207"/>
      <c r="C84" s="486"/>
      <c r="D84" s="486"/>
      <c r="E84" s="486"/>
      <c r="F84" s="486"/>
      <c r="G84" s="486"/>
      <c r="H84" s="486"/>
      <c r="I84" s="486"/>
      <c r="J84" s="486"/>
      <c r="K84" s="486"/>
      <c r="L84" s="486"/>
      <c r="M84" s="486"/>
      <c r="N84" s="207"/>
      <c r="O84" s="207"/>
      <c r="P84" s="207"/>
      <c r="Q84" s="207"/>
    </row>
    <row r="85" spans="1:17" ht="12.75">
      <c r="A85" s="207"/>
      <c r="B85" s="207"/>
      <c r="C85" s="486"/>
      <c r="D85" s="486"/>
      <c r="E85" s="486"/>
      <c r="F85" s="486"/>
      <c r="G85" s="486"/>
      <c r="H85" s="486"/>
      <c r="I85" s="486"/>
      <c r="J85" s="486"/>
      <c r="K85" s="486"/>
      <c r="L85" s="486"/>
      <c r="M85" s="486"/>
      <c r="N85" s="207"/>
      <c r="O85" s="207"/>
      <c r="P85" s="207"/>
      <c r="Q85" s="207"/>
    </row>
    <row r="86" spans="1:17" ht="12.75">
      <c r="A86" s="207"/>
      <c r="B86" s="207"/>
      <c r="D86" s="486"/>
      <c r="E86" s="486"/>
      <c r="F86" s="486"/>
      <c r="G86" s="486"/>
      <c r="H86" s="486"/>
      <c r="I86" s="486"/>
      <c r="J86" s="486"/>
      <c r="K86" s="486"/>
      <c r="L86" s="486"/>
      <c r="M86" s="486"/>
      <c r="N86" s="207"/>
      <c r="O86" s="207"/>
      <c r="P86" s="207"/>
      <c r="Q86" s="207"/>
    </row>
    <row r="87" spans="1:17" ht="12.75">
      <c r="A87" s="207"/>
      <c r="B87" s="207"/>
      <c r="C87" s="550"/>
      <c r="D87" s="550"/>
      <c r="E87" s="550"/>
      <c r="F87" s="550"/>
      <c r="G87" s="550"/>
      <c r="H87" s="550"/>
      <c r="I87" s="550"/>
      <c r="J87" s="550"/>
      <c r="K87" s="550"/>
      <c r="L87" s="550"/>
      <c r="M87" s="550"/>
      <c r="N87" s="550"/>
      <c r="O87" s="550"/>
      <c r="P87" s="550"/>
      <c r="Q87" s="550"/>
    </row>
    <row r="88" spans="1:17" ht="12.75">
      <c r="A88" s="207"/>
      <c r="B88" s="207"/>
      <c r="C88" s="486"/>
      <c r="D88" s="486"/>
      <c r="E88" s="486"/>
      <c r="F88" s="486"/>
      <c r="G88" s="486"/>
      <c r="H88" s="486"/>
      <c r="I88" s="486"/>
      <c r="J88" s="486"/>
      <c r="K88" s="486"/>
      <c r="L88" s="486"/>
      <c r="M88" s="486"/>
      <c r="N88" s="207"/>
      <c r="O88" s="207"/>
      <c r="P88" s="207"/>
      <c r="Q88" s="207"/>
    </row>
    <row r="89" spans="1:15" ht="12.75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</row>
    <row r="90" spans="1:15" ht="12.75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</row>
    <row r="91" spans="1:15" ht="12.75">
      <c r="A91" s="207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</row>
    <row r="92" spans="1:15" ht="12.75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</row>
    <row r="93" spans="1:15" ht="12.75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</row>
    <row r="94" spans="1:15" ht="12.75">
      <c r="A94" s="207"/>
      <c r="B94" s="207"/>
      <c r="C94" s="207"/>
      <c r="D94" s="207"/>
      <c r="E94" s="207" t="s">
        <v>167</v>
      </c>
      <c r="F94" s="207"/>
      <c r="G94" s="207"/>
      <c r="H94" s="207"/>
      <c r="I94" s="207"/>
      <c r="J94" s="207"/>
      <c r="K94" s="207"/>
      <c r="L94" s="207"/>
      <c r="M94" s="207"/>
      <c r="N94" s="207"/>
      <c r="O94" s="207"/>
    </row>
    <row r="95" spans="1:15" ht="12.75">
      <c r="A95" s="207"/>
      <c r="B95" s="207"/>
      <c r="C95" s="207"/>
      <c r="D95" s="207"/>
      <c r="E95" s="207" t="s">
        <v>167</v>
      </c>
      <c r="F95" s="207"/>
      <c r="G95" s="207"/>
      <c r="H95" s="207"/>
      <c r="I95" s="207"/>
      <c r="J95" s="207"/>
      <c r="K95" s="207"/>
      <c r="L95" s="207"/>
      <c r="M95" s="207"/>
      <c r="N95" s="207"/>
      <c r="O95" s="207"/>
    </row>
    <row r="96" spans="1:15" ht="12.75">
      <c r="A96" s="207"/>
      <c r="B96" s="207"/>
      <c r="C96" s="207"/>
      <c r="D96" s="207"/>
      <c r="E96" s="207" t="s">
        <v>167</v>
      </c>
      <c r="F96" s="207"/>
      <c r="G96" s="207"/>
      <c r="H96" s="207"/>
      <c r="I96" s="207"/>
      <c r="J96" s="207"/>
      <c r="K96" s="207"/>
      <c r="L96" s="207"/>
      <c r="M96" s="207"/>
      <c r="N96" s="207"/>
      <c r="O96" s="207"/>
    </row>
    <row r="97" spans="1:15" ht="12.75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</row>
    <row r="98" spans="1:15" ht="12.75">
      <c r="A98" s="207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</row>
    <row r="99" spans="1:15" ht="12.75">
      <c r="A99" s="207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</row>
    <row r="100" spans="1:15" ht="12.75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</row>
    <row r="101" spans="1:15" ht="12.75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</row>
    <row r="102" spans="1:15" ht="12.75">
      <c r="A102" s="207"/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</row>
    <row r="103" spans="1:15" ht="12.75">
      <c r="A103" s="207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</row>
  </sheetData>
  <sheetProtection/>
  <mergeCells count="9">
    <mergeCell ref="A3:C3"/>
    <mergeCell ref="A4:C4"/>
    <mergeCell ref="C87:Q87"/>
    <mergeCell ref="A29:O29"/>
    <mergeCell ref="A31:O31"/>
    <mergeCell ref="A69:O69"/>
    <mergeCell ref="A30:O30"/>
    <mergeCell ref="A70:O70"/>
    <mergeCell ref="A71:O71"/>
  </mergeCells>
  <printOptions gridLines="1" headings="1"/>
  <pageMargins left="0.46" right="0.236220472440945" top="0.39" bottom="0.38" header="0.17" footer="0"/>
  <pageSetup horizontalDpi="600" verticalDpi="600" orientation="portrait" scale="70" r:id="rId1"/>
  <headerFooter alignWithMargins="0">
    <oddHeader>&amp;C&amp;F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F38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0.57421875" style="0" customWidth="1"/>
    <col min="4" max="4" width="3.7109375" style="0" customWidth="1"/>
    <col min="5" max="5" width="14.57421875" style="0" customWidth="1"/>
    <col min="6" max="6" width="13.8515625" style="0" customWidth="1"/>
  </cols>
  <sheetData>
    <row r="1" spans="2:4" ht="12.75">
      <c r="B1" s="1" t="str">
        <f>REGINFO!A1</f>
        <v>SIMPIL RRR FILING</v>
      </c>
      <c r="C1" s="1"/>
      <c r="D1" s="8"/>
    </row>
    <row r="2" spans="2:5" ht="12.75">
      <c r="B2" s="2" t="s">
        <v>604</v>
      </c>
      <c r="C2" s="27" t="s">
        <v>564</v>
      </c>
      <c r="D2" s="8"/>
      <c r="E2" s="27" t="s">
        <v>480</v>
      </c>
    </row>
    <row r="3" spans="2:5" ht="12.75">
      <c r="B3" s="346" t="str">
        <f>REGINFO!A3</f>
        <v>Utility Name:  Centre Wellington Hydro Ltd</v>
      </c>
      <c r="C3" s="27" t="s">
        <v>565</v>
      </c>
      <c r="D3" s="8"/>
      <c r="E3" s="27" t="s">
        <v>441</v>
      </c>
    </row>
    <row r="4" spans="1:6" ht="13.5" thickBot="1">
      <c r="A4" s="262"/>
      <c r="B4" s="529" t="str">
        <f>REGINFO!A4</f>
        <v>Reporting period:   2005</v>
      </c>
      <c r="C4" s="263"/>
      <c r="D4" s="265"/>
      <c r="E4" s="264"/>
      <c r="F4" s="270"/>
    </row>
    <row r="5" spans="1:6" ht="13.5" thickTop="1">
      <c r="A5" s="262"/>
      <c r="B5" s="266"/>
      <c r="C5" s="266"/>
      <c r="D5" s="267"/>
      <c r="E5" s="262"/>
      <c r="F5" s="270"/>
    </row>
    <row r="6" spans="2:5" ht="12.75">
      <c r="B6" s="520" t="s">
        <v>578</v>
      </c>
      <c r="C6" s="553"/>
      <c r="D6" s="553"/>
      <c r="E6" s="553"/>
    </row>
    <row r="7" spans="1:6" ht="12.75">
      <c r="A7" s="262"/>
      <c r="B7" s="521" t="s">
        <v>579</v>
      </c>
      <c r="C7" s="554"/>
      <c r="D7" s="553"/>
      <c r="E7" s="553"/>
      <c r="F7" s="270"/>
    </row>
    <row r="8" spans="1:6" ht="12.75">
      <c r="A8" s="262"/>
      <c r="B8" s="521" t="s">
        <v>580</v>
      </c>
      <c r="C8" s="522"/>
      <c r="D8" s="523"/>
      <c r="E8" s="524"/>
      <c r="F8" s="270"/>
    </row>
    <row r="9" spans="1:6" ht="12.75">
      <c r="A9" s="262"/>
      <c r="B9" s="266"/>
      <c r="C9" s="266"/>
      <c r="D9" s="267"/>
      <c r="E9" s="262"/>
      <c r="F9" s="270"/>
    </row>
    <row r="10" spans="1:6" ht="12.75">
      <c r="A10" s="266"/>
      <c r="B10" s="266" t="s">
        <v>292</v>
      </c>
      <c r="C10" s="266"/>
      <c r="D10" s="262"/>
      <c r="E10" s="262"/>
      <c r="F10" s="262"/>
    </row>
    <row r="11" spans="1:6" ht="12.75">
      <c r="A11" s="266"/>
      <c r="B11" s="266" t="s">
        <v>598</v>
      </c>
      <c r="C11" s="266"/>
      <c r="D11" s="262"/>
      <c r="E11" s="262"/>
      <c r="F11" s="262"/>
    </row>
    <row r="12" spans="1:6" ht="12.75">
      <c r="A12" s="266"/>
      <c r="D12" s="262"/>
      <c r="E12" s="262"/>
      <c r="F12" s="262"/>
    </row>
    <row r="13" spans="1:6" ht="12.75">
      <c r="A13" s="266"/>
      <c r="B13" s="467" t="s">
        <v>569</v>
      </c>
      <c r="C13" s="467"/>
      <c r="D13" s="262"/>
      <c r="E13" s="262"/>
      <c r="F13" s="262"/>
    </row>
    <row r="14" spans="1:6" ht="13.5" thickBot="1">
      <c r="A14" s="266"/>
      <c r="B14" s="262"/>
      <c r="C14" s="262"/>
      <c r="D14" s="262"/>
      <c r="E14" s="262"/>
      <c r="F14" s="262"/>
    </row>
    <row r="15" spans="1:6" ht="13.5" thickBot="1">
      <c r="A15" s="268" t="s">
        <v>293</v>
      </c>
      <c r="B15" s="266" t="s">
        <v>442</v>
      </c>
      <c r="C15" s="268">
        <v>2</v>
      </c>
      <c r="D15" s="269" t="s">
        <v>327</v>
      </c>
      <c r="E15" s="262"/>
      <c r="F15" s="262"/>
    </row>
    <row r="16" spans="1:6" ht="13.5" thickBot="1">
      <c r="A16" s="268"/>
      <c r="B16" s="266"/>
      <c r="C16" s="268"/>
      <c r="D16" s="262"/>
      <c r="E16" s="262"/>
      <c r="F16" s="262"/>
    </row>
    <row r="17" spans="1:6" ht="13.5" thickBot="1">
      <c r="A17" s="268" t="s">
        <v>294</v>
      </c>
      <c r="B17" s="266" t="s">
        <v>443</v>
      </c>
      <c r="C17" s="268">
        <v>2</v>
      </c>
      <c r="D17" s="269" t="s">
        <v>327</v>
      </c>
      <c r="E17" s="262"/>
      <c r="F17" s="262"/>
    </row>
    <row r="18" spans="1:6" ht="13.5" thickBot="1">
      <c r="A18" s="268"/>
      <c r="B18" s="266"/>
      <c r="C18" s="268"/>
      <c r="D18" s="262"/>
      <c r="E18" s="262"/>
      <c r="F18" s="262"/>
    </row>
    <row r="19" spans="1:6" ht="13.5" thickBot="1">
      <c r="A19" s="268" t="s">
        <v>295</v>
      </c>
      <c r="B19" s="266" t="s">
        <v>154</v>
      </c>
      <c r="C19" s="268">
        <v>2</v>
      </c>
      <c r="D19" s="269" t="s">
        <v>327</v>
      </c>
      <c r="E19" s="262"/>
      <c r="F19" s="262"/>
    </row>
    <row r="20" spans="1:6" ht="13.5" thickBot="1">
      <c r="A20" s="268"/>
      <c r="B20" s="266"/>
      <c r="C20" s="268"/>
      <c r="D20" s="270"/>
      <c r="E20" s="262"/>
      <c r="F20" s="262"/>
    </row>
    <row r="21" spans="1:6" ht="13.5" thickBot="1">
      <c r="A21" s="268" t="s">
        <v>296</v>
      </c>
      <c r="B21" s="266" t="s">
        <v>444</v>
      </c>
      <c r="C21" s="268">
        <v>2</v>
      </c>
      <c r="D21" s="269" t="s">
        <v>327</v>
      </c>
      <c r="E21" s="262"/>
      <c r="F21" s="262"/>
    </row>
    <row r="22" spans="1:6" ht="13.5" thickBot="1">
      <c r="A22" s="268"/>
      <c r="B22" s="266"/>
      <c r="C22" s="268"/>
      <c r="D22" s="270"/>
      <c r="E22" s="262"/>
      <c r="F22" s="262"/>
    </row>
    <row r="23" spans="1:6" ht="13.5" thickBot="1">
      <c r="A23" s="268" t="s">
        <v>297</v>
      </c>
      <c r="B23" s="266" t="s">
        <v>446</v>
      </c>
      <c r="C23" s="268">
        <v>2</v>
      </c>
      <c r="D23" s="269" t="s">
        <v>327</v>
      </c>
      <c r="E23" s="262"/>
      <c r="F23" s="262"/>
    </row>
    <row r="24" spans="1:6" ht="13.5" thickBot="1">
      <c r="A24" s="268"/>
      <c r="B24" s="266"/>
      <c r="C24" s="268"/>
      <c r="D24" s="270"/>
      <c r="E24" s="262"/>
      <c r="F24" s="262"/>
    </row>
    <row r="25" spans="1:6" ht="13.5" thickBot="1">
      <c r="A25" s="268" t="s">
        <v>299</v>
      </c>
      <c r="B25" s="266" t="s">
        <v>445</v>
      </c>
      <c r="C25" s="268">
        <v>2</v>
      </c>
      <c r="D25" s="269" t="s">
        <v>327</v>
      </c>
      <c r="E25" s="262"/>
      <c r="F25" s="262"/>
    </row>
    <row r="26" spans="1:6" ht="13.5" thickBot="1">
      <c r="A26" s="268"/>
      <c r="C26" s="268"/>
      <c r="D26" s="262"/>
      <c r="E26" s="262"/>
      <c r="F26" s="262"/>
    </row>
    <row r="27" spans="1:6" ht="13.5" thickBot="1">
      <c r="A27" s="268" t="s">
        <v>322</v>
      </c>
      <c r="B27" s="266" t="s">
        <v>567</v>
      </c>
      <c r="C27" s="268">
        <v>2</v>
      </c>
      <c r="D27" s="269" t="s">
        <v>327</v>
      </c>
      <c r="E27" s="262"/>
      <c r="F27" s="262"/>
    </row>
    <row r="28" spans="1:6" ht="13.5" thickBot="1">
      <c r="A28" s="268"/>
      <c r="B28" s="266"/>
      <c r="C28" s="268"/>
      <c r="D28" s="262"/>
      <c r="E28" s="262"/>
      <c r="F28" s="262"/>
    </row>
    <row r="29" spans="1:6" ht="13.5" thickBot="1">
      <c r="A29" s="268" t="s">
        <v>447</v>
      </c>
      <c r="B29" s="266" t="s">
        <v>298</v>
      </c>
      <c r="C29" s="268">
        <v>2</v>
      </c>
      <c r="D29" s="269" t="s">
        <v>327</v>
      </c>
      <c r="E29" s="262"/>
      <c r="F29" s="262"/>
    </row>
    <row r="30" spans="1:6" ht="12.75">
      <c r="A30" s="268"/>
      <c r="B30" s="266"/>
      <c r="C30" s="268"/>
      <c r="D30" s="262"/>
      <c r="E30" s="262"/>
      <c r="F30" s="262"/>
    </row>
    <row r="31" spans="1:6" ht="13.5" thickBot="1">
      <c r="A31" s="268"/>
      <c r="B31" s="266"/>
      <c r="C31" s="268"/>
      <c r="D31" s="262"/>
      <c r="E31" s="262"/>
      <c r="F31" s="262"/>
    </row>
    <row r="32" spans="1:6" ht="28.5" customHeight="1" thickBot="1">
      <c r="A32" s="268" t="s">
        <v>323</v>
      </c>
      <c r="B32" s="509" t="s">
        <v>583</v>
      </c>
      <c r="C32" s="516">
        <v>2</v>
      </c>
      <c r="D32" s="269" t="s">
        <v>327</v>
      </c>
      <c r="E32" s="262"/>
      <c r="F32" s="262"/>
    </row>
    <row r="33" spans="1:6" ht="13.5" thickBot="1">
      <c r="A33" s="268"/>
      <c r="B33" s="266"/>
      <c r="C33" s="268"/>
      <c r="D33" s="270"/>
      <c r="E33" s="262"/>
      <c r="F33" s="262"/>
    </row>
    <row r="34" spans="1:6" ht="13.5" thickBot="1">
      <c r="A34" s="268" t="s">
        <v>300</v>
      </c>
      <c r="B34" s="266" t="s">
        <v>609</v>
      </c>
      <c r="C34" s="268">
        <v>1</v>
      </c>
      <c r="D34" s="269" t="s">
        <v>327</v>
      </c>
      <c r="E34" s="262"/>
      <c r="F34" s="262"/>
    </row>
    <row r="35" spans="1:6" ht="12.75">
      <c r="A35" s="267"/>
      <c r="B35" s="262"/>
      <c r="C35" s="267"/>
      <c r="D35" s="262"/>
      <c r="E35" s="262"/>
      <c r="F35" s="262"/>
    </row>
    <row r="36" spans="1:6" ht="13.5" thickBot="1">
      <c r="A36" s="27" t="s">
        <v>448</v>
      </c>
      <c r="B36" s="92" t="s">
        <v>566</v>
      </c>
      <c r="C36" s="517"/>
      <c r="E36" s="262"/>
      <c r="F36" s="262"/>
    </row>
    <row r="37" spans="1:6" ht="13.5" thickBot="1">
      <c r="A37" s="267"/>
      <c r="B37" s="466">
        <v>2001</v>
      </c>
      <c r="C37" s="268">
        <v>1</v>
      </c>
      <c r="D37" s="269" t="s">
        <v>327</v>
      </c>
      <c r="E37" s="262"/>
      <c r="F37" s="262"/>
    </row>
    <row r="38" spans="1:6" ht="13.5" thickBot="1">
      <c r="A38" s="8"/>
      <c r="B38" s="104">
        <v>2002</v>
      </c>
      <c r="C38" s="27">
        <v>1</v>
      </c>
      <c r="D38" s="269" t="s">
        <v>327</v>
      </c>
      <c r="E38" s="262"/>
      <c r="F38" s="262"/>
    </row>
    <row r="39" spans="1:6" ht="13.5" thickBot="1">
      <c r="A39" s="267"/>
      <c r="B39" s="466">
        <v>2003</v>
      </c>
      <c r="C39" s="268">
        <v>1</v>
      </c>
      <c r="D39" s="269" t="s">
        <v>327</v>
      </c>
      <c r="E39" s="262"/>
      <c r="F39" s="262"/>
    </row>
    <row r="40" spans="1:6" ht="13.5" thickBot="1">
      <c r="A40" s="267"/>
      <c r="B40" s="466">
        <v>2004</v>
      </c>
      <c r="C40" s="268">
        <v>1</v>
      </c>
      <c r="D40" s="269"/>
      <c r="E40" s="262"/>
      <c r="F40" s="262"/>
    </row>
    <row r="41" spans="1:6" ht="13.5" thickBot="1">
      <c r="A41" s="267"/>
      <c r="B41" s="466">
        <v>2005</v>
      </c>
      <c r="C41" s="268">
        <v>1</v>
      </c>
      <c r="D41" s="269" t="s">
        <v>327</v>
      </c>
      <c r="E41" s="262"/>
      <c r="F41" s="262"/>
    </row>
    <row r="42" spans="1:6" ht="13.5" thickBot="1">
      <c r="A42" s="267"/>
      <c r="B42" s="262"/>
      <c r="C42" s="267"/>
      <c r="D42" s="262"/>
      <c r="E42" s="262"/>
      <c r="F42" s="262"/>
    </row>
    <row r="43" spans="1:6" ht="13.5" thickBot="1">
      <c r="A43" s="268" t="s">
        <v>449</v>
      </c>
      <c r="B43" s="266" t="s">
        <v>581</v>
      </c>
      <c r="C43" s="268">
        <v>1</v>
      </c>
      <c r="D43" s="469" t="s">
        <v>327</v>
      </c>
      <c r="E43" s="262"/>
      <c r="F43" s="262"/>
    </row>
    <row r="44" spans="1:6" ht="13.5" thickBot="1">
      <c r="A44" s="268"/>
      <c r="B44" s="266"/>
      <c r="C44" s="518"/>
      <c r="D44" s="519"/>
      <c r="E44" s="270"/>
      <c r="F44" s="262"/>
    </row>
    <row r="45" spans="1:6" ht="13.5" thickBot="1">
      <c r="A45" s="268" t="s">
        <v>450</v>
      </c>
      <c r="B45" s="266" t="s">
        <v>582</v>
      </c>
      <c r="C45" s="268">
        <v>1</v>
      </c>
      <c r="D45" s="469" t="s">
        <v>327</v>
      </c>
      <c r="E45" s="262"/>
      <c r="F45" s="262"/>
    </row>
    <row r="46" spans="1:6" ht="12.75">
      <c r="A46" s="267"/>
      <c r="B46" s="262"/>
      <c r="C46" s="262"/>
      <c r="D46" s="262"/>
      <c r="E46" s="262"/>
      <c r="F46" s="262"/>
    </row>
    <row r="47" spans="1:6" ht="12.75">
      <c r="A47" s="267"/>
      <c r="B47" s="508" t="s">
        <v>584</v>
      </c>
      <c r="C47" s="262"/>
      <c r="D47" s="262"/>
      <c r="E47" s="262"/>
      <c r="F47" s="262"/>
    </row>
    <row r="48" spans="1:6" ht="12.75">
      <c r="A48" s="267"/>
      <c r="B48" s="508" t="s">
        <v>585</v>
      </c>
      <c r="C48" s="262"/>
      <c r="D48" s="262"/>
      <c r="E48" s="262"/>
      <c r="F48" s="262"/>
    </row>
    <row r="49" spans="1:6" ht="12.75">
      <c r="A49" s="267"/>
      <c r="B49" s="262"/>
      <c r="C49" s="262"/>
      <c r="D49" s="262"/>
      <c r="E49" s="262"/>
      <c r="F49" s="262"/>
    </row>
    <row r="50" spans="1:6" ht="12.75">
      <c r="A50" s="262"/>
      <c r="B50" s="262"/>
      <c r="C50" s="262"/>
      <c r="D50" s="262"/>
      <c r="E50" s="262"/>
      <c r="F50" s="262"/>
    </row>
    <row r="51" spans="1:6" ht="12.75">
      <c r="A51" s="262"/>
      <c r="B51" s="262"/>
      <c r="C51" s="262"/>
      <c r="D51" s="262"/>
      <c r="E51" s="262"/>
      <c r="F51" s="262"/>
    </row>
    <row r="52" spans="1:6" ht="12.75">
      <c r="A52" s="262"/>
      <c r="B52" s="262"/>
      <c r="C52" s="262"/>
      <c r="D52" s="262"/>
      <c r="E52" s="262"/>
      <c r="F52" s="262"/>
    </row>
    <row r="53" spans="1:6" ht="12.75">
      <c r="A53" s="262"/>
      <c r="B53" s="262"/>
      <c r="C53" s="262"/>
      <c r="D53" s="262"/>
      <c r="E53" s="262"/>
      <c r="F53" s="262"/>
    </row>
    <row r="54" spans="1:6" ht="12.75">
      <c r="A54" s="262"/>
      <c r="B54" s="262"/>
      <c r="C54" s="262"/>
      <c r="D54" s="262"/>
      <c r="E54" s="262"/>
      <c r="F54" s="262"/>
    </row>
    <row r="55" spans="1:6" ht="12.75">
      <c r="A55" s="262"/>
      <c r="B55" s="262"/>
      <c r="C55" s="262"/>
      <c r="D55" s="262"/>
      <c r="E55" s="262"/>
      <c r="F55" s="262"/>
    </row>
    <row r="56" spans="1:6" ht="12.75">
      <c r="A56" s="262"/>
      <c r="B56" s="262"/>
      <c r="C56" s="262"/>
      <c r="D56" s="262"/>
      <c r="E56" s="262"/>
      <c r="F56" s="262"/>
    </row>
    <row r="57" spans="1:6" ht="12.75">
      <c r="A57" s="262"/>
      <c r="B57" s="262"/>
      <c r="C57" s="262"/>
      <c r="D57" s="262"/>
      <c r="E57" s="262"/>
      <c r="F57" s="262"/>
    </row>
    <row r="58" spans="1:6" ht="12.75">
      <c r="A58" s="262"/>
      <c r="B58" s="262"/>
      <c r="C58" s="262"/>
      <c r="D58" s="262"/>
      <c r="E58" s="262"/>
      <c r="F58" s="262"/>
    </row>
    <row r="59" spans="1:6" ht="12.75">
      <c r="A59" s="262"/>
      <c r="B59" s="262"/>
      <c r="C59" s="262"/>
      <c r="D59" s="262"/>
      <c r="E59" s="262"/>
      <c r="F59" s="262"/>
    </row>
    <row r="60" spans="1:6" ht="12.75">
      <c r="A60" s="262"/>
      <c r="B60" s="262"/>
      <c r="C60" s="262"/>
      <c r="D60" s="262"/>
      <c r="E60" s="262"/>
      <c r="F60" s="262"/>
    </row>
    <row r="61" spans="1:6" ht="12.75">
      <c r="A61" s="262"/>
      <c r="B61" s="262"/>
      <c r="C61" s="262"/>
      <c r="D61" s="262"/>
      <c r="E61" s="262"/>
      <c r="F61" s="262"/>
    </row>
    <row r="62" spans="1:6" ht="12.75">
      <c r="A62" s="262"/>
      <c r="B62" s="262"/>
      <c r="C62" s="262"/>
      <c r="D62" s="262"/>
      <c r="E62" s="262"/>
      <c r="F62" s="262"/>
    </row>
    <row r="63" spans="1:6" ht="12.75">
      <c r="A63" s="262"/>
      <c r="B63" s="262"/>
      <c r="C63" s="262"/>
      <c r="D63" s="262"/>
      <c r="E63" s="262"/>
      <c r="F63" s="262"/>
    </row>
    <row r="64" spans="1:6" ht="12.75">
      <c r="A64" s="262"/>
      <c r="B64" s="262"/>
      <c r="C64" s="262"/>
      <c r="D64" s="262"/>
      <c r="E64" s="262"/>
      <c r="F64" s="262"/>
    </row>
    <row r="65" spans="1:6" ht="12.75">
      <c r="A65" s="262"/>
      <c r="B65" s="262"/>
      <c r="C65" s="262"/>
      <c r="D65" s="262"/>
      <c r="E65" s="262"/>
      <c r="F65" s="262"/>
    </row>
    <row r="66" spans="1:6" ht="12.75">
      <c r="A66" s="262"/>
      <c r="B66" s="262"/>
      <c r="C66" s="262"/>
      <c r="D66" s="262"/>
      <c r="E66" s="262"/>
      <c r="F66" s="262"/>
    </row>
    <row r="67" spans="1:6" ht="12.75">
      <c r="A67" s="262"/>
      <c r="B67" s="262"/>
      <c r="C67" s="262"/>
      <c r="D67" s="262"/>
      <c r="E67" s="262"/>
      <c r="F67" s="262"/>
    </row>
    <row r="68" spans="1:6" ht="12.75">
      <c r="A68" s="262"/>
      <c r="B68" s="262"/>
      <c r="C68" s="262"/>
      <c r="D68" s="262"/>
      <c r="E68" s="262"/>
      <c r="F68" s="262"/>
    </row>
    <row r="69" spans="1:6" ht="12.75">
      <c r="A69" s="262"/>
      <c r="B69" s="262"/>
      <c r="C69" s="262"/>
      <c r="D69" s="262"/>
      <c r="E69" s="262"/>
      <c r="F69" s="262"/>
    </row>
    <row r="70" spans="1:6" ht="12.75">
      <c r="A70" s="262"/>
      <c r="B70" s="262"/>
      <c r="C70" s="262"/>
      <c r="D70" s="262"/>
      <c r="E70" s="262"/>
      <c r="F70" s="262"/>
    </row>
    <row r="71" spans="1:6" ht="12.75">
      <c r="A71" s="262"/>
      <c r="B71" s="262"/>
      <c r="C71" s="262"/>
      <c r="D71" s="262"/>
      <c r="E71" s="262"/>
      <c r="F71" s="262"/>
    </row>
    <row r="72" spans="1:6" ht="12.75">
      <c r="A72" s="262"/>
      <c r="B72" s="262"/>
      <c r="C72" s="262"/>
      <c r="D72" s="262"/>
      <c r="E72" s="262"/>
      <c r="F72" s="262"/>
    </row>
    <row r="73" spans="1:6" ht="12.75">
      <c r="A73" s="262"/>
      <c r="B73" s="262"/>
      <c r="C73" s="262"/>
      <c r="D73" s="262"/>
      <c r="E73" s="262"/>
      <c r="F73" s="262"/>
    </row>
    <row r="74" spans="1:6" ht="12.75">
      <c r="A74" s="262"/>
      <c r="B74" s="262"/>
      <c r="C74" s="262"/>
      <c r="D74" s="262"/>
      <c r="E74" s="262"/>
      <c r="F74" s="262"/>
    </row>
    <row r="75" spans="1:6" ht="12.75">
      <c r="A75" s="262"/>
      <c r="B75" s="262"/>
      <c r="C75" s="262"/>
      <c r="D75" s="262"/>
      <c r="E75" s="262"/>
      <c r="F75" s="262"/>
    </row>
    <row r="76" spans="1:6" ht="12.75">
      <c r="A76" s="262"/>
      <c r="B76" s="262"/>
      <c r="C76" s="262"/>
      <c r="D76" s="262"/>
      <c r="E76" s="262"/>
      <c r="F76" s="262"/>
    </row>
    <row r="77" spans="1:6" ht="12.75">
      <c r="A77" s="262"/>
      <c r="B77" s="262"/>
      <c r="C77" s="262"/>
      <c r="D77" s="262"/>
      <c r="E77" s="262"/>
      <c r="F77" s="262"/>
    </row>
    <row r="78" spans="1:6" ht="12.75">
      <c r="A78" s="262"/>
      <c r="B78" s="262"/>
      <c r="C78" s="262"/>
      <c r="D78" s="262"/>
      <c r="E78" s="262"/>
      <c r="F78" s="262"/>
    </row>
    <row r="79" spans="1:6" ht="12.75">
      <c r="A79" s="262"/>
      <c r="B79" s="262"/>
      <c r="C79" s="262"/>
      <c r="D79" s="262"/>
      <c r="E79" s="262"/>
      <c r="F79" s="262"/>
    </row>
    <row r="80" spans="1:6" ht="12.75">
      <c r="A80" s="262"/>
      <c r="B80" s="262"/>
      <c r="C80" s="262"/>
      <c r="D80" s="262"/>
      <c r="E80" s="262"/>
      <c r="F80" s="262"/>
    </row>
    <row r="81" spans="1:6" ht="12.75">
      <c r="A81" s="262"/>
      <c r="B81" s="262"/>
      <c r="C81" s="262"/>
      <c r="D81" s="262"/>
      <c r="E81" s="262"/>
      <c r="F81" s="262"/>
    </row>
    <row r="82" spans="1:6" ht="12.75">
      <c r="A82" s="262"/>
      <c r="B82" s="262"/>
      <c r="C82" s="262"/>
      <c r="D82" s="262"/>
      <c r="E82" s="262"/>
      <c r="F82" s="262"/>
    </row>
    <row r="83" spans="1:6" ht="12.75">
      <c r="A83" s="262"/>
      <c r="B83" s="262"/>
      <c r="C83" s="262"/>
      <c r="D83" s="262"/>
      <c r="E83" s="262"/>
      <c r="F83" s="262"/>
    </row>
    <row r="84" spans="1:6" ht="12.75">
      <c r="A84" s="262"/>
      <c r="B84" s="262"/>
      <c r="C84" s="262"/>
      <c r="D84" s="262"/>
      <c r="E84" s="262"/>
      <c r="F84" s="262"/>
    </row>
    <row r="85" spans="1:6" ht="12.75">
      <c r="A85" s="262"/>
      <c r="B85" s="262"/>
      <c r="C85" s="262"/>
      <c r="D85" s="262"/>
      <c r="E85" s="262"/>
      <c r="F85" s="262"/>
    </row>
    <row r="86" spans="1:6" ht="12.75">
      <c r="A86" s="262"/>
      <c r="B86" s="262"/>
      <c r="C86" s="262"/>
      <c r="D86" s="262"/>
      <c r="E86" s="262"/>
      <c r="F86" s="262"/>
    </row>
    <row r="87" spans="1:6" ht="12.75">
      <c r="A87" s="262"/>
      <c r="B87" s="262"/>
      <c r="C87" s="262"/>
      <c r="D87" s="262"/>
      <c r="E87" s="262"/>
      <c r="F87" s="262"/>
    </row>
    <row r="88" spans="1:6" ht="12.75">
      <c r="A88" s="262"/>
      <c r="B88" s="262"/>
      <c r="C88" s="262"/>
      <c r="D88" s="262"/>
      <c r="E88" s="262"/>
      <c r="F88" s="262"/>
    </row>
    <row r="89" spans="1:6" ht="12.75">
      <c r="A89" s="262"/>
      <c r="B89" s="262"/>
      <c r="C89" s="262"/>
      <c r="D89" s="262"/>
      <c r="E89" s="262"/>
      <c r="F89" s="262"/>
    </row>
    <row r="90" spans="1:6" ht="12.75">
      <c r="A90" s="262"/>
      <c r="B90" s="262"/>
      <c r="C90" s="262"/>
      <c r="D90" s="262"/>
      <c r="E90" s="262"/>
      <c r="F90" s="262"/>
    </row>
    <row r="91" spans="1:6" ht="12.75">
      <c r="A91" s="262"/>
      <c r="B91" s="262"/>
      <c r="C91" s="262"/>
      <c r="D91" s="262"/>
      <c r="E91" s="262"/>
      <c r="F91" s="262"/>
    </row>
    <row r="92" spans="1:6" ht="12.75">
      <c r="A92" s="262"/>
      <c r="B92" s="262"/>
      <c r="C92" s="262"/>
      <c r="D92" s="262"/>
      <c r="E92" s="262"/>
      <c r="F92" s="262"/>
    </row>
    <row r="93" spans="1:6" ht="12.75">
      <c r="A93" s="262"/>
      <c r="B93" s="262"/>
      <c r="C93" s="262"/>
      <c r="D93" s="262"/>
      <c r="E93" s="262"/>
      <c r="F93" s="262"/>
    </row>
    <row r="94" spans="1:6" ht="12.75">
      <c r="A94" s="262"/>
      <c r="B94" s="262"/>
      <c r="C94" s="262"/>
      <c r="D94" s="262"/>
      <c r="E94" s="262"/>
      <c r="F94" s="262"/>
    </row>
    <row r="95" spans="1:6" ht="12.75">
      <c r="A95" s="262"/>
      <c r="B95" s="262"/>
      <c r="C95" s="262"/>
      <c r="D95" s="262"/>
      <c r="E95" s="262"/>
      <c r="F95" s="262"/>
    </row>
    <row r="96" spans="1:6" ht="12.75">
      <c r="A96" s="262"/>
      <c r="B96" s="262"/>
      <c r="C96" s="262"/>
      <c r="D96" s="262"/>
      <c r="E96" s="262"/>
      <c r="F96" s="262"/>
    </row>
    <row r="97" spans="1:6" ht="12.75">
      <c r="A97" s="262"/>
      <c r="B97" s="262"/>
      <c r="C97" s="262"/>
      <c r="D97" s="262"/>
      <c r="E97" s="262"/>
      <c r="F97" s="262"/>
    </row>
    <row r="98" spans="1:6" ht="12.75">
      <c r="A98" s="262"/>
      <c r="B98" s="262"/>
      <c r="C98" s="262"/>
      <c r="D98" s="262"/>
      <c r="E98" s="262"/>
      <c r="F98" s="262"/>
    </row>
    <row r="99" spans="1:6" ht="12.75">
      <c r="A99" s="262"/>
      <c r="B99" s="262"/>
      <c r="C99" s="262"/>
      <c r="D99" s="262"/>
      <c r="E99" s="262"/>
      <c r="F99" s="262"/>
    </row>
    <row r="100" spans="1:6" ht="12.75">
      <c r="A100" s="262"/>
      <c r="B100" s="262"/>
      <c r="C100" s="262"/>
      <c r="D100" s="262"/>
      <c r="E100" s="262"/>
      <c r="F100" s="262"/>
    </row>
    <row r="101" spans="1:6" ht="12.75">
      <c r="A101" s="262"/>
      <c r="B101" s="262"/>
      <c r="C101" s="262"/>
      <c r="D101" s="262"/>
      <c r="E101" s="262"/>
      <c r="F101" s="262"/>
    </row>
    <row r="102" spans="1:6" ht="12.75">
      <c r="A102" s="262"/>
      <c r="B102" s="262"/>
      <c r="C102" s="262"/>
      <c r="D102" s="262"/>
      <c r="E102" s="262"/>
      <c r="F102" s="262"/>
    </row>
    <row r="103" spans="1:6" ht="12.75">
      <c r="A103" s="262"/>
      <c r="B103" s="262"/>
      <c r="C103" s="262"/>
      <c r="D103" s="262"/>
      <c r="E103" s="262"/>
      <c r="F103" s="262"/>
    </row>
    <row r="104" spans="1:6" ht="12.75">
      <c r="A104" s="262"/>
      <c r="B104" s="262"/>
      <c r="C104" s="262"/>
      <c r="D104" s="262"/>
      <c r="E104" s="262"/>
      <c r="F104" s="262"/>
    </row>
    <row r="105" spans="1:6" ht="12.75">
      <c r="A105" s="262"/>
      <c r="B105" s="262"/>
      <c r="C105" s="262"/>
      <c r="D105" s="262"/>
      <c r="E105" s="262"/>
      <c r="F105" s="262"/>
    </row>
    <row r="106" spans="1:6" ht="12.75">
      <c r="A106" s="262"/>
      <c r="B106" s="262"/>
      <c r="C106" s="262"/>
      <c r="D106" s="262"/>
      <c r="E106" s="262"/>
      <c r="F106" s="262"/>
    </row>
    <row r="107" spans="1:6" ht="12.75">
      <c r="A107" s="262"/>
      <c r="B107" s="262"/>
      <c r="C107" s="262"/>
      <c r="D107" s="262"/>
      <c r="E107" s="262"/>
      <c r="F107" s="262"/>
    </row>
    <row r="108" spans="1:6" ht="12.75">
      <c r="A108" s="262"/>
      <c r="B108" s="262"/>
      <c r="C108" s="262"/>
      <c r="D108" s="262"/>
      <c r="E108" s="262"/>
      <c r="F108" s="262"/>
    </row>
    <row r="109" spans="1:6" ht="12.75">
      <c r="A109" s="262"/>
      <c r="B109" s="262"/>
      <c r="C109" s="262"/>
      <c r="D109" s="262"/>
      <c r="E109" s="262"/>
      <c r="F109" s="262"/>
    </row>
    <row r="110" spans="1:6" ht="12.75">
      <c r="A110" s="262"/>
      <c r="B110" s="262"/>
      <c r="C110" s="262"/>
      <c r="D110" s="262"/>
      <c r="E110" s="262"/>
      <c r="F110" s="262"/>
    </row>
    <row r="111" spans="1:6" ht="12.75">
      <c r="A111" s="262"/>
      <c r="B111" s="262"/>
      <c r="C111" s="262"/>
      <c r="D111" s="262"/>
      <c r="E111" s="262"/>
      <c r="F111" s="262"/>
    </row>
    <row r="112" spans="1:6" ht="12.75">
      <c r="A112" s="262"/>
      <c r="B112" s="262"/>
      <c r="C112" s="262"/>
      <c r="D112" s="262"/>
      <c r="E112" s="262"/>
      <c r="F112" s="262"/>
    </row>
    <row r="113" spans="1:6" ht="12.75">
      <c r="A113" s="262"/>
      <c r="B113" s="262"/>
      <c r="C113" s="262"/>
      <c r="D113" s="262"/>
      <c r="E113" s="262"/>
      <c r="F113" s="262"/>
    </row>
    <row r="114" spans="1:6" ht="12.75">
      <c r="A114" s="262"/>
      <c r="B114" s="262"/>
      <c r="C114" s="262"/>
      <c r="D114" s="262"/>
      <c r="E114" s="262"/>
      <c r="F114" s="262"/>
    </row>
    <row r="115" spans="1:6" ht="12.75">
      <c r="A115" s="262"/>
      <c r="B115" s="262"/>
      <c r="C115" s="262"/>
      <c r="D115" s="262"/>
      <c r="E115" s="262"/>
      <c r="F115" s="262"/>
    </row>
    <row r="116" spans="1:6" ht="12.75">
      <c r="A116" s="262"/>
      <c r="B116" s="262"/>
      <c r="C116" s="262"/>
      <c r="D116" s="262"/>
      <c r="E116" s="262"/>
      <c r="F116" s="262"/>
    </row>
    <row r="117" spans="1:6" ht="12.75">
      <c r="A117" s="262"/>
      <c r="B117" s="262"/>
      <c r="C117" s="262"/>
      <c r="D117" s="262"/>
      <c r="E117" s="262"/>
      <c r="F117" s="262"/>
    </row>
    <row r="118" spans="1:6" ht="12.75">
      <c r="A118" s="262"/>
      <c r="B118" s="262"/>
      <c r="C118" s="262"/>
      <c r="D118" s="262"/>
      <c r="E118" s="262"/>
      <c r="F118" s="262"/>
    </row>
    <row r="119" spans="1:6" ht="12.75">
      <c r="A119" s="262"/>
      <c r="B119" s="262"/>
      <c r="C119" s="262"/>
      <c r="D119" s="262"/>
      <c r="E119" s="262"/>
      <c r="F119" s="262"/>
    </row>
    <row r="120" spans="1:6" ht="12.75">
      <c r="A120" s="262"/>
      <c r="B120" s="262"/>
      <c r="C120" s="262"/>
      <c r="D120" s="262"/>
      <c r="E120" s="262"/>
      <c r="F120" s="262"/>
    </row>
    <row r="121" spans="1:6" ht="12.75">
      <c r="A121" s="262"/>
      <c r="B121" s="262"/>
      <c r="C121" s="262"/>
      <c r="D121" s="262"/>
      <c r="E121" s="262"/>
      <c r="F121" s="262"/>
    </row>
    <row r="122" spans="1:6" ht="12.75">
      <c r="A122" s="262"/>
      <c r="B122" s="262"/>
      <c r="C122" s="262"/>
      <c r="D122" s="262"/>
      <c r="E122" s="262"/>
      <c r="F122" s="262"/>
    </row>
    <row r="123" spans="1:6" ht="12.75">
      <c r="A123" s="262"/>
      <c r="B123" s="262"/>
      <c r="C123" s="262"/>
      <c r="D123" s="262"/>
      <c r="E123" s="262"/>
      <c r="F123" s="262"/>
    </row>
    <row r="124" spans="1:6" ht="12.75">
      <c r="A124" s="262"/>
      <c r="B124" s="262"/>
      <c r="C124" s="262"/>
      <c r="D124" s="262"/>
      <c r="E124" s="262"/>
      <c r="F124" s="262"/>
    </row>
    <row r="125" spans="1:6" ht="12.75">
      <c r="A125" s="262"/>
      <c r="B125" s="262"/>
      <c r="C125" s="262"/>
      <c r="D125" s="262"/>
      <c r="E125" s="262"/>
      <c r="F125" s="262"/>
    </row>
    <row r="126" spans="1:6" ht="12.75">
      <c r="A126" s="262"/>
      <c r="B126" s="262"/>
      <c r="C126" s="262"/>
      <c r="D126" s="262"/>
      <c r="E126" s="262"/>
      <c r="F126" s="262"/>
    </row>
    <row r="127" spans="1:6" ht="12.75">
      <c r="A127" s="262"/>
      <c r="B127" s="262"/>
      <c r="C127" s="262"/>
      <c r="D127" s="262"/>
      <c r="E127" s="262"/>
      <c r="F127" s="262"/>
    </row>
    <row r="128" spans="1:6" ht="12.75">
      <c r="A128" s="262"/>
      <c r="B128" s="262"/>
      <c r="C128" s="262"/>
      <c r="D128" s="262"/>
      <c r="E128" s="262"/>
      <c r="F128" s="262"/>
    </row>
    <row r="129" spans="1:6" ht="12.75">
      <c r="A129" s="262"/>
      <c r="B129" s="262"/>
      <c r="C129" s="262"/>
      <c r="D129" s="262"/>
      <c r="E129" s="262"/>
      <c r="F129" s="262"/>
    </row>
    <row r="130" spans="1:6" ht="12.75">
      <c r="A130" s="262"/>
      <c r="B130" s="262"/>
      <c r="C130" s="262"/>
      <c r="D130" s="262"/>
      <c r="E130" s="262"/>
      <c r="F130" s="262"/>
    </row>
    <row r="131" spans="1:6" ht="12.75">
      <c r="A131" s="262"/>
      <c r="B131" s="262"/>
      <c r="C131" s="262"/>
      <c r="D131" s="262"/>
      <c r="E131" s="262"/>
      <c r="F131" s="262"/>
    </row>
    <row r="132" spans="1:6" ht="12.75">
      <c r="A132" s="262"/>
      <c r="B132" s="262"/>
      <c r="C132" s="262"/>
      <c r="D132" s="262"/>
      <c r="E132" s="262"/>
      <c r="F132" s="262"/>
    </row>
    <row r="133" spans="1:6" ht="12.75">
      <c r="A133" s="262"/>
      <c r="B133" s="262"/>
      <c r="C133" s="262"/>
      <c r="D133" s="262"/>
      <c r="E133" s="262"/>
      <c r="F133" s="262"/>
    </row>
    <row r="134" spans="1:6" ht="12.75">
      <c r="A134" s="262"/>
      <c r="B134" s="262"/>
      <c r="C134" s="262"/>
      <c r="D134" s="262"/>
      <c r="E134" s="262"/>
      <c r="F134" s="262"/>
    </row>
    <row r="135" spans="1:6" ht="12.75">
      <c r="A135" s="262"/>
      <c r="B135" s="262"/>
      <c r="C135" s="262"/>
      <c r="D135" s="262"/>
      <c r="E135" s="262"/>
      <c r="F135" s="262"/>
    </row>
    <row r="136" spans="1:6" ht="12.75">
      <c r="A136" s="262"/>
      <c r="B136" s="262"/>
      <c r="C136" s="262"/>
      <c r="D136" s="262"/>
      <c r="E136" s="262"/>
      <c r="F136" s="262"/>
    </row>
    <row r="137" spans="1:6" ht="12.75">
      <c r="A137" s="262"/>
      <c r="B137" s="262"/>
      <c r="C137" s="262"/>
      <c r="D137" s="262"/>
      <c r="E137" s="262"/>
      <c r="F137" s="262"/>
    </row>
    <row r="138" spans="1:6" ht="12.75">
      <c r="A138" s="262"/>
      <c r="B138" s="262"/>
      <c r="C138" s="262"/>
      <c r="D138" s="262"/>
      <c r="E138" s="262"/>
      <c r="F138" s="262"/>
    </row>
    <row r="139" spans="1:6" ht="12.75">
      <c r="A139" s="262"/>
      <c r="B139" s="262"/>
      <c r="C139" s="262"/>
      <c r="D139" s="262"/>
      <c r="E139" s="262"/>
      <c r="F139" s="262"/>
    </row>
    <row r="140" spans="1:6" ht="12.75">
      <c r="A140" s="262"/>
      <c r="B140" s="262"/>
      <c r="C140" s="262"/>
      <c r="D140" s="262"/>
      <c r="E140" s="262"/>
      <c r="F140" s="262"/>
    </row>
    <row r="141" spans="1:6" ht="12.75">
      <c r="A141" s="262"/>
      <c r="B141" s="262"/>
      <c r="C141" s="262"/>
      <c r="D141" s="262"/>
      <c r="E141" s="262"/>
      <c r="F141" s="262"/>
    </row>
    <row r="142" spans="1:6" ht="12.75">
      <c r="A142" s="262"/>
      <c r="B142" s="262"/>
      <c r="C142" s="262"/>
      <c r="D142" s="262"/>
      <c r="E142" s="262"/>
      <c r="F142" s="262"/>
    </row>
    <row r="143" spans="1:6" ht="12.75">
      <c r="A143" s="262"/>
      <c r="B143" s="262"/>
      <c r="C143" s="262"/>
      <c r="D143" s="262"/>
      <c r="E143" s="262"/>
      <c r="F143" s="262"/>
    </row>
    <row r="144" spans="1:6" ht="12.75">
      <c r="A144" s="262"/>
      <c r="B144" s="262"/>
      <c r="C144" s="262"/>
      <c r="D144" s="262"/>
      <c r="E144" s="262"/>
      <c r="F144" s="262"/>
    </row>
    <row r="145" spans="1:6" ht="12.75">
      <c r="A145" s="262"/>
      <c r="B145" s="262"/>
      <c r="C145" s="262"/>
      <c r="D145" s="262"/>
      <c r="E145" s="262"/>
      <c r="F145" s="262"/>
    </row>
    <row r="146" spans="1:6" ht="12.75">
      <c r="A146" s="262"/>
      <c r="B146" s="262"/>
      <c r="C146" s="262"/>
      <c r="D146" s="262"/>
      <c r="E146" s="262"/>
      <c r="F146" s="262"/>
    </row>
    <row r="147" spans="1:6" ht="12.75">
      <c r="A147" s="262"/>
      <c r="B147" s="262"/>
      <c r="C147" s="262"/>
      <c r="D147" s="262"/>
      <c r="E147" s="262"/>
      <c r="F147" s="262"/>
    </row>
    <row r="148" spans="1:6" ht="12.75">
      <c r="A148" s="262"/>
      <c r="B148" s="262"/>
      <c r="C148" s="262"/>
      <c r="D148" s="262"/>
      <c r="E148" s="262"/>
      <c r="F148" s="262"/>
    </row>
    <row r="149" spans="1:6" ht="12.75">
      <c r="A149" s="262"/>
      <c r="B149" s="262"/>
      <c r="C149" s="262"/>
      <c r="D149" s="262"/>
      <c r="E149" s="262"/>
      <c r="F149" s="262"/>
    </row>
    <row r="150" spans="1:6" ht="12.75">
      <c r="A150" s="262"/>
      <c r="B150" s="262"/>
      <c r="C150" s="262"/>
      <c r="D150" s="262"/>
      <c r="E150" s="262"/>
      <c r="F150" s="262"/>
    </row>
    <row r="151" spans="1:6" ht="12.75">
      <c r="A151" s="262"/>
      <c r="B151" s="262"/>
      <c r="C151" s="262"/>
      <c r="D151" s="262"/>
      <c r="E151" s="262"/>
      <c r="F151" s="262"/>
    </row>
    <row r="152" spans="1:6" ht="12.75">
      <c r="A152" s="262"/>
      <c r="B152" s="262"/>
      <c r="C152" s="262"/>
      <c r="D152" s="262"/>
      <c r="E152" s="262"/>
      <c r="F152" s="262"/>
    </row>
    <row r="153" spans="1:6" ht="12.75">
      <c r="A153" s="262"/>
      <c r="B153" s="262"/>
      <c r="C153" s="262"/>
      <c r="D153" s="262"/>
      <c r="E153" s="262"/>
      <c r="F153" s="262"/>
    </row>
    <row r="154" spans="1:6" ht="12.75">
      <c r="A154" s="262"/>
      <c r="B154" s="262"/>
      <c r="C154" s="262"/>
      <c r="D154" s="262"/>
      <c r="E154" s="262"/>
      <c r="F154" s="262"/>
    </row>
    <row r="155" spans="1:6" ht="12.75">
      <c r="A155" s="262"/>
      <c r="B155" s="262"/>
      <c r="C155" s="262"/>
      <c r="D155" s="262"/>
      <c r="E155" s="262"/>
      <c r="F155" s="262"/>
    </row>
    <row r="156" spans="1:6" ht="12.75">
      <c r="A156" s="262"/>
      <c r="B156" s="262"/>
      <c r="C156" s="262"/>
      <c r="D156" s="262"/>
      <c r="E156" s="262"/>
      <c r="F156" s="262"/>
    </row>
    <row r="157" spans="1:6" ht="12.75">
      <c r="A157" s="262"/>
      <c r="B157" s="262"/>
      <c r="C157" s="262"/>
      <c r="D157" s="262"/>
      <c r="E157" s="262"/>
      <c r="F157" s="262"/>
    </row>
    <row r="158" spans="1:6" ht="12.75">
      <c r="A158" s="262"/>
      <c r="B158" s="262"/>
      <c r="C158" s="262"/>
      <c r="D158" s="262"/>
      <c r="E158" s="262"/>
      <c r="F158" s="262"/>
    </row>
    <row r="159" spans="1:6" ht="12.75">
      <c r="A159" s="262"/>
      <c r="B159" s="262"/>
      <c r="C159" s="262"/>
      <c r="D159" s="262"/>
      <c r="E159" s="262"/>
      <c r="F159" s="262"/>
    </row>
    <row r="160" spans="1:6" ht="12.75">
      <c r="A160" s="262"/>
      <c r="B160" s="262"/>
      <c r="C160" s="262"/>
      <c r="D160" s="262"/>
      <c r="E160" s="262"/>
      <c r="F160" s="262"/>
    </row>
    <row r="161" spans="1:6" ht="12.75">
      <c r="A161" s="262"/>
      <c r="B161" s="262"/>
      <c r="C161" s="262"/>
      <c r="D161" s="262"/>
      <c r="E161" s="262"/>
      <c r="F161" s="262"/>
    </row>
    <row r="162" spans="1:6" ht="12.75">
      <c r="A162" s="262"/>
      <c r="B162" s="262"/>
      <c r="C162" s="262"/>
      <c r="D162" s="262"/>
      <c r="E162" s="262"/>
      <c r="F162" s="262"/>
    </row>
    <row r="163" spans="1:6" ht="12.75">
      <c r="A163" s="262"/>
      <c r="B163" s="262"/>
      <c r="C163" s="262"/>
      <c r="D163" s="262"/>
      <c r="E163" s="262"/>
      <c r="F163" s="262"/>
    </row>
    <row r="164" spans="1:6" ht="12.75">
      <c r="A164" s="262"/>
      <c r="B164" s="262"/>
      <c r="C164" s="262"/>
      <c r="D164" s="262"/>
      <c r="E164" s="262"/>
      <c r="F164" s="262"/>
    </row>
    <row r="165" spans="1:6" ht="12.75">
      <c r="A165" s="262"/>
      <c r="B165" s="262"/>
      <c r="C165" s="262"/>
      <c r="D165" s="262"/>
      <c r="E165" s="262"/>
      <c r="F165" s="262"/>
    </row>
    <row r="166" spans="1:6" ht="12.75">
      <c r="A166" s="262"/>
      <c r="B166" s="262"/>
      <c r="C166" s="262"/>
      <c r="D166" s="262"/>
      <c r="E166" s="262"/>
      <c r="F166" s="262"/>
    </row>
    <row r="167" spans="1:6" ht="12.75">
      <c r="A167" s="262"/>
      <c r="B167" s="262"/>
      <c r="C167" s="262"/>
      <c r="D167" s="262"/>
      <c r="E167" s="262"/>
      <c r="F167" s="262"/>
    </row>
    <row r="168" spans="1:6" ht="12.75">
      <c r="A168" s="262"/>
      <c r="B168" s="262"/>
      <c r="C168" s="262"/>
      <c r="D168" s="262"/>
      <c r="E168" s="262"/>
      <c r="F168" s="262"/>
    </row>
    <row r="169" spans="1:6" ht="12.75">
      <c r="A169" s="262"/>
      <c r="B169" s="262"/>
      <c r="C169" s="262"/>
      <c r="D169" s="262"/>
      <c r="E169" s="262"/>
      <c r="F169" s="262"/>
    </row>
    <row r="170" spans="1:6" ht="12.75">
      <c r="A170" s="262"/>
      <c r="B170" s="262"/>
      <c r="C170" s="262"/>
      <c r="D170" s="262"/>
      <c r="E170" s="262"/>
      <c r="F170" s="262"/>
    </row>
    <row r="171" spans="1:6" ht="12.75">
      <c r="A171" s="262"/>
      <c r="B171" s="262"/>
      <c r="C171" s="262"/>
      <c r="D171" s="262"/>
      <c r="E171" s="262"/>
      <c r="F171" s="262"/>
    </row>
    <row r="172" spans="1:6" ht="12.75">
      <c r="A172" s="262"/>
      <c r="B172" s="262"/>
      <c r="C172" s="262"/>
      <c r="D172" s="262"/>
      <c r="E172" s="262"/>
      <c r="F172" s="262"/>
    </row>
    <row r="173" spans="1:6" ht="12.75">
      <c r="A173" s="262"/>
      <c r="B173" s="262"/>
      <c r="C173" s="262"/>
      <c r="D173" s="262"/>
      <c r="E173" s="262"/>
      <c r="F173" s="262"/>
    </row>
    <row r="174" spans="1:6" ht="12.75">
      <c r="A174" s="262"/>
      <c r="B174" s="262"/>
      <c r="C174" s="262"/>
      <c r="D174" s="262"/>
      <c r="E174" s="262"/>
      <c r="F174" s="262"/>
    </row>
    <row r="175" spans="1:6" ht="12.75">
      <c r="A175" s="262"/>
      <c r="B175" s="262"/>
      <c r="C175" s="262"/>
      <c r="D175" s="262"/>
      <c r="E175" s="262"/>
      <c r="F175" s="262"/>
    </row>
    <row r="176" spans="1:6" ht="12.75">
      <c r="A176" s="262"/>
      <c r="B176" s="262"/>
      <c r="C176" s="262"/>
      <c r="D176" s="262"/>
      <c r="E176" s="262"/>
      <c r="F176" s="262"/>
    </row>
    <row r="177" spans="1:6" ht="12.75">
      <c r="A177" s="262"/>
      <c r="B177" s="262"/>
      <c r="C177" s="262"/>
      <c r="D177" s="262"/>
      <c r="E177" s="262"/>
      <c r="F177" s="262"/>
    </row>
    <row r="178" spans="1:6" ht="12.75">
      <c r="A178" s="262"/>
      <c r="B178" s="262"/>
      <c r="C178" s="262"/>
      <c r="D178" s="262"/>
      <c r="E178" s="262"/>
      <c r="F178" s="262"/>
    </row>
    <row r="179" spans="1:6" ht="12.75">
      <c r="A179" s="262"/>
      <c r="B179" s="262"/>
      <c r="C179" s="262"/>
      <c r="D179" s="262"/>
      <c r="E179" s="262"/>
      <c r="F179" s="262"/>
    </row>
    <row r="180" spans="1:6" ht="12.75">
      <c r="A180" s="262"/>
      <c r="B180" s="262"/>
      <c r="C180" s="262"/>
      <c r="D180" s="262"/>
      <c r="E180" s="262"/>
      <c r="F180" s="262"/>
    </row>
    <row r="181" spans="1:6" ht="12.75">
      <c r="A181" s="262"/>
      <c r="B181" s="262"/>
      <c r="C181" s="262"/>
      <c r="D181" s="262"/>
      <c r="E181" s="262"/>
      <c r="F181" s="262"/>
    </row>
    <row r="182" spans="1:6" ht="12.75">
      <c r="A182" s="262"/>
      <c r="B182" s="262"/>
      <c r="C182" s="262"/>
      <c r="D182" s="262"/>
      <c r="E182" s="262"/>
      <c r="F182" s="262"/>
    </row>
    <row r="183" spans="1:6" ht="12.75">
      <c r="A183" s="262"/>
      <c r="B183" s="262"/>
      <c r="C183" s="262"/>
      <c r="D183" s="262"/>
      <c r="E183" s="262"/>
      <c r="F183" s="262"/>
    </row>
    <row r="184" spans="1:6" ht="12.75">
      <c r="A184" s="262"/>
      <c r="B184" s="262"/>
      <c r="C184" s="262"/>
      <c r="D184" s="262"/>
      <c r="E184" s="262"/>
      <c r="F184" s="262"/>
    </row>
    <row r="185" spans="1:6" ht="12.75">
      <c r="A185" s="262"/>
      <c r="B185" s="262"/>
      <c r="C185" s="262"/>
      <c r="D185" s="262"/>
      <c r="E185" s="262"/>
      <c r="F185" s="262"/>
    </row>
    <row r="186" spans="1:6" ht="12.75">
      <c r="A186" s="262"/>
      <c r="B186" s="262"/>
      <c r="C186" s="262"/>
      <c r="D186" s="262"/>
      <c r="E186" s="262"/>
      <c r="F186" s="262"/>
    </row>
    <row r="187" spans="1:6" ht="12.75">
      <c r="A187" s="262"/>
      <c r="B187" s="262"/>
      <c r="C187" s="262"/>
      <c r="D187" s="262"/>
      <c r="E187" s="262"/>
      <c r="F187" s="262"/>
    </row>
    <row r="188" spans="1:6" ht="12.75">
      <c r="A188" s="262"/>
      <c r="B188" s="262"/>
      <c r="C188" s="262"/>
      <c r="D188" s="262"/>
      <c r="E188" s="262"/>
      <c r="F188" s="262"/>
    </row>
    <row r="189" spans="1:6" ht="12.75">
      <c r="A189" s="262"/>
      <c r="B189" s="262"/>
      <c r="C189" s="262"/>
      <c r="D189" s="262"/>
      <c r="E189" s="262"/>
      <c r="F189" s="262"/>
    </row>
    <row r="190" spans="1:6" ht="12.75">
      <c r="A190" s="262"/>
      <c r="B190" s="262"/>
      <c r="C190" s="262"/>
      <c r="D190" s="262"/>
      <c r="E190" s="262"/>
      <c r="F190" s="262"/>
    </row>
    <row r="191" spans="1:6" ht="12.75">
      <c r="A191" s="262"/>
      <c r="B191" s="262"/>
      <c r="C191" s="262"/>
      <c r="D191" s="262"/>
      <c r="E191" s="262"/>
      <c r="F191" s="262"/>
    </row>
    <row r="192" spans="1:6" ht="12.75">
      <c r="A192" s="262"/>
      <c r="B192" s="262"/>
      <c r="C192" s="262"/>
      <c r="D192" s="262"/>
      <c r="E192" s="262"/>
      <c r="F192" s="262"/>
    </row>
    <row r="193" spans="1:6" ht="12.75">
      <c r="A193" s="262"/>
      <c r="B193" s="262"/>
      <c r="C193" s="262"/>
      <c r="D193" s="262"/>
      <c r="E193" s="262"/>
      <c r="F193" s="262"/>
    </row>
    <row r="194" spans="1:6" ht="12.75">
      <c r="A194" s="262"/>
      <c r="B194" s="262"/>
      <c r="C194" s="262"/>
      <c r="D194" s="262"/>
      <c r="E194" s="262"/>
      <c r="F194" s="262"/>
    </row>
    <row r="195" spans="1:6" ht="12.75">
      <c r="A195" s="262"/>
      <c r="B195" s="262"/>
      <c r="C195" s="262"/>
      <c r="D195" s="262"/>
      <c r="E195" s="262"/>
      <c r="F195" s="262"/>
    </row>
    <row r="196" spans="1:6" ht="12.75">
      <c r="A196" s="262"/>
      <c r="B196" s="262"/>
      <c r="C196" s="262"/>
      <c r="D196" s="262"/>
      <c r="E196" s="262"/>
      <c r="F196" s="262"/>
    </row>
    <row r="197" spans="1:6" ht="12.75">
      <c r="A197" s="262"/>
      <c r="B197" s="262"/>
      <c r="C197" s="262"/>
      <c r="D197" s="262"/>
      <c r="E197" s="262"/>
      <c r="F197" s="262"/>
    </row>
    <row r="198" spans="1:6" ht="12.75">
      <c r="A198" s="262"/>
      <c r="B198" s="262"/>
      <c r="C198" s="262"/>
      <c r="D198" s="262"/>
      <c r="E198" s="262"/>
      <c r="F198" s="262"/>
    </row>
    <row r="199" spans="1:6" ht="12.75">
      <c r="A199" s="262"/>
      <c r="B199" s="262"/>
      <c r="C199" s="262"/>
      <c r="D199" s="262"/>
      <c r="E199" s="262"/>
      <c r="F199" s="262"/>
    </row>
    <row r="200" spans="1:6" ht="12.75">
      <c r="A200" s="262"/>
      <c r="B200" s="262"/>
      <c r="C200" s="262"/>
      <c r="D200" s="262"/>
      <c r="E200" s="262"/>
      <c r="F200" s="262"/>
    </row>
    <row r="201" spans="1:6" ht="12.75">
      <c r="A201" s="262"/>
      <c r="B201" s="262"/>
      <c r="C201" s="262"/>
      <c r="D201" s="262"/>
      <c r="E201" s="262"/>
      <c r="F201" s="262"/>
    </row>
    <row r="202" spans="1:6" ht="12.75">
      <c r="A202" s="262"/>
      <c r="B202" s="262"/>
      <c r="C202" s="262"/>
      <c r="D202" s="262"/>
      <c r="E202" s="262"/>
      <c r="F202" s="262"/>
    </row>
    <row r="203" spans="1:6" ht="12.75">
      <c r="A203" s="262"/>
      <c r="B203" s="262"/>
      <c r="C203" s="262"/>
      <c r="D203" s="262"/>
      <c r="E203" s="262"/>
      <c r="F203" s="262"/>
    </row>
    <row r="204" spans="1:6" ht="12.75">
      <c r="A204" s="262"/>
      <c r="B204" s="262"/>
      <c r="C204" s="262"/>
      <c r="D204" s="262"/>
      <c r="E204" s="262"/>
      <c r="F204" s="262"/>
    </row>
    <row r="205" spans="1:6" ht="12.75">
      <c r="A205" s="262"/>
      <c r="B205" s="262"/>
      <c r="C205" s="262"/>
      <c r="D205" s="262"/>
      <c r="E205" s="262"/>
      <c r="F205" s="262"/>
    </row>
    <row r="206" spans="1:6" ht="12.75">
      <c r="A206" s="262"/>
      <c r="B206" s="262"/>
      <c r="C206" s="262"/>
      <c r="D206" s="262"/>
      <c r="E206" s="262"/>
      <c r="F206" s="262"/>
    </row>
    <row r="207" spans="1:6" ht="12.75">
      <c r="A207" s="262"/>
      <c r="B207" s="262"/>
      <c r="C207" s="262"/>
      <c r="D207" s="262"/>
      <c r="E207" s="262"/>
      <c r="F207" s="262"/>
    </row>
    <row r="208" spans="1:6" ht="12.75">
      <c r="A208" s="262"/>
      <c r="B208" s="262"/>
      <c r="C208" s="262"/>
      <c r="D208" s="262"/>
      <c r="E208" s="262"/>
      <c r="F208" s="262"/>
    </row>
    <row r="209" spans="1:6" ht="12.75">
      <c r="A209" s="262"/>
      <c r="B209" s="262"/>
      <c r="C209" s="262"/>
      <c r="D209" s="262"/>
      <c r="E209" s="262"/>
      <c r="F209" s="262"/>
    </row>
    <row r="210" spans="1:6" ht="12.75">
      <c r="A210" s="262"/>
      <c r="B210" s="262"/>
      <c r="C210" s="262"/>
      <c r="D210" s="262"/>
      <c r="E210" s="262"/>
      <c r="F210" s="262"/>
    </row>
    <row r="211" spans="1:6" ht="12.75">
      <c r="A211" s="262"/>
      <c r="B211" s="262"/>
      <c r="C211" s="262"/>
      <c r="D211" s="262"/>
      <c r="E211" s="262"/>
      <c r="F211" s="262"/>
    </row>
    <row r="212" spans="1:6" ht="12.75">
      <c r="A212" s="262"/>
      <c r="B212" s="262"/>
      <c r="C212" s="262"/>
      <c r="D212" s="262"/>
      <c r="E212" s="262"/>
      <c r="F212" s="262"/>
    </row>
    <row r="213" spans="1:6" ht="12.75">
      <c r="A213" s="262"/>
      <c r="B213" s="262"/>
      <c r="C213" s="262"/>
      <c r="D213" s="262"/>
      <c r="E213" s="262"/>
      <c r="F213" s="262"/>
    </row>
    <row r="214" spans="1:6" ht="12.75">
      <c r="A214" s="262"/>
      <c r="B214" s="262"/>
      <c r="C214" s="262"/>
      <c r="D214" s="262"/>
      <c r="E214" s="262"/>
      <c r="F214" s="262"/>
    </row>
    <row r="215" spans="1:6" ht="12.75">
      <c r="A215" s="262"/>
      <c r="B215" s="262"/>
      <c r="C215" s="262"/>
      <c r="D215" s="262"/>
      <c r="E215" s="262"/>
      <c r="F215" s="262"/>
    </row>
    <row r="216" spans="1:6" ht="12.75">
      <c r="A216" s="262"/>
      <c r="B216" s="262"/>
      <c r="C216" s="262"/>
      <c r="D216" s="262"/>
      <c r="E216" s="262"/>
      <c r="F216" s="262"/>
    </row>
    <row r="217" spans="1:6" ht="12.75">
      <c r="A217" s="262"/>
      <c r="B217" s="262"/>
      <c r="C217" s="262"/>
      <c r="D217" s="262"/>
      <c r="E217" s="262"/>
      <c r="F217" s="262"/>
    </row>
    <row r="218" spans="1:6" ht="12.75">
      <c r="A218" s="262"/>
      <c r="B218" s="262"/>
      <c r="C218" s="262"/>
      <c r="D218" s="262"/>
      <c r="E218" s="262"/>
      <c r="F218" s="262"/>
    </row>
    <row r="219" spans="1:6" ht="12.75">
      <c r="A219" s="262"/>
      <c r="B219" s="262"/>
      <c r="C219" s="262"/>
      <c r="D219" s="262"/>
      <c r="E219" s="262"/>
      <c r="F219" s="262"/>
    </row>
    <row r="220" spans="1:6" ht="12.75">
      <c r="A220" s="262"/>
      <c r="B220" s="262"/>
      <c r="C220" s="262"/>
      <c r="D220" s="262"/>
      <c r="E220" s="262"/>
      <c r="F220" s="262"/>
    </row>
    <row r="221" spans="1:6" ht="12.75">
      <c r="A221" s="262"/>
      <c r="B221" s="262"/>
      <c r="C221" s="262"/>
      <c r="D221" s="262"/>
      <c r="E221" s="262"/>
      <c r="F221" s="262"/>
    </row>
    <row r="222" spans="1:6" ht="12.75">
      <c r="A222" s="262"/>
      <c r="B222" s="262"/>
      <c r="C222" s="262"/>
      <c r="D222" s="262"/>
      <c r="E222" s="262"/>
      <c r="F222" s="262"/>
    </row>
    <row r="223" spans="1:6" ht="12.75">
      <c r="A223" s="262"/>
      <c r="B223" s="262"/>
      <c r="C223" s="262"/>
      <c r="D223" s="262"/>
      <c r="E223" s="262"/>
      <c r="F223" s="262"/>
    </row>
    <row r="224" spans="1:6" ht="12.75">
      <c r="A224" s="262"/>
      <c r="B224" s="262"/>
      <c r="C224" s="262"/>
      <c r="D224" s="262"/>
      <c r="E224" s="262"/>
      <c r="F224" s="262"/>
    </row>
    <row r="225" spans="1:6" ht="12.75">
      <c r="A225" s="262"/>
      <c r="B225" s="262"/>
      <c r="C225" s="262"/>
      <c r="D225" s="262"/>
      <c r="E225" s="262"/>
      <c r="F225" s="262"/>
    </row>
    <row r="226" spans="1:6" ht="12.75">
      <c r="A226" s="262"/>
      <c r="B226" s="262"/>
      <c r="C226" s="262"/>
      <c r="D226" s="262"/>
      <c r="E226" s="262"/>
      <c r="F226" s="262"/>
    </row>
    <row r="227" spans="1:6" ht="12.75">
      <c r="A227" s="262"/>
      <c r="B227" s="262"/>
      <c r="C227" s="262"/>
      <c r="D227" s="262"/>
      <c r="E227" s="262"/>
      <c r="F227" s="262"/>
    </row>
    <row r="228" spans="1:6" ht="12.75">
      <c r="A228" s="262"/>
      <c r="B228" s="262"/>
      <c r="C228" s="262"/>
      <c r="D228" s="262"/>
      <c r="E228" s="262"/>
      <c r="F228" s="262"/>
    </row>
    <row r="229" spans="1:6" ht="12.75">
      <c r="A229" s="262"/>
      <c r="B229" s="262"/>
      <c r="C229" s="262"/>
      <c r="D229" s="262"/>
      <c r="E229" s="262"/>
      <c r="F229" s="262"/>
    </row>
    <row r="230" spans="1:6" ht="12.75">
      <c r="A230" s="262"/>
      <c r="B230" s="262"/>
      <c r="C230" s="262"/>
      <c r="D230" s="262"/>
      <c r="E230" s="262"/>
      <c r="F230" s="262"/>
    </row>
    <row r="231" spans="1:6" ht="12.75">
      <c r="A231" s="262"/>
      <c r="B231" s="262"/>
      <c r="C231" s="262"/>
      <c r="D231" s="262"/>
      <c r="E231" s="262"/>
      <c r="F231" s="262"/>
    </row>
    <row r="232" spans="1:6" ht="12.75">
      <c r="A232" s="262"/>
      <c r="B232" s="262"/>
      <c r="C232" s="262"/>
      <c r="D232" s="262"/>
      <c r="E232" s="262"/>
      <c r="F232" s="262"/>
    </row>
    <row r="233" spans="1:6" ht="12.75">
      <c r="A233" s="262"/>
      <c r="B233" s="262"/>
      <c r="C233" s="262"/>
      <c r="D233" s="262"/>
      <c r="E233" s="262"/>
      <c r="F233" s="262"/>
    </row>
    <row r="234" spans="1:6" ht="12.75">
      <c r="A234" s="262"/>
      <c r="B234" s="262"/>
      <c r="C234" s="262"/>
      <c r="D234" s="262"/>
      <c r="E234" s="262"/>
      <c r="F234" s="262"/>
    </row>
    <row r="235" spans="1:6" ht="12.75">
      <c r="A235" s="262"/>
      <c r="B235" s="262"/>
      <c r="C235" s="262"/>
      <c r="D235" s="262"/>
      <c r="E235" s="262"/>
      <c r="F235" s="262"/>
    </row>
    <row r="236" spans="1:6" ht="12.75">
      <c r="A236" s="262"/>
      <c r="B236" s="262"/>
      <c r="C236" s="262"/>
      <c r="D236" s="262"/>
      <c r="E236" s="262"/>
      <c r="F236" s="262"/>
    </row>
    <row r="237" spans="1:6" ht="12.75">
      <c r="A237" s="262"/>
      <c r="B237" s="262"/>
      <c r="C237" s="262"/>
      <c r="D237" s="262"/>
      <c r="E237" s="262"/>
      <c r="F237" s="262"/>
    </row>
    <row r="238" spans="1:6" ht="12.75">
      <c r="A238" s="262"/>
      <c r="B238" s="262"/>
      <c r="C238" s="262"/>
      <c r="D238" s="262"/>
      <c r="E238" s="262"/>
      <c r="F238" s="262"/>
    </row>
    <row r="239" spans="1:6" ht="12.75">
      <c r="A239" s="262"/>
      <c r="B239" s="262"/>
      <c r="C239" s="262"/>
      <c r="D239" s="262"/>
      <c r="E239" s="262"/>
      <c r="F239" s="262"/>
    </row>
    <row r="240" spans="1:6" ht="12.75">
      <c r="A240" s="262"/>
      <c r="B240" s="262"/>
      <c r="C240" s="262"/>
      <c r="D240" s="262"/>
      <c r="E240" s="262"/>
      <c r="F240" s="262"/>
    </row>
    <row r="241" spans="1:6" ht="12.75">
      <c r="A241" s="262"/>
      <c r="B241" s="262"/>
      <c r="C241" s="262"/>
      <c r="D241" s="262"/>
      <c r="E241" s="262"/>
      <c r="F241" s="262"/>
    </row>
    <row r="242" spans="1:6" ht="12.75">
      <c r="A242" s="262"/>
      <c r="B242" s="262"/>
      <c r="C242" s="262"/>
      <c r="D242" s="262"/>
      <c r="E242" s="262"/>
      <c r="F242" s="262"/>
    </row>
    <row r="243" spans="1:6" ht="12.75">
      <c r="A243" s="262"/>
      <c r="B243" s="262"/>
      <c r="C243" s="262"/>
      <c r="D243" s="262"/>
      <c r="E243" s="262"/>
      <c r="F243" s="262"/>
    </row>
    <row r="244" spans="1:6" ht="12.75">
      <c r="A244" s="262"/>
      <c r="B244" s="262"/>
      <c r="C244" s="262"/>
      <c r="D244" s="262"/>
      <c r="E244" s="262"/>
      <c r="F244" s="262"/>
    </row>
    <row r="245" spans="1:6" ht="12.75">
      <c r="A245" s="262"/>
      <c r="B245" s="262"/>
      <c r="C245" s="262"/>
      <c r="D245" s="262"/>
      <c r="E245" s="262"/>
      <c r="F245" s="262"/>
    </row>
    <row r="246" spans="1:6" ht="12.75">
      <c r="A246" s="262"/>
      <c r="B246" s="262"/>
      <c r="C246" s="262"/>
      <c r="D246" s="262"/>
      <c r="E246" s="262"/>
      <c r="F246" s="262"/>
    </row>
    <row r="247" spans="1:6" ht="12.75">
      <c r="A247" s="262"/>
      <c r="B247" s="262"/>
      <c r="C247" s="262"/>
      <c r="D247" s="262"/>
      <c r="E247" s="262"/>
      <c r="F247" s="262"/>
    </row>
    <row r="248" spans="1:6" ht="12.75">
      <c r="A248" s="262"/>
      <c r="B248" s="262"/>
      <c r="C248" s="262"/>
      <c r="D248" s="262"/>
      <c r="E248" s="262"/>
      <c r="F248" s="262"/>
    </row>
    <row r="249" spans="1:6" ht="12.75">
      <c r="A249" s="262"/>
      <c r="B249" s="262"/>
      <c r="C249" s="262"/>
      <c r="D249" s="262"/>
      <c r="E249" s="262"/>
      <c r="F249" s="262"/>
    </row>
    <row r="250" spans="1:6" ht="12.75">
      <c r="A250" s="262"/>
      <c r="B250" s="262"/>
      <c r="C250" s="262"/>
      <c r="D250" s="262"/>
      <c r="E250" s="262"/>
      <c r="F250" s="262"/>
    </row>
    <row r="251" spans="1:6" ht="12.75">
      <c r="A251" s="262"/>
      <c r="B251" s="262"/>
      <c r="C251" s="262"/>
      <c r="D251" s="262"/>
      <c r="E251" s="262"/>
      <c r="F251" s="262"/>
    </row>
    <row r="252" spans="1:6" ht="12.75">
      <c r="A252" s="262"/>
      <c r="B252" s="262"/>
      <c r="C252" s="262"/>
      <c r="D252" s="262"/>
      <c r="E252" s="262"/>
      <c r="F252" s="262"/>
    </row>
    <row r="253" spans="1:6" ht="12.75">
      <c r="A253" s="262"/>
      <c r="B253" s="262"/>
      <c r="C253" s="262"/>
      <c r="D253" s="262"/>
      <c r="E253" s="262"/>
      <c r="F253" s="262"/>
    </row>
    <row r="254" spans="1:6" ht="12.75">
      <c r="A254" s="262"/>
      <c r="B254" s="262"/>
      <c r="C254" s="262"/>
      <c r="D254" s="262"/>
      <c r="E254" s="262"/>
      <c r="F254" s="262"/>
    </row>
    <row r="255" spans="1:6" ht="12.75">
      <c r="A255" s="262"/>
      <c r="B255" s="262"/>
      <c r="C255" s="262"/>
      <c r="D255" s="262"/>
      <c r="E255" s="262"/>
      <c r="F255" s="262"/>
    </row>
    <row r="256" spans="1:6" ht="12.75">
      <c r="A256" s="262"/>
      <c r="B256" s="262"/>
      <c r="C256" s="262"/>
      <c r="D256" s="262"/>
      <c r="E256" s="262"/>
      <c r="F256" s="262"/>
    </row>
    <row r="257" spans="1:6" ht="12.75">
      <c r="A257" s="262"/>
      <c r="B257" s="262"/>
      <c r="C257" s="262"/>
      <c r="D257" s="262"/>
      <c r="E257" s="262"/>
      <c r="F257" s="262"/>
    </row>
    <row r="258" spans="1:6" ht="12.75">
      <c r="A258" s="262"/>
      <c r="B258" s="262"/>
      <c r="C258" s="262"/>
      <c r="D258" s="262"/>
      <c r="E258" s="262"/>
      <c r="F258" s="262"/>
    </row>
    <row r="259" spans="1:6" ht="12.75">
      <c r="A259" s="262"/>
      <c r="B259" s="262"/>
      <c r="C259" s="262"/>
      <c r="D259" s="262"/>
      <c r="E259" s="262"/>
      <c r="F259" s="262"/>
    </row>
    <row r="260" spans="1:6" ht="12.75">
      <c r="A260" s="262"/>
      <c r="B260" s="262"/>
      <c r="C260" s="262"/>
      <c r="D260" s="262"/>
      <c r="E260" s="262"/>
      <c r="F260" s="262"/>
    </row>
    <row r="261" spans="1:6" ht="12.75">
      <c r="A261" s="262"/>
      <c r="B261" s="262"/>
      <c r="C261" s="262"/>
      <c r="D261" s="262"/>
      <c r="E261" s="262"/>
      <c r="F261" s="262"/>
    </row>
    <row r="262" spans="1:6" ht="12.75">
      <c r="A262" s="262"/>
      <c r="B262" s="262"/>
      <c r="C262" s="262"/>
      <c r="D262" s="262"/>
      <c r="E262" s="262"/>
      <c r="F262" s="262"/>
    </row>
    <row r="263" spans="1:6" ht="12.75">
      <c r="A263" s="262"/>
      <c r="B263" s="262"/>
      <c r="C263" s="262"/>
      <c r="D263" s="262"/>
      <c r="E263" s="262"/>
      <c r="F263" s="262"/>
    </row>
    <row r="264" spans="1:6" ht="12.75">
      <c r="A264" s="262"/>
      <c r="B264" s="262"/>
      <c r="C264" s="262"/>
      <c r="D264" s="262"/>
      <c r="E264" s="262"/>
      <c r="F264" s="262"/>
    </row>
    <row r="265" spans="1:6" ht="12.75">
      <c r="A265" s="262"/>
      <c r="B265" s="262"/>
      <c r="C265" s="262"/>
      <c r="D265" s="262"/>
      <c r="E265" s="262"/>
      <c r="F265" s="262"/>
    </row>
    <row r="266" spans="1:6" ht="12.75">
      <c r="A266" s="262"/>
      <c r="B266" s="262"/>
      <c r="C266" s="262"/>
      <c r="D266" s="262"/>
      <c r="E266" s="262"/>
      <c r="F266" s="262"/>
    </row>
    <row r="267" spans="1:6" ht="12.75">
      <c r="A267" s="262"/>
      <c r="B267" s="262"/>
      <c r="C267" s="262"/>
      <c r="D267" s="262"/>
      <c r="E267" s="262"/>
      <c r="F267" s="262"/>
    </row>
    <row r="268" spans="1:6" ht="12.75">
      <c r="A268" s="262"/>
      <c r="B268" s="262"/>
      <c r="C268" s="262"/>
      <c r="D268" s="262"/>
      <c r="E268" s="262"/>
      <c r="F268" s="262"/>
    </row>
    <row r="269" spans="1:6" ht="12.75">
      <c r="A269" s="262"/>
      <c r="B269" s="262"/>
      <c r="C269" s="262"/>
      <c r="D269" s="262"/>
      <c r="E269" s="262"/>
      <c r="F269" s="262"/>
    </row>
    <row r="270" spans="1:6" ht="12.75">
      <c r="A270" s="262"/>
      <c r="B270" s="262"/>
      <c r="C270" s="262"/>
      <c r="D270" s="262"/>
      <c r="E270" s="262"/>
      <c r="F270" s="262"/>
    </row>
    <row r="271" spans="1:6" ht="12.75">
      <c r="A271" s="262"/>
      <c r="B271" s="262"/>
      <c r="C271" s="262"/>
      <c r="D271" s="262"/>
      <c r="E271" s="262"/>
      <c r="F271" s="262"/>
    </row>
    <row r="272" spans="1:6" ht="12.75">
      <c r="A272" s="262"/>
      <c r="B272" s="262"/>
      <c r="C272" s="262"/>
      <c r="D272" s="262"/>
      <c r="E272" s="262"/>
      <c r="F272" s="262"/>
    </row>
    <row r="273" spans="1:6" ht="12.75">
      <c r="A273" s="262"/>
      <c r="B273" s="262"/>
      <c r="C273" s="262"/>
      <c r="D273" s="262"/>
      <c r="E273" s="262"/>
      <c r="F273" s="262"/>
    </row>
    <row r="274" spans="1:6" ht="12.75">
      <c r="A274" s="262"/>
      <c r="B274" s="262"/>
      <c r="C274" s="262"/>
      <c r="D274" s="262"/>
      <c r="E274" s="262"/>
      <c r="F274" s="262"/>
    </row>
    <row r="275" spans="1:6" ht="12.75">
      <c r="A275" s="262"/>
      <c r="B275" s="262"/>
      <c r="C275" s="262"/>
      <c r="D275" s="262"/>
      <c r="E275" s="262"/>
      <c r="F275" s="262"/>
    </row>
    <row r="276" spans="1:6" ht="12.75">
      <c r="A276" s="262"/>
      <c r="B276" s="262"/>
      <c r="C276" s="262"/>
      <c r="D276" s="262"/>
      <c r="E276" s="262"/>
      <c r="F276" s="262"/>
    </row>
    <row r="277" spans="1:6" ht="12.75">
      <c r="A277" s="262"/>
      <c r="B277" s="262"/>
      <c r="C277" s="262"/>
      <c r="D277" s="262"/>
      <c r="E277" s="262"/>
      <c r="F277" s="262"/>
    </row>
    <row r="278" spans="1:6" ht="12.75">
      <c r="A278" s="262"/>
      <c r="B278" s="262"/>
      <c r="C278" s="262"/>
      <c r="D278" s="262"/>
      <c r="E278" s="262"/>
      <c r="F278" s="262"/>
    </row>
    <row r="279" spans="1:6" ht="12.75">
      <c r="A279" s="262"/>
      <c r="B279" s="262"/>
      <c r="C279" s="262"/>
      <c r="D279" s="262"/>
      <c r="E279" s="262"/>
      <c r="F279" s="262"/>
    </row>
    <row r="280" spans="1:6" ht="12.75">
      <c r="A280" s="262"/>
      <c r="B280" s="262"/>
      <c r="C280" s="262"/>
      <c r="D280" s="262"/>
      <c r="E280" s="262"/>
      <c r="F280" s="262"/>
    </row>
    <row r="281" spans="1:6" ht="12.75">
      <c r="A281" s="262"/>
      <c r="B281" s="262"/>
      <c r="C281" s="262"/>
      <c r="D281" s="262"/>
      <c r="E281" s="262"/>
      <c r="F281" s="262"/>
    </row>
    <row r="282" spans="1:6" ht="12.75">
      <c r="A282" s="262"/>
      <c r="B282" s="262"/>
      <c r="C282" s="262"/>
      <c r="D282" s="262"/>
      <c r="E282" s="262"/>
      <c r="F282" s="262"/>
    </row>
    <row r="283" spans="1:6" ht="12.75">
      <c r="A283" s="262"/>
      <c r="B283" s="262"/>
      <c r="C283" s="262"/>
      <c r="D283" s="262"/>
      <c r="E283" s="262"/>
      <c r="F283" s="262"/>
    </row>
    <row r="284" spans="1:6" ht="12.75">
      <c r="A284" s="262"/>
      <c r="B284" s="262"/>
      <c r="C284" s="262"/>
      <c r="D284" s="262"/>
      <c r="E284" s="262"/>
      <c r="F284" s="262"/>
    </row>
    <row r="285" spans="1:6" ht="12.75">
      <c r="A285" s="262"/>
      <c r="B285" s="262"/>
      <c r="C285" s="262"/>
      <c r="D285" s="262"/>
      <c r="E285" s="262"/>
      <c r="F285" s="262"/>
    </row>
    <row r="286" spans="1:6" ht="12.75">
      <c r="A286" s="262"/>
      <c r="B286" s="262"/>
      <c r="C286" s="262"/>
      <c r="D286" s="262"/>
      <c r="E286" s="262"/>
      <c r="F286" s="262"/>
    </row>
    <row r="287" spans="1:6" ht="12.75">
      <c r="A287" s="262"/>
      <c r="B287" s="262"/>
      <c r="C287" s="262"/>
      <c r="D287" s="262"/>
      <c r="E287" s="262"/>
      <c r="F287" s="262"/>
    </row>
    <row r="288" spans="1:6" ht="12.75">
      <c r="A288" s="262"/>
      <c r="B288" s="262"/>
      <c r="C288" s="262"/>
      <c r="D288" s="262"/>
      <c r="E288" s="262"/>
      <c r="F288" s="262"/>
    </row>
    <row r="289" spans="1:6" ht="12.75">
      <c r="A289" s="262"/>
      <c r="B289" s="262"/>
      <c r="C289" s="262"/>
      <c r="D289" s="262"/>
      <c r="E289" s="262"/>
      <c r="F289" s="262"/>
    </row>
    <row r="290" spans="1:6" ht="12.75">
      <c r="A290" s="262"/>
      <c r="B290" s="262"/>
      <c r="C290" s="262"/>
      <c r="D290" s="262"/>
      <c r="E290" s="262"/>
      <c r="F290" s="262"/>
    </row>
    <row r="291" spans="1:6" ht="12.75">
      <c r="A291" s="262"/>
      <c r="B291" s="262"/>
      <c r="C291" s="262"/>
      <c r="D291" s="262"/>
      <c r="E291" s="262"/>
      <c r="F291" s="262"/>
    </row>
    <row r="292" spans="1:6" ht="12.75">
      <c r="A292" s="262"/>
      <c r="B292" s="262"/>
      <c r="C292" s="262"/>
      <c r="D292" s="262"/>
      <c r="E292" s="262"/>
      <c r="F292" s="262"/>
    </row>
    <row r="293" spans="1:6" ht="12.75">
      <c r="A293" s="262"/>
      <c r="B293" s="262"/>
      <c r="C293" s="262"/>
      <c r="D293" s="262"/>
      <c r="E293" s="262"/>
      <c r="F293" s="262"/>
    </row>
    <row r="294" spans="1:6" ht="12.75">
      <c r="A294" s="262"/>
      <c r="B294" s="262"/>
      <c r="C294" s="262"/>
      <c r="D294" s="262"/>
      <c r="E294" s="262"/>
      <c r="F294" s="262"/>
    </row>
    <row r="295" spans="1:6" ht="12.75">
      <c r="A295" s="262"/>
      <c r="B295" s="262"/>
      <c r="C295" s="262"/>
      <c r="D295" s="262"/>
      <c r="E295" s="262"/>
      <c r="F295" s="262"/>
    </row>
    <row r="296" spans="1:6" ht="12.75">
      <c r="A296" s="262"/>
      <c r="B296" s="262"/>
      <c r="C296" s="262"/>
      <c r="D296" s="262"/>
      <c r="E296" s="262"/>
      <c r="F296" s="262"/>
    </row>
    <row r="297" spans="1:6" ht="12.75">
      <c r="A297" s="262"/>
      <c r="B297" s="262"/>
      <c r="C297" s="262"/>
      <c r="D297" s="262"/>
      <c r="E297" s="262"/>
      <c r="F297" s="262"/>
    </row>
    <row r="298" spans="1:6" ht="12.75">
      <c r="A298" s="262"/>
      <c r="B298" s="262"/>
      <c r="C298" s="262"/>
      <c r="D298" s="262"/>
      <c r="E298" s="262"/>
      <c r="F298" s="262"/>
    </row>
    <row r="299" spans="1:6" ht="12.75">
      <c r="A299" s="262"/>
      <c r="B299" s="262"/>
      <c r="C299" s="262"/>
      <c r="D299" s="262"/>
      <c r="E299" s="262"/>
      <c r="F299" s="262"/>
    </row>
    <row r="300" spans="1:6" ht="12.75">
      <c r="A300" s="262"/>
      <c r="B300" s="262"/>
      <c r="C300" s="262"/>
      <c r="D300" s="262"/>
      <c r="E300" s="262"/>
      <c r="F300" s="262"/>
    </row>
    <row r="301" spans="1:6" ht="12.75">
      <c r="A301" s="262"/>
      <c r="B301" s="262"/>
      <c r="C301" s="262"/>
      <c r="D301" s="262"/>
      <c r="E301" s="262"/>
      <c r="F301" s="262"/>
    </row>
    <row r="302" spans="1:6" ht="12.75">
      <c r="A302" s="262"/>
      <c r="B302" s="262"/>
      <c r="C302" s="262"/>
      <c r="D302" s="262"/>
      <c r="E302" s="262"/>
      <c r="F302" s="262"/>
    </row>
    <row r="303" spans="1:6" ht="12.75">
      <c r="A303" s="262"/>
      <c r="B303" s="262"/>
      <c r="C303" s="262"/>
      <c r="D303" s="262"/>
      <c r="E303" s="262"/>
      <c r="F303" s="262"/>
    </row>
    <row r="304" spans="1:6" ht="12.75">
      <c r="A304" s="262"/>
      <c r="B304" s="262"/>
      <c r="C304" s="262"/>
      <c r="D304" s="262"/>
      <c r="E304" s="262"/>
      <c r="F304" s="262"/>
    </row>
    <row r="305" spans="1:6" ht="12.75">
      <c r="A305" s="262"/>
      <c r="B305" s="262"/>
      <c r="C305" s="262"/>
      <c r="D305" s="262"/>
      <c r="E305" s="262"/>
      <c r="F305" s="262"/>
    </row>
    <row r="306" spans="1:6" ht="12.75">
      <c r="A306" s="262"/>
      <c r="B306" s="262"/>
      <c r="C306" s="262"/>
      <c r="D306" s="262"/>
      <c r="E306" s="262"/>
      <c r="F306" s="262"/>
    </row>
    <row r="307" spans="1:6" ht="12.75">
      <c r="A307" s="262"/>
      <c r="B307" s="262"/>
      <c r="C307" s="262"/>
      <c r="D307" s="262"/>
      <c r="E307" s="262"/>
      <c r="F307" s="262"/>
    </row>
    <row r="308" spans="1:6" ht="12.75">
      <c r="A308" s="262"/>
      <c r="B308" s="262"/>
      <c r="C308" s="262"/>
      <c r="D308" s="262"/>
      <c r="E308" s="262"/>
      <c r="F308" s="262"/>
    </row>
    <row r="309" spans="1:6" ht="12.75">
      <c r="A309" s="262"/>
      <c r="B309" s="262"/>
      <c r="C309" s="262"/>
      <c r="D309" s="262"/>
      <c r="E309" s="262"/>
      <c r="F309" s="262"/>
    </row>
    <row r="310" spans="1:6" ht="12.75">
      <c r="A310" s="262"/>
      <c r="B310" s="262"/>
      <c r="C310" s="262"/>
      <c r="D310" s="262"/>
      <c r="E310" s="262"/>
      <c r="F310" s="262"/>
    </row>
    <row r="311" spans="1:6" ht="12.75">
      <c r="A311" s="262"/>
      <c r="B311" s="262"/>
      <c r="C311" s="262"/>
      <c r="D311" s="262"/>
      <c r="E311" s="262"/>
      <c r="F311" s="262"/>
    </row>
    <row r="312" spans="1:6" ht="12.75">
      <c r="A312" s="262"/>
      <c r="B312" s="262"/>
      <c r="C312" s="262"/>
      <c r="D312" s="262"/>
      <c r="E312" s="262"/>
      <c r="F312" s="262"/>
    </row>
    <row r="313" spans="1:6" ht="12.75">
      <c r="A313" s="262"/>
      <c r="B313" s="262"/>
      <c r="C313" s="262"/>
      <c r="D313" s="262"/>
      <c r="E313" s="262"/>
      <c r="F313" s="262"/>
    </row>
    <row r="314" spans="1:6" ht="12.75">
      <c r="A314" s="262"/>
      <c r="B314" s="262"/>
      <c r="C314" s="262"/>
      <c r="D314" s="262"/>
      <c r="E314" s="262"/>
      <c r="F314" s="262"/>
    </row>
    <row r="315" spans="1:6" ht="12.75">
      <c r="A315" s="262"/>
      <c r="B315" s="262"/>
      <c r="C315" s="262"/>
      <c r="D315" s="262"/>
      <c r="E315" s="262"/>
      <c r="F315" s="262"/>
    </row>
    <row r="316" spans="1:6" ht="12.75">
      <c r="A316" s="262"/>
      <c r="B316" s="262"/>
      <c r="C316" s="262"/>
      <c r="D316" s="262"/>
      <c r="E316" s="262"/>
      <c r="F316" s="262"/>
    </row>
    <row r="317" spans="1:6" ht="12.75">
      <c r="A317" s="262"/>
      <c r="B317" s="262"/>
      <c r="C317" s="262"/>
      <c r="D317" s="262"/>
      <c r="E317" s="262"/>
      <c r="F317" s="262"/>
    </row>
    <row r="318" spans="1:6" ht="12.75">
      <c r="A318" s="262"/>
      <c r="B318" s="262"/>
      <c r="C318" s="262"/>
      <c r="D318" s="262"/>
      <c r="E318" s="262"/>
      <c r="F318" s="262"/>
    </row>
    <row r="319" spans="1:6" ht="12.75">
      <c r="A319" s="262"/>
      <c r="B319" s="262"/>
      <c r="C319" s="262"/>
      <c r="D319" s="262"/>
      <c r="E319" s="262"/>
      <c r="F319" s="262"/>
    </row>
    <row r="320" spans="1:6" ht="12.75">
      <c r="A320" s="262"/>
      <c r="B320" s="262"/>
      <c r="C320" s="262"/>
      <c r="D320" s="262"/>
      <c r="E320" s="262"/>
      <c r="F320" s="262"/>
    </row>
    <row r="321" spans="1:6" ht="12.75">
      <c r="A321" s="262"/>
      <c r="B321" s="262"/>
      <c r="C321" s="262"/>
      <c r="D321" s="262"/>
      <c r="E321" s="262"/>
      <c r="F321" s="262"/>
    </row>
    <row r="322" spans="1:6" ht="12.75">
      <c r="A322" s="262"/>
      <c r="B322" s="262"/>
      <c r="C322" s="262"/>
      <c r="D322" s="262"/>
      <c r="E322" s="262"/>
      <c r="F322" s="262"/>
    </row>
    <row r="323" spans="1:6" ht="12.75">
      <c r="A323" s="262"/>
      <c r="B323" s="262"/>
      <c r="C323" s="262"/>
      <c r="D323" s="262"/>
      <c r="E323" s="262"/>
      <c r="F323" s="262"/>
    </row>
    <row r="324" spans="1:6" ht="12.75">
      <c r="A324" s="262"/>
      <c r="B324" s="262"/>
      <c r="C324" s="262"/>
      <c r="D324" s="262"/>
      <c r="E324" s="262"/>
      <c r="F324" s="262"/>
    </row>
    <row r="325" spans="1:6" ht="12.75">
      <c r="A325" s="262"/>
      <c r="B325" s="262"/>
      <c r="C325" s="262"/>
      <c r="D325" s="262"/>
      <c r="E325" s="262"/>
      <c r="F325" s="262"/>
    </row>
    <row r="326" spans="1:6" ht="12.75">
      <c r="A326" s="262"/>
      <c r="B326" s="262"/>
      <c r="C326" s="262"/>
      <c r="D326" s="262"/>
      <c r="E326" s="262"/>
      <c r="F326" s="262"/>
    </row>
    <row r="327" spans="1:6" ht="12.75">
      <c r="A327" s="262"/>
      <c r="B327" s="262"/>
      <c r="C327" s="262"/>
      <c r="D327" s="262"/>
      <c r="E327" s="262"/>
      <c r="F327" s="262"/>
    </row>
    <row r="328" spans="1:6" ht="12.75">
      <c r="A328" s="262"/>
      <c r="B328" s="262"/>
      <c r="C328" s="262"/>
      <c r="D328" s="262"/>
      <c r="E328" s="262"/>
      <c r="F328" s="262"/>
    </row>
    <row r="329" spans="1:6" ht="12.75">
      <c r="A329" s="262"/>
      <c r="B329" s="262"/>
      <c r="C329" s="262"/>
      <c r="D329" s="262"/>
      <c r="E329" s="262"/>
      <c r="F329" s="262"/>
    </row>
    <row r="330" spans="1:6" ht="12.75">
      <c r="A330" s="262"/>
      <c r="B330" s="262"/>
      <c r="C330" s="262"/>
      <c r="D330" s="262"/>
      <c r="E330" s="262"/>
      <c r="F330" s="262"/>
    </row>
    <row r="331" spans="1:6" ht="12.75">
      <c r="A331" s="262"/>
      <c r="B331" s="262"/>
      <c r="C331" s="262"/>
      <c r="D331" s="262"/>
      <c r="E331" s="262"/>
      <c r="F331" s="262"/>
    </row>
    <row r="332" spans="1:6" ht="12.75">
      <c r="A332" s="262"/>
      <c r="B332" s="262"/>
      <c r="C332" s="262"/>
      <c r="D332" s="262"/>
      <c r="E332" s="262"/>
      <c r="F332" s="262"/>
    </row>
    <row r="333" spans="1:6" ht="12.75">
      <c r="A333" s="262"/>
      <c r="B333" s="262"/>
      <c r="C333" s="262"/>
      <c r="D333" s="262"/>
      <c r="E333" s="262"/>
      <c r="F333" s="262"/>
    </row>
    <row r="334" spans="1:6" ht="12.75">
      <c r="A334" s="262"/>
      <c r="B334" s="262"/>
      <c r="C334" s="262"/>
      <c r="D334" s="262"/>
      <c r="E334" s="262"/>
      <c r="F334" s="262"/>
    </row>
    <row r="335" spans="1:6" ht="12.75">
      <c r="A335" s="262"/>
      <c r="B335" s="262"/>
      <c r="C335" s="262"/>
      <c r="D335" s="262"/>
      <c r="E335" s="262"/>
      <c r="F335" s="262"/>
    </row>
    <row r="336" spans="1:6" ht="12.75">
      <c r="A336" s="262"/>
      <c r="B336" s="262"/>
      <c r="C336" s="262"/>
      <c r="D336" s="262"/>
      <c r="E336" s="262"/>
      <c r="F336" s="262"/>
    </row>
    <row r="337" spans="1:6" ht="12.75">
      <c r="A337" s="262"/>
      <c r="B337" s="262"/>
      <c r="C337" s="262"/>
      <c r="D337" s="262"/>
      <c r="E337" s="262"/>
      <c r="F337" s="262"/>
    </row>
    <row r="338" spans="1:6" ht="12.75">
      <c r="A338" s="262"/>
      <c r="B338" s="262"/>
      <c r="C338" s="262"/>
      <c r="D338" s="262"/>
      <c r="E338" s="262"/>
      <c r="F338" s="262"/>
    </row>
    <row r="339" spans="1:6" ht="12.75">
      <c r="A339" s="262"/>
      <c r="B339" s="262"/>
      <c r="C339" s="262"/>
      <c r="D339" s="262"/>
      <c r="E339" s="262"/>
      <c r="F339" s="262"/>
    </row>
    <row r="340" spans="1:6" ht="12.75">
      <c r="A340" s="262"/>
      <c r="B340" s="262"/>
      <c r="C340" s="262"/>
      <c r="D340" s="262"/>
      <c r="E340" s="262"/>
      <c r="F340" s="262"/>
    </row>
    <row r="341" spans="1:6" ht="12.75">
      <c r="A341" s="262"/>
      <c r="B341" s="262"/>
      <c r="C341" s="262"/>
      <c r="D341" s="262"/>
      <c r="E341" s="262"/>
      <c r="F341" s="262"/>
    </row>
    <row r="342" spans="1:6" ht="12.75">
      <c r="A342" s="262"/>
      <c r="B342" s="262"/>
      <c r="C342" s="262"/>
      <c r="D342" s="262"/>
      <c r="E342" s="262"/>
      <c r="F342" s="262"/>
    </row>
    <row r="343" spans="1:6" ht="12.75">
      <c r="A343" s="262"/>
      <c r="B343" s="262"/>
      <c r="C343" s="262"/>
      <c r="D343" s="262"/>
      <c r="E343" s="262"/>
      <c r="F343" s="262"/>
    </row>
    <row r="344" spans="1:6" ht="12.75">
      <c r="A344" s="262"/>
      <c r="B344" s="262"/>
      <c r="C344" s="262"/>
      <c r="D344" s="262"/>
      <c r="E344" s="262"/>
      <c r="F344" s="262"/>
    </row>
    <row r="345" spans="1:6" ht="12.75">
      <c r="A345" s="262"/>
      <c r="B345" s="262"/>
      <c r="C345" s="262"/>
      <c r="D345" s="262"/>
      <c r="E345" s="262"/>
      <c r="F345" s="262"/>
    </row>
    <row r="346" spans="1:6" ht="12.75">
      <c r="A346" s="262"/>
      <c r="B346" s="262"/>
      <c r="C346" s="262"/>
      <c r="D346" s="262"/>
      <c r="E346" s="262"/>
      <c r="F346" s="262"/>
    </row>
    <row r="347" spans="1:6" ht="12.75">
      <c r="A347" s="262"/>
      <c r="B347" s="262"/>
      <c r="C347" s="262"/>
      <c r="D347" s="262"/>
      <c r="E347" s="262"/>
      <c r="F347" s="262"/>
    </row>
    <row r="348" spans="1:6" ht="12.75">
      <c r="A348" s="262"/>
      <c r="B348" s="262"/>
      <c r="C348" s="262"/>
      <c r="D348" s="262"/>
      <c r="E348" s="262"/>
      <c r="F348" s="262"/>
    </row>
    <row r="349" spans="1:6" ht="12.75">
      <c r="A349" s="262"/>
      <c r="B349" s="262"/>
      <c r="C349" s="262"/>
      <c r="D349" s="262"/>
      <c r="E349" s="262"/>
      <c r="F349" s="262"/>
    </row>
    <row r="350" spans="1:6" ht="12.75">
      <c r="A350" s="262"/>
      <c r="B350" s="262"/>
      <c r="C350" s="262"/>
      <c r="D350" s="262"/>
      <c r="E350" s="262"/>
      <c r="F350" s="262"/>
    </row>
    <row r="351" spans="1:6" ht="12.75">
      <c r="A351" s="262"/>
      <c r="B351" s="262"/>
      <c r="C351" s="262"/>
      <c r="D351" s="262"/>
      <c r="E351" s="262"/>
      <c r="F351" s="262"/>
    </row>
    <row r="352" spans="1:6" ht="12.75">
      <c r="A352" s="262"/>
      <c r="B352" s="262"/>
      <c r="C352" s="262"/>
      <c r="D352" s="262"/>
      <c r="E352" s="262"/>
      <c r="F352" s="262"/>
    </row>
    <row r="353" spans="1:6" ht="12.75">
      <c r="A353" s="262"/>
      <c r="B353" s="262"/>
      <c r="C353" s="262"/>
      <c r="D353" s="262"/>
      <c r="E353" s="262"/>
      <c r="F353" s="262"/>
    </row>
    <row r="354" spans="1:6" ht="12.75">
      <c r="A354" s="262"/>
      <c r="B354" s="262"/>
      <c r="C354" s="262"/>
      <c r="D354" s="262"/>
      <c r="E354" s="262"/>
      <c r="F354" s="262"/>
    </row>
    <row r="355" spans="1:6" ht="12.75">
      <c r="A355" s="262"/>
      <c r="B355" s="262"/>
      <c r="C355" s="262"/>
      <c r="D355" s="262"/>
      <c r="E355" s="262"/>
      <c r="F355" s="262"/>
    </row>
    <row r="356" spans="1:6" ht="12.75">
      <c r="A356" s="262"/>
      <c r="B356" s="262"/>
      <c r="C356" s="262"/>
      <c r="D356" s="262"/>
      <c r="E356" s="262"/>
      <c r="F356" s="262"/>
    </row>
    <row r="357" spans="1:6" ht="12.75">
      <c r="A357" s="262"/>
      <c r="B357" s="262"/>
      <c r="C357" s="262"/>
      <c r="D357" s="262"/>
      <c r="E357" s="262"/>
      <c r="F357" s="262"/>
    </row>
    <row r="358" spans="1:6" ht="12.75">
      <c r="A358" s="262"/>
      <c r="B358" s="262"/>
      <c r="C358" s="262"/>
      <c r="D358" s="262"/>
      <c r="E358" s="262"/>
      <c r="F358" s="262"/>
    </row>
    <row r="359" spans="1:6" ht="12.75">
      <c r="A359" s="262"/>
      <c r="B359" s="262"/>
      <c r="C359" s="262"/>
      <c r="D359" s="262"/>
      <c r="E359" s="262"/>
      <c r="F359" s="262"/>
    </row>
    <row r="360" spans="1:6" ht="12.75">
      <c r="A360" s="262"/>
      <c r="B360" s="262"/>
      <c r="C360" s="262"/>
      <c r="D360" s="262"/>
      <c r="E360" s="262"/>
      <c r="F360" s="262"/>
    </row>
    <row r="361" spans="1:6" ht="12.75">
      <c r="A361" s="262"/>
      <c r="B361" s="262"/>
      <c r="C361" s="262"/>
      <c r="D361" s="262"/>
      <c r="E361" s="262"/>
      <c r="F361" s="262"/>
    </row>
    <row r="362" spans="1:6" ht="12.75">
      <c r="A362" s="262"/>
      <c r="B362" s="262"/>
      <c r="C362" s="262"/>
      <c r="D362" s="262"/>
      <c r="E362" s="262"/>
      <c r="F362" s="262"/>
    </row>
    <row r="363" spans="1:6" ht="12.75">
      <c r="A363" s="262"/>
      <c r="B363" s="262"/>
      <c r="C363" s="262"/>
      <c r="D363" s="262"/>
      <c r="E363" s="262"/>
      <c r="F363" s="262"/>
    </row>
    <row r="364" spans="1:6" ht="12.75">
      <c r="A364" s="262"/>
      <c r="B364" s="262"/>
      <c r="C364" s="262"/>
      <c r="D364" s="262"/>
      <c r="E364" s="262"/>
      <c r="F364" s="262"/>
    </row>
    <row r="365" spans="1:6" ht="12.75">
      <c r="A365" s="262"/>
      <c r="B365" s="262"/>
      <c r="C365" s="262"/>
      <c r="D365" s="262"/>
      <c r="E365" s="262"/>
      <c r="F365" s="262"/>
    </row>
    <row r="366" spans="1:6" ht="12.75">
      <c r="A366" s="262"/>
      <c r="B366" s="262"/>
      <c r="C366" s="262"/>
      <c r="D366" s="262"/>
      <c r="E366" s="262"/>
      <c r="F366" s="262"/>
    </row>
    <row r="367" spans="1:6" ht="12.75">
      <c r="A367" s="262"/>
      <c r="B367" s="262"/>
      <c r="C367" s="262"/>
      <c r="D367" s="262"/>
      <c r="E367" s="262"/>
      <c r="F367" s="262"/>
    </row>
    <row r="368" spans="1:6" ht="12.75">
      <c r="A368" s="262"/>
      <c r="B368" s="262"/>
      <c r="C368" s="262"/>
      <c r="D368" s="262"/>
      <c r="E368" s="262"/>
      <c r="F368" s="262"/>
    </row>
    <row r="369" spans="1:6" ht="12.75">
      <c r="A369" s="262"/>
      <c r="B369" s="262"/>
      <c r="C369" s="262"/>
      <c r="D369" s="262"/>
      <c r="E369" s="262"/>
      <c r="F369" s="262"/>
    </row>
    <row r="370" spans="1:6" ht="12.75">
      <c r="A370" s="262"/>
      <c r="B370" s="262"/>
      <c r="C370" s="262"/>
      <c r="D370" s="262"/>
      <c r="E370" s="262"/>
      <c r="F370" s="262"/>
    </row>
    <row r="371" spans="1:6" ht="12.75">
      <c r="A371" s="262"/>
      <c r="B371" s="262"/>
      <c r="C371" s="262"/>
      <c r="D371" s="262"/>
      <c r="E371" s="262"/>
      <c r="F371" s="262"/>
    </row>
    <row r="372" spans="1:6" ht="12.75">
      <c r="A372" s="262"/>
      <c r="B372" s="262"/>
      <c r="C372" s="262"/>
      <c r="D372" s="262"/>
      <c r="E372" s="262"/>
      <c r="F372" s="262"/>
    </row>
    <row r="373" spans="1:6" ht="12.75">
      <c r="A373" s="262"/>
      <c r="B373" s="262"/>
      <c r="C373" s="262"/>
      <c r="D373" s="262"/>
      <c r="E373" s="262"/>
      <c r="F373" s="262"/>
    </row>
    <row r="374" spans="1:6" ht="12.75">
      <c r="A374" s="262"/>
      <c r="B374" s="262"/>
      <c r="C374" s="262"/>
      <c r="D374" s="262"/>
      <c r="E374" s="262"/>
      <c r="F374" s="262"/>
    </row>
    <row r="375" spans="1:6" ht="12.75">
      <c r="A375" s="262"/>
      <c r="B375" s="262"/>
      <c r="C375" s="262"/>
      <c r="D375" s="262"/>
      <c r="E375" s="262"/>
      <c r="F375" s="262"/>
    </row>
    <row r="376" spans="1:6" ht="12.75">
      <c r="A376" s="262"/>
      <c r="B376" s="262"/>
      <c r="C376" s="262"/>
      <c r="D376" s="262"/>
      <c r="E376" s="262"/>
      <c r="F376" s="262"/>
    </row>
    <row r="377" spans="1:6" ht="12.75">
      <c r="A377" s="262"/>
      <c r="B377" s="262"/>
      <c r="C377" s="262"/>
      <c r="D377" s="262"/>
      <c r="E377" s="262"/>
      <c r="F377" s="262"/>
    </row>
    <row r="378" spans="1:6" ht="12.75">
      <c r="A378" s="262"/>
      <c r="B378" s="262"/>
      <c r="C378" s="262"/>
      <c r="D378" s="262"/>
      <c r="E378" s="262"/>
      <c r="F378" s="262"/>
    </row>
    <row r="379" spans="1:6" ht="12.75">
      <c r="A379" s="262"/>
      <c r="B379" s="262"/>
      <c r="C379" s="262"/>
      <c r="D379" s="262"/>
      <c r="E379" s="262"/>
      <c r="F379" s="262"/>
    </row>
    <row r="380" spans="1:6" ht="12.75">
      <c r="A380" s="262"/>
      <c r="B380" s="262"/>
      <c r="C380" s="262"/>
      <c r="D380" s="262"/>
      <c r="E380" s="262"/>
      <c r="F380" s="262"/>
    </row>
    <row r="381" spans="1:6" ht="12.75">
      <c r="A381" s="262"/>
      <c r="B381" s="262"/>
      <c r="C381" s="262"/>
      <c r="D381" s="262"/>
      <c r="E381" s="262"/>
      <c r="F381" s="262"/>
    </row>
    <row r="382" spans="1:6" ht="12.75">
      <c r="A382" s="262"/>
      <c r="B382" s="262"/>
      <c r="C382" s="262"/>
      <c r="D382" s="262"/>
      <c r="E382" s="262"/>
      <c r="F382" s="262"/>
    </row>
    <row r="383" spans="1:6" ht="12.75">
      <c r="A383" s="262"/>
      <c r="B383" s="262"/>
      <c r="C383" s="262"/>
      <c r="D383" s="262"/>
      <c r="E383" s="262"/>
      <c r="F383" s="262"/>
    </row>
    <row r="384" spans="1:6" ht="12.75">
      <c r="A384" s="262"/>
      <c r="B384" s="262"/>
      <c r="C384" s="262"/>
      <c r="D384" s="262"/>
      <c r="E384" s="262"/>
      <c r="F384" s="262"/>
    </row>
    <row r="385" spans="1:6" ht="12.75">
      <c r="A385" s="262"/>
      <c r="B385" s="262"/>
      <c r="C385" s="262"/>
      <c r="D385" s="262"/>
      <c r="E385" s="262"/>
      <c r="F385" s="262"/>
    </row>
    <row r="386" spans="1:6" ht="12.75">
      <c r="A386" s="262"/>
      <c r="B386" s="262"/>
      <c r="C386" s="262"/>
      <c r="D386" s="262"/>
      <c r="E386" s="262"/>
      <c r="F386" s="262"/>
    </row>
    <row r="387" spans="1:6" ht="12.75">
      <c r="A387" s="262"/>
      <c r="B387" s="262"/>
      <c r="C387" s="262"/>
      <c r="D387" s="262"/>
      <c r="E387" s="262"/>
      <c r="F387" s="262"/>
    </row>
  </sheetData>
  <sheetProtection/>
  <mergeCells count="2">
    <mergeCell ref="C6:E6"/>
    <mergeCell ref="C7:E7"/>
  </mergeCells>
  <printOptions gridLines="1" headings="1"/>
  <pageMargins left="0.551181102362205" right="0.236220472440945" top="0.69" bottom="0.6" header="0.33" footer="0"/>
  <pageSetup horizontalDpi="600" verticalDpi="600" orientation="portrait" scale="88" r:id="rId1"/>
  <headerFooter alignWithMargins="0">
    <oddHeader>&amp;C&amp;F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Lenovo User</cp:lastModifiedBy>
  <cp:lastPrinted>2011-09-28T03:28:16Z</cp:lastPrinted>
  <dcterms:created xsi:type="dcterms:W3CDTF">2001-11-07T16:15:53Z</dcterms:created>
  <dcterms:modified xsi:type="dcterms:W3CDTF">2011-09-28T03:28:37Z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