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65" yWindow="255" windowWidth="12615" windowHeight="1275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<sst xmlns="http://schemas.openxmlformats.org/spreadsheetml/2006/main" count="883" uniqueCount="510">
  <si>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</si>
  <si>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</si>
  <si>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</si>
  <si>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</si>
  <si>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</si>
  <si>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</si>
  <si>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</si>
  <si>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</si>
  <si>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</si>
  <si>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</si>
  <si>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</si>
  <si>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</si>
  <si>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</si>
  <si>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</si>
  <si>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</si>
  <si>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</si>
  <si>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</si>
  <si>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</si>
  <si>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</si>
  <si>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</si>
  <si>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</si>
  <si>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</si>
  <si>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</si>
  <si>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</si>
  <si>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</si>
  <si>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</si>
  <si>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</si>
  <si>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</si>
  <si>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</si>
  <si>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</si>
  <si>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</si>
  <si>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</si>
  <si>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</si>
  <si>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</si>
  <si>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</si>
  <si>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</si>
  <si>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</si>
  <si>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</si>
  <si>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</si>
  <si>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</si>
  <si>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</si>
  <si>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</si>
  <si>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</si>
  <si>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</si>
  <si>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</si>
  <si>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</si>
  <si>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</si>
  <si>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</si>
  <si>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</si>
  <si>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</si>
  <si>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</si>
  <si>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</si>
  <si>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</si>
  <si>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</si>
  <si>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</si>
  <si>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</si>
  <si>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</si>
  <si>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</si>
  <si>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</si>
  <si>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</si>
  <si>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</si>
  <si>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</si>
  <si>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</si>
  <si>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</si>
  <si>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</si>
  <si>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</si>
  <si>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</si>
  <si>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</si>
  <si>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</si>
  <si>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</si>
  <si>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</si>
  <si>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</si>
  <si>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</si>
  <si>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</si>
  <si>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</si>
  <si>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</si>
  <si>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</si>
  <si>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</si>
  <si>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</si>
  <si>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</si>
  <si>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</si>
  <si>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</si>
  <si>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</si>
  <si>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</si>
  <si>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</si>
  <si>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</si>
  <si>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</si>
  <si>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</si>
  <si>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</si>
  <si>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</si>
  <si>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</si>
  <si>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</si>
  <si>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</si>
  <si>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</si>
  <si>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</si>
  <si>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</si>
  <si>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</si>
  <si>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</si>
  <si>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</si>
  <si>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</si>
  <si>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</si>
  <si>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</si>
  <si>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</si>
  <si>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</si>
  <si>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</si>
  <si>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</si>
  <si>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</si>
  <si>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</si>
  <si>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</si>
  <si>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</si>
  <si>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</si>
  <si>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</si>
  <si>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</si>
  <si>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</si>
  <si>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</si>
  <si>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</si>
  <si>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</si>
  <si>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</si>
  <si>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</si>
  <si>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</si>
  <si>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</si>
  <si>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</si>
  <si>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</si>
  <si>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</si>
  <si>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</si>
  <si>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</si>
  <si>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</si>
  <si>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</si>
  <si>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</si>
  <si>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</si>
  <si>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</si>
  <si>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</si>
  <si>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</si>
  <si>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</si>
  <si>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</si>
  <si>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</si>
  <si>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</si>
  <si>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</si>
  <si>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</si>
  <si>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</si>
  <si>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</si>
  <si>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</si>
  <si>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</si>
  <si>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</si>
  <si>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</si>
  <si>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</si>
  <si>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</si>
  <si>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</si>
  <si>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</si>
  <si>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</si>
  <si>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</si>
  <si>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</si>
  <si>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</si>
  <si>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</si>
  <si>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</si>
  <si>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</si>
  <si>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</si>
  <si>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</si>
  <si>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</si>
  <si>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</si>
  <si>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</si>
  <si>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</si>
  <si>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</si>
  <si>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</si>
  <si>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</si>
  <si>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</si>
  <si>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</si>
  <si>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</si>
  <si>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</si>
  <si>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</si>
  <si>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</si>
  <si>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</si>
  <si>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</si>
  <si>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</si>
  <si>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</si>
  <si>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</si>
  <si>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</si>
  <si>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</si>
  <si>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</si>
  <si>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</si>
  <si>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</si>
  <si>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</si>
  <si>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</si>
  <si>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</si>
  <si>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</si>
  <si>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</si>
  <si>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</si>
  <si>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</si>
  <si>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</si>
  <si>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</si>
  <si>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</si>
  <si>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</si>
  <si>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</si>
  <si>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</si>
  <si>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</si>
  <si>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</si>
  <si>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</si>
  <si>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</si>
  <si>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</si>
  <si>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</si>
  <si>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</si>
  <si>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</si>
  <si>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</si>
  <si>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</si>
  <si>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</si>
  <si>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</si>
  <si>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</si>
  <si>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</si>
  <si>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</si>
  <si>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</si>
  <si>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</si>
  <si>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</si>
  <si>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</si>
  <si>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</si>
  <si>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</si>
  <si>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</si>
  <si>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</si>
  <si>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</si>
  <si>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</si>
  <si>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</si>
  <si>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</si>
  <si>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</si>
  <si>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</si>
  <si>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</si>
  <si>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</si>
  <si>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</si>
  <si>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</si>
  <si>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</si>
  <si>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</si>
  <si>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</si>
  <si>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</si>
  <si>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</si>
  <si>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</si>
  <si>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</si>
  <si>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</si>
  <si>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</si>
  <si>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</si>
  <si>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</si>
  <si>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</si>
  <si>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</si>
  <si>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</si>
  <si>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</si>
  <si>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</si>
  <si>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</si>
  <si>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</si>
  <si>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</si>
  <si>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</si>
  <si>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</si>
  <si>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</si>
  <si>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</si>
  <si>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</si>
  <si>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</si>
  <si>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</si>
  <si>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</si>
  <si>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</si>
  <si>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</si>
  <si>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</si>
  <si>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</si>
  <si>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</si>
  <si>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</si>
  <si>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</si>
  <si>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</si>
  <si>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</si>
  <si>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</si>
  <si>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</si>
  <si>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</si>
  <si>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</si>
  <si>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</si>
  <si>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</si>
  <si>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</si>
  <si>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</si>
  <si>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</si>
  <si>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</si>
  <si>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</si>
  <si>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</si>
  <si>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</si>
  <si>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</si>
  <si>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</si>
  <si>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</si>
  <si>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</si>
  <si>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</si>
  <si>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</si>
  <si>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</si>
  <si>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</si>
  <si>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</si>
  <si>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</si>
  <si>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</si>
  <si>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</si>
  <si>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</si>
  <si>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</si>
  <si>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</si>
  <si>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</si>
  <si>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</si>
  <si>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</si>
  <si>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</si>
  <si>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</si>
  <si>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</si>
  <si>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</si>
  <si>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</si>
  <si>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</si>
  <si>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</si>
  <si>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</si>
  <si>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</si>
  <si>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</si>
  <si>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</si>
  <si>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</si>
  <si>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</si>
  <si>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</si>
  <si>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</si>
  <si>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</si>
  <si>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</si>
  <si>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</si>
  <si>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</si>
  <si>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</si>
  <si>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</si>
  <si>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</si>
  <si>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</si>
  <si>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</si>
  <si>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</si>
  <si>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</si>
  <si>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</si>
  <si>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</si>
  <si>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</si>
  <si>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</si>
  <si>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</si>
  <si>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</si>
  <si>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</si>
  <si>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</si>
  <si>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</si>
  <si>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</si>
  <si>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</si>
  <si>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</si>
  <si>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</si>
  <si>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</si>
  <si>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</si>
  <si>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</si>
  <si>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</si>
  <si>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</si>
  <si>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</si>
  <si>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</si>
  <si>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</si>
  <si>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</si>
  <si>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</si>
  <si>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</si>
  <si>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</si>
  <si>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</si>
  <si>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</si>
  <si>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</si>
  <si>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</si>
  <si>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</si>
  <si>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</si>
  <si>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</si>
  <si>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</si>
  <si>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</si>
  <si>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</si>
  <si>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</si>
  <si>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</si>
  <si>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</si>
  <si>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</si>
  <si>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</si>
  <si>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</si>
  <si>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</si>
  <si>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</si>
  <si>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</si>
  <si>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</si>
  <si>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</si>
  <si>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</si>
  <si>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</si>
  <si>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</si>
  <si>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</si>
  <si>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</si>
  <si>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</si>
  <si>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</si>
  <si>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</si>
  <si>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</si>
  <si>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</si>
  <si>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</si>
  <si>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</si>
  <si>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</si>
  <si>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</si>
  <si>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</si>
  <si>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</si>
  <si>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</si>
  <si>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</si>
  <si>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</si>
  <si>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</si>
  <si>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</si>
  <si>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</si>
  <si>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</si>
  <si>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</si>
  <si>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</si>
  <si>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</si>
  <si>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</si>
  <si>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</si>
  <si>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</si>
  <si>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</si>
  <si>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</si>
  <si>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</si>
  <si>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</si>
  <si>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</si>
  <si>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</si>
  <si>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</si>
  <si>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</si>
  <si>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</si>
  <si>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</si>
  <si>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</si>
  <si>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</si>
  <si>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</si>
  <si>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</si>
  <si>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</si>
  <si>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</si>
  <si>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</si>
  <si>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</si>
  <si>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</si>
  <si>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</si>
  <si>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</si>
  <si>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</si>
  <si>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</si>
  <si>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</si>
  <si>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</si>
  <si>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</si>
  <si>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</si>
  <si>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</si>
  <si>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</si>
  <si>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</si>
  <si>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</si>
  <si>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</si>
  <si>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</si>
  <si>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</si>
  <si>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</si>
  <si>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</si>
  <si>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</si>
  <si>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</si>
  <si>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</si>
  <si>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</si>
  <si>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</si>
  <si>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</si>
  <si>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</si>
  <si>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</si>
  <si>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</si>
  <si>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</si>
  <si>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</si>
  <si>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</si>
  <si>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</si>
  <si>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</si>
  <si>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</si>
  <si>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</si>
  <si>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</si>
  <si>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</si>
  <si>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</si>
  <si>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</si>
  <si>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</si>
  <si>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</si>
  <si>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</si>
  <si>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</si>
  <si>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</si>
  <si>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</si>
  <si>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</si>
  <si>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</si>
  <si>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</si>
  <si>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</si>
  <si>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</si>
  <si>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</si>
  <si>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</si>
  <si>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</si>
  <si>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</si>
  <si>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</si>
  <si>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</si>
  <si>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</si>
  <si>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</si>
  <si>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</si>
  <si>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</si>
  <si>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</si>
  <si>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</si>
  <si>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</si>
  <si>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</si>
  <si>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</si>
  <si>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</si>
  <si>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</si>
  <si>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</si>
  <si>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</si>
  <si>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</si>
  <si>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</si>
  <si>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</si>
  <si>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</si>
  <si>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</si>
  <si>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</si>
  <si>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</si>
  <si>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</si>
  <si>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</si>
  <si>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Enersource Hydro Mississauga Inc.</t>
  </si>
  <si>
    <t>Y</t>
  </si>
  <si>
    <t>N</t>
  </si>
  <si>
    <t>PILs TAXES</t>
  </si>
  <si>
    <t>Employee Retirement Benefits</t>
  </si>
  <si>
    <t>Amortization of debt issue costs</t>
  </si>
  <si>
    <t>Capital tax expense per accounts</t>
  </si>
  <si>
    <t>Ontario Capital Tax Deduction per Return</t>
  </si>
  <si>
    <t>Debt issuance costs s.20(1)(e)</t>
  </si>
  <si>
    <t>Ministry of Finance - Audit Adjustment</t>
  </si>
  <si>
    <t xml:space="preserve">Less: Exemption </t>
  </si>
  <si>
    <t>Tab Tax Rates</t>
  </si>
  <si>
    <t>Rate - Tax Rates</t>
  </si>
  <si>
    <t xml:space="preserve">Income Tax Rate </t>
  </si>
  <si>
    <t>Method 3</t>
  </si>
  <si>
    <t>(Excludes CMT)</t>
  </si>
  <si>
    <t>Ministry of Finance - Audit - Bad Debt Expense Disallowed</t>
  </si>
  <si>
    <t>Ministry of Finance - Audit - Misc. Expense Disallowed</t>
  </si>
  <si>
    <t>Requested by Enersource</t>
  </si>
  <si>
    <t>Per decision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</si>
</sst>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1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9" borderId="14" xfId="0" applyNumberFormat="1" applyFont="1" applyFill="1" applyBorder="1" applyAlignment="1">
      <alignment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0" fontId="0" fillId="29" borderId="17" xfId="0" applyFont="1" applyFill="1" applyBorder="1" applyAlignment="1">
      <alignment horizontal="center" vertical="top"/>
    </xf>
    <xf numFmtId="0" fontId="0" fillId="29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19" fillId="0" borderId="0" xfId="0" applyFont="1" applyFill="1" applyAlignment="1">
      <alignment vertical="top"/>
    </xf>
    <xf numFmtId="10" fontId="0" fillId="27" borderId="0" xfId="0" applyNumberFormat="1" applyFill="1" applyBorder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37" fontId="0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 quotePrefix="1">
      <alignment horizontal="center" vertical="top"/>
    </xf>
    <xf numFmtId="0" fontId="3" fillId="0" borderId="0" xfId="0" applyFont="1" applyFill="1" applyAlignment="1">
      <alignment vertical="center" wrapText="1"/>
    </xf>
    <xf numFmtId="0" fontId="0" fillId="4" borderId="0" xfId="0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/>
    </xf>
    <xf numFmtId="37" fontId="3" fillId="23" borderId="14" xfId="0" applyNumberFormat="1" applyFont="1" applyFill="1" applyBorder="1" applyAlignment="1" applyProtection="1">
      <alignment/>
      <protection/>
    </xf>
    <xf numFmtId="0" fontId="0" fillId="4" borderId="0" xfId="0" applyFill="1" applyAlignment="1">
      <alignment vertical="top"/>
    </xf>
    <xf numFmtId="0" fontId="19" fillId="4" borderId="0" xfId="0" applyFont="1" applyFill="1" applyAlignment="1">
      <alignment vertical="top"/>
    </xf>
    <xf numFmtId="3" fontId="0" fillId="4" borderId="0" xfId="0" applyNumberFormat="1" applyFill="1" applyAlignment="1">
      <alignment vertical="top"/>
    </xf>
    <xf numFmtId="0" fontId="19" fillId="4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22">
      <selection activeCell="C70" sqref="C7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493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490</v>
      </c>
      <c r="C3" s="8"/>
      <c r="D3" s="450" t="s">
        <v>449</v>
      </c>
      <c r="E3" s="8"/>
      <c r="F3" s="8"/>
      <c r="G3" s="8"/>
      <c r="H3" s="8"/>
    </row>
    <row r="4" spans="1:8" ht="12.75">
      <c r="A4" s="2" t="s">
        <v>475</v>
      </c>
      <c r="C4" s="8"/>
      <c r="D4" s="449" t="s">
        <v>444</v>
      </c>
      <c r="E4" s="424"/>
      <c r="H4" s="8"/>
    </row>
    <row r="5" spans="1:8" ht="12.75">
      <c r="A5" s="52"/>
      <c r="C5" s="8"/>
      <c r="D5" s="448" t="s">
        <v>445</v>
      </c>
      <c r="E5" s="395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1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1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1" t="s">
        <v>492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8" t="s">
        <v>316</v>
      </c>
      <c r="B19" s="8" t="s">
        <v>313</v>
      </c>
      <c r="C19" s="8" t="s">
        <v>64</v>
      </c>
      <c r="D19" s="482" t="s">
        <v>491</v>
      </c>
    </row>
    <row r="20" spans="1:4" ht="13.5" thickBot="1">
      <c r="A20" s="499"/>
      <c r="B20" s="8" t="s">
        <v>314</v>
      </c>
      <c r="C20" s="8" t="s">
        <v>64</v>
      </c>
      <c r="D20" s="481" t="s">
        <v>492</v>
      </c>
    </row>
    <row r="21" spans="1:4" ht="12.75">
      <c r="A21" s="498" t="s">
        <v>312</v>
      </c>
      <c r="B21" s="8" t="s">
        <v>313</v>
      </c>
      <c r="C21" s="8"/>
      <c r="D21" s="419">
        <v>1</v>
      </c>
    </row>
    <row r="22" spans="1:4" ht="12.75">
      <c r="A22" s="498"/>
      <c r="B22" s="8" t="s">
        <v>314</v>
      </c>
      <c r="C22" s="8"/>
      <c r="D22" s="419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0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297</v>
      </c>
    </row>
    <row r="27" spans="1:5" ht="12.75">
      <c r="A27" s="256" t="s">
        <v>68</v>
      </c>
      <c r="C27" s="8"/>
      <c r="E27" s="439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17">
        <v>451388902</v>
      </c>
      <c r="H31" s="5"/>
    </row>
    <row r="32" ht="6" customHeight="1"/>
    <row r="33" spans="1:8" ht="12.75">
      <c r="A33" t="s">
        <v>71</v>
      </c>
      <c r="D33" s="418">
        <v>0.4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8">
        <v>0.0988</v>
      </c>
      <c r="H37" s="41"/>
    </row>
    <row r="38" ht="4.5" customHeight="1">
      <c r="H38" s="34"/>
    </row>
    <row r="39" spans="1:8" ht="12.75">
      <c r="A39" t="s">
        <v>74</v>
      </c>
      <c r="D39" s="418">
        <v>0.069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36526389.949839994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11664606</v>
      </c>
      <c r="E43" s="387">
        <f>D43</f>
        <v>11664606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24861783.949839994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2">
        <v>8287261</v>
      </c>
      <c r="E47" s="387">
        <f aca="true" t="shared" si="0" ref="E47:E53">D47</f>
        <v>8287261</v>
      </c>
      <c r="H47" s="40"/>
      <c r="J47" s="5"/>
      <c r="K47" s="5"/>
    </row>
    <row r="48" spans="1:11" ht="12.75">
      <c r="A48" t="s">
        <v>290</v>
      </c>
      <c r="D48" s="422">
        <v>8287261</v>
      </c>
      <c r="E48" s="387">
        <f>D48</f>
        <v>8287261</v>
      </c>
      <c r="F48" s="22"/>
      <c r="H48" s="40"/>
      <c r="J48" s="5"/>
      <c r="K48" s="5"/>
    </row>
    <row r="49" spans="1:11" ht="12.75">
      <c r="A49" t="s">
        <v>291</v>
      </c>
      <c r="D49" s="423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4"/>
      <c r="E50" s="387">
        <f t="shared" si="0"/>
        <v>0</v>
      </c>
      <c r="H50" s="40"/>
      <c r="J50" s="5"/>
      <c r="K50" s="5"/>
    </row>
    <row r="51" spans="1:11" ht="12.75">
      <c r="A51" t="s">
        <v>441</v>
      </c>
      <c r="D51" s="424"/>
      <c r="E51" s="387">
        <f t="shared" si="0"/>
        <v>0</v>
      </c>
      <c r="H51" s="40"/>
      <c r="J51" s="5"/>
      <c r="K51" s="5"/>
    </row>
    <row r="52" spans="1:11" ht="12.75">
      <c r="A52" t="s">
        <v>464</v>
      </c>
      <c r="D52" s="424"/>
      <c r="E52" s="387">
        <f t="shared" si="0"/>
        <v>0</v>
      </c>
      <c r="H52" s="40"/>
      <c r="J52" s="5"/>
      <c r="K52" s="5"/>
    </row>
    <row r="53" spans="4:11" ht="12.75">
      <c r="D53" s="424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28239128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180555560.8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17838889.40704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270833341.2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18687500.5428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10207702.592684135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14447601.324765204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14447601.324765204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18687500.5428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verticalCentered="1"/>
  <pageMargins left="0.7480314960629921" right="0.2362204724409449" top="0.6692913385826772" bottom="0.35433070866141736" header="0.1968503937007874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73">
      <selection activeCell="F204" sqref="F20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Enersource Hydro Mississauga Inc.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5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5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342</v>
      </c>
      <c r="B16" s="125">
        <v>1</v>
      </c>
      <c r="C16" s="259">
        <f>REGINFO!E54</f>
        <v>28239128</v>
      </c>
      <c r="D16" s="17"/>
      <c r="E16" s="267">
        <f>G16-C16</f>
        <v>7157410</v>
      </c>
      <c r="F16" s="3"/>
      <c r="G16" s="267">
        <f>TAXREC!E50</f>
        <v>35396538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23653000</v>
      </c>
      <c r="D20" s="18"/>
      <c r="E20" s="267">
        <f>G20-C20</f>
        <v>2172000</v>
      </c>
      <c r="F20" s="6"/>
      <c r="G20" s="267">
        <f>TAXREC!E61</f>
        <v>25825000</v>
      </c>
      <c r="H20" s="151"/>
    </row>
    <row r="21" spans="1:8" ht="12.75">
      <c r="A21" s="158" t="s">
        <v>56</v>
      </c>
      <c r="B21" s="127">
        <v>3</v>
      </c>
      <c r="C21" s="261">
        <v>3448957</v>
      </c>
      <c r="D21" s="18"/>
      <c r="E21" s="267">
        <f>G21-C21</f>
        <v>-3448957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>
        <v>-185906</v>
      </c>
      <c r="D22" s="18"/>
      <c r="E22" s="267">
        <f>G22-C22</f>
        <v>185906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1877000</v>
      </c>
      <c r="F23" s="6"/>
      <c r="G23" s="267">
        <f>TAXREC!E64</f>
        <v>1877000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1832158</v>
      </c>
      <c r="F28" s="6"/>
      <c r="G28" s="267">
        <f>TAXREC!E67</f>
        <v>1832158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133684</v>
      </c>
      <c r="F29" s="6"/>
      <c r="G29" s="267">
        <f>TAXREC!E68</f>
        <v>133684</v>
      </c>
      <c r="H29" s="151"/>
    </row>
    <row r="30" spans="1:8" ht="15.75">
      <c r="A30" s="477" t="s">
        <v>397</v>
      </c>
      <c r="B30" s="127"/>
      <c r="C30" s="259"/>
      <c r="D30" s="18"/>
      <c r="E30" s="267">
        <f>G30-C30</f>
        <v>20991</v>
      </c>
      <c r="F30" s="6"/>
      <c r="G30" s="267">
        <f>TAXREC!E66</f>
        <v>20991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343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23322350</v>
      </c>
      <c r="D33" s="132"/>
      <c r="E33" s="267">
        <f aca="true" t="shared" si="0" ref="E33:E42">G33-C33</f>
        <v>6031828</v>
      </c>
      <c r="F33" s="6"/>
      <c r="G33" s="267">
        <f>TAXREC!E97+TAXREC!E98</f>
        <v>29354178</v>
      </c>
      <c r="H33" s="151"/>
    </row>
    <row r="34" spans="1:8" ht="12.75">
      <c r="A34" s="158" t="s">
        <v>57</v>
      </c>
      <c r="B34" s="127">
        <v>8</v>
      </c>
      <c r="C34" s="261">
        <v>3448957</v>
      </c>
      <c r="D34" s="132"/>
      <c r="E34" s="267">
        <f t="shared" si="0"/>
        <v>-3448957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14447601.324765204</v>
      </c>
      <c r="D37" s="132"/>
      <c r="E37" s="267">
        <f t="shared" si="0"/>
        <v>3287158.6752347965</v>
      </c>
      <c r="F37" s="6"/>
      <c r="G37" s="267">
        <f>TAXREC!E51</f>
        <v>17734760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1786000</v>
      </c>
      <c r="F39" s="6"/>
      <c r="G39" s="267">
        <f>TAXREC!E105</f>
        <v>1786000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61383</v>
      </c>
      <c r="F45" s="6"/>
      <c r="G45" s="251">
        <f>TAXREC!E131</f>
        <v>61383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3062501</v>
      </c>
      <c r="F46" s="6"/>
      <c r="G46" s="251">
        <f>TAXREC!E110</f>
        <v>3062501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397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13936270.675234795</v>
      </c>
      <c r="D50" s="102"/>
      <c r="E50" s="263">
        <f>E16+SUM(E20:E30)-SUM(E33:E48)</f>
        <v>-849721.6752347965</v>
      </c>
      <c r="F50" s="427" t="s">
        <v>369</v>
      </c>
      <c r="G50" s="263">
        <f>G16+SUM(G20:G30)-SUM(G33:G48)</f>
        <v>13086549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501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68">
        <f>TAXREC!E151</f>
        <v>0.3862</v>
      </c>
      <c r="H53" s="151"/>
      <c r="I53" s="465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5382187.734775677</v>
      </c>
      <c r="D55" s="102"/>
      <c r="E55" s="267">
        <f>G55-C55</f>
        <v>-4885805.2609756775</v>
      </c>
      <c r="F55" s="427" t="s">
        <v>370</v>
      </c>
      <c r="G55" s="264">
        <f>TAXREC!E144</f>
        <v>496382.4737999999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7" t="s">
        <v>370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5382187.734775677</v>
      </c>
      <c r="D60" s="133"/>
      <c r="E60" s="269">
        <f>+E55-E58</f>
        <v>-4885805.2609756775</v>
      </c>
      <c r="F60" s="427" t="s">
        <v>370</v>
      </c>
      <c r="G60" s="269">
        <f>+G55-G58</f>
        <v>496382.4737999999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451388902</v>
      </c>
      <c r="D66" s="102"/>
      <c r="E66" s="267">
        <f>G66-C66</f>
        <v>45407310</v>
      </c>
      <c r="F66" s="6"/>
      <c r="G66" s="470">
        <v>496796212</v>
      </c>
      <c r="H66" s="151"/>
      <c r="I66" s="471" t="s">
        <v>474</v>
      </c>
    </row>
    <row r="67" spans="1:10" ht="12.75">
      <c r="A67" s="486" t="s">
        <v>500</v>
      </c>
      <c r="B67" s="125">
        <v>16</v>
      </c>
      <c r="C67" s="260">
        <f>IF(C66&gt;0,'Tax Rates'!C21,0)</f>
        <v>5000000</v>
      </c>
      <c r="D67" s="102"/>
      <c r="E67" s="267">
        <f>G67-C67</f>
        <v>-205541</v>
      </c>
      <c r="F67" s="6"/>
      <c r="G67" s="470">
        <v>4794459</v>
      </c>
      <c r="H67" s="151"/>
      <c r="I67" s="471" t="s">
        <v>474</v>
      </c>
      <c r="J67" s="484"/>
    </row>
    <row r="68" spans="1:8" ht="12.75">
      <c r="A68" s="152" t="s">
        <v>42</v>
      </c>
      <c r="B68" s="125"/>
      <c r="C68" s="264">
        <f>IF((C66-C67)&gt;0,C66-C67,0)</f>
        <v>446388902</v>
      </c>
      <c r="D68" s="102"/>
      <c r="E68" s="267">
        <f>SUM(E66:E67)</f>
        <v>45201769</v>
      </c>
      <c r="F68" s="114"/>
      <c r="G68" s="264">
        <f>G66-G67</f>
        <v>492001753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6" t="s">
        <v>502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1339166.706</v>
      </c>
      <c r="D72" s="101"/>
      <c r="E72" s="267">
        <f>+G72-C72</f>
        <v>136838.5530000003</v>
      </c>
      <c r="F72" s="472"/>
      <c r="G72" s="264">
        <f>IF(G68&gt;0,G68*G70,0)*REGINFO!$B$6/REGINFO!$B$7</f>
        <v>1476005.2590000003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451388902</v>
      </c>
      <c r="D75" s="102"/>
      <c r="E75" s="267">
        <f>+G75-C75</f>
        <v>51268098</v>
      </c>
      <c r="F75" s="6"/>
      <c r="G75" s="470">
        <v>502657000</v>
      </c>
      <c r="H75" s="151"/>
      <c r="I75" s="471" t="s">
        <v>474</v>
      </c>
    </row>
    <row r="76" spans="1:9" ht="12.75">
      <c r="A76" s="486" t="s">
        <v>500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0">
        <f>'Tax Rates'!C58</f>
        <v>10000000</v>
      </c>
      <c r="H76" s="151"/>
      <c r="I76" s="471" t="s">
        <v>474</v>
      </c>
    </row>
    <row r="77" spans="1:8" ht="12.75">
      <c r="A77" s="152" t="s">
        <v>42</v>
      </c>
      <c r="B77" s="125"/>
      <c r="C77" s="264">
        <f>IF((C75-C76)&gt;0,C75-C76,0)</f>
        <v>441388902</v>
      </c>
      <c r="D77" s="19"/>
      <c r="E77" s="267">
        <f>SUM(E75:E76)</f>
        <v>51268098</v>
      </c>
      <c r="F77" s="114"/>
      <c r="G77" s="264">
        <f>G75-G76</f>
        <v>492657000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993125.0295</v>
      </c>
      <c r="D81" s="102"/>
      <c r="E81" s="267">
        <f>+G81-C81</f>
        <v>115353.22050000005</v>
      </c>
      <c r="F81" s="6"/>
      <c r="G81" s="264">
        <f>G77*G79*B9/B10</f>
        <v>1108478.25</v>
      </c>
      <c r="H81" s="151"/>
    </row>
    <row r="82" spans="1:9" ht="12.75">
      <c r="A82" s="152" t="s">
        <v>319</v>
      </c>
      <c r="B82" s="125">
        <v>21</v>
      </c>
      <c r="C82" s="300">
        <f>IF(C77&gt;0,IF(C60&gt;0,C50*'Tax Rates'!C20,0),0)</f>
        <v>156086.2315626297</v>
      </c>
      <c r="D82" s="102"/>
      <c r="E82" s="267">
        <f>+G82-C82</f>
        <v>-140144.2315626297</v>
      </c>
      <c r="F82" s="6"/>
      <c r="G82" s="470">
        <v>15942</v>
      </c>
      <c r="H82" s="151"/>
      <c r="I82" s="471" t="s">
        <v>474</v>
      </c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837038.7979373703</v>
      </c>
      <c r="D84" s="16"/>
      <c r="E84" s="267">
        <f>E81-E82</f>
        <v>255497.45206262975</v>
      </c>
      <c r="F84" s="103"/>
      <c r="G84" s="264">
        <f>G81-G82</f>
        <v>1092536.25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371</v>
      </c>
      <c r="B90" s="127">
        <v>22</v>
      </c>
      <c r="C90" s="264">
        <f>C60/(1-C88)</f>
        <v>8611500.375641083</v>
      </c>
      <c r="D90" s="20"/>
      <c r="E90" s="139"/>
      <c r="F90" s="426" t="s">
        <v>483</v>
      </c>
      <c r="G90" s="270">
        <f>TAXREC!E157</f>
        <v>496382.4737999999</v>
      </c>
      <c r="H90" s="151"/>
    </row>
    <row r="91" spans="1:8" ht="12.75">
      <c r="A91" s="158" t="s">
        <v>372</v>
      </c>
      <c r="B91" s="127">
        <v>23</v>
      </c>
      <c r="C91" s="264">
        <f>C84/(1-C88)</f>
        <v>1339262.0766997924</v>
      </c>
      <c r="D91" s="20"/>
      <c r="E91" s="139"/>
      <c r="F91" s="426" t="s">
        <v>483</v>
      </c>
      <c r="G91" s="270">
        <f>TAXREC!E159</f>
        <v>1117120</v>
      </c>
      <c r="H91" s="151"/>
    </row>
    <row r="92" spans="1:8" ht="12.75">
      <c r="A92" s="158" t="s">
        <v>351</v>
      </c>
      <c r="B92" s="127">
        <v>24</v>
      </c>
      <c r="C92" s="264">
        <f>C72</f>
        <v>1339166.706</v>
      </c>
      <c r="D92" s="20"/>
      <c r="E92" s="139"/>
      <c r="F92" s="426" t="s">
        <v>483</v>
      </c>
      <c r="G92" s="270">
        <f>TAXREC!E158</f>
        <v>1505900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484</v>
      </c>
      <c r="B95" s="125">
        <v>25</v>
      </c>
      <c r="C95" s="269">
        <f>SUM(C90:C93)</f>
        <v>11289929.158340875</v>
      </c>
      <c r="D95" s="6"/>
      <c r="E95" s="139"/>
      <c r="F95" s="426" t="s">
        <v>483</v>
      </c>
      <c r="G95" s="410">
        <f>SUM(G90:G94)</f>
        <v>3119402.4738</v>
      </c>
      <c r="H95" s="164"/>
    </row>
    <row r="96" spans="1:8" ht="12.75">
      <c r="A96" s="400" t="s">
        <v>308</v>
      </c>
      <c r="B96" s="125"/>
      <c r="C96" s="105"/>
      <c r="D96" s="6"/>
      <c r="E96" s="109"/>
      <c r="F96" s="487"/>
      <c r="G96" s="139" t="s">
        <v>505</v>
      </c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-3448957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185906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1877000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1832158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-3448957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67">
        <f>E206</f>
        <v>66109.4571999982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1786000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3062501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-1019546.4571999982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503</v>
      </c>
      <c r="B122" s="127"/>
      <c r="C122" s="112"/>
      <c r="D122" s="3" t="s">
        <v>231</v>
      </c>
      <c r="E122" s="464">
        <f>+'Tax Rates'!F52</f>
        <v>0.3862</v>
      </c>
      <c r="F122" s="49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-393748.8417706393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-393748.8417706393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355</v>
      </c>
      <c r="B132" s="130"/>
      <c r="C132" s="112"/>
      <c r="D132" s="3"/>
      <c r="E132" s="263">
        <f>E128/(1-E130)</f>
        <v>-629998.1468330228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13936270.675234795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4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5382187.734775677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5382187.734775677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5382187.734775677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451388902</v>
      </c>
      <c r="F151" s="37"/>
      <c r="G151" s="201"/>
      <c r="H151" s="164"/>
    </row>
    <row r="152" spans="1:8" ht="12.75">
      <c r="A152" s="171" t="s">
        <v>361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446388902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362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1339166.706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1339166.706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451388902</v>
      </c>
      <c r="F162" s="37"/>
      <c r="G162" s="201"/>
      <c r="H162" s="164"/>
    </row>
    <row r="163" spans="1:8" ht="12.75">
      <c r="A163" s="171" t="s">
        <v>360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441388902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993125.0295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156086.2315626297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837038.7979373703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1" t="s">
        <v>350</v>
      </c>
      <c r="B172" s="130"/>
      <c r="C172" s="112"/>
      <c r="D172" s="118" t="s">
        <v>188</v>
      </c>
      <c r="E172" s="305">
        <f>C84</f>
        <v>837038.7979373703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64">
        <f>IF((E120+G50)&gt;'Tax Rates'!E47,'Tax Rates'!F52-1.12%,IF((E120+G50)&gt;'Tax Rates'!D47,'Tax Rates'!E52-1.12%,IF((E120+G50)&gt;'Tax Rates'!C47,'Tax Rates'!D52,'Tax Rates'!C52-1.12%)))</f>
        <v>0.375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356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493">
        <f>E132</f>
        <v>-629998.1468330228</v>
      </c>
      <c r="F183" s="491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357</v>
      </c>
      <c r="B185" s="130"/>
      <c r="C185" s="112"/>
      <c r="D185" s="119" t="s">
        <v>189</v>
      </c>
      <c r="E185" s="302">
        <f>E181+E183</f>
        <v>-629998.1468330228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18687500.5428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14447601.324765204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344</v>
      </c>
      <c r="B196" s="127"/>
      <c r="C196" s="112"/>
      <c r="D196" s="120"/>
      <c r="E196" s="308">
        <f>E193-E194</f>
        <v>4239899.218034798</v>
      </c>
      <c r="F196" s="3"/>
      <c r="G196" s="123"/>
      <c r="H196" s="164"/>
    </row>
    <row r="197" spans="1:8" ht="12.75">
      <c r="A197" s="155" t="s">
        <v>345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9"/>
      <c r="H200" s="164"/>
    </row>
    <row r="201" spans="1:8" ht="12.75">
      <c r="A201" s="155" t="s">
        <v>252</v>
      </c>
      <c r="B201" s="127"/>
      <c r="C201" s="112"/>
      <c r="D201" s="120"/>
      <c r="E201" s="308">
        <v>18753610</v>
      </c>
      <c r="F201" s="497" t="s">
        <v>509</v>
      </c>
      <c r="G201" s="479"/>
      <c r="H201" s="164"/>
    </row>
    <row r="202" spans="1:8" ht="12.75">
      <c r="A202" s="155" t="s">
        <v>346</v>
      </c>
      <c r="B202" s="127"/>
      <c r="C202" s="112"/>
      <c r="D202" s="120"/>
      <c r="E202" s="308">
        <f>REGINFO!D62</f>
        <v>18687500.5428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66109.4571999982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66">
        <f>IF((E201-E202)&gt;0,E201-E202,0)</f>
        <v>66109.4571999982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4173789.7608348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horizontalCentered="1" verticalCentered="1"/>
  <pageMargins left="0.7480314960629921" right="0.2362204724409449" top="0.8267716535433072" bottom="0.35433070866141736" header="0.1968503937007874" footer="0"/>
  <pageSetup horizontalDpi="600" verticalDpi="600" orientation="portrait" scale="65" r:id="rId1"/>
  <headerFooter alignWithMargins="0">
    <oddFooter>&amp;C&amp;A&amp;RPage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4"/>
  <sheetViews>
    <sheetView showGridLines="0" workbookViewId="0" topLeftCell="A97">
      <selection activeCell="G60" sqref="G6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Enersource Hydro Mississauga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Ratebase*REGINFO!D33*0.25%</f>
        <v>451388.90200000006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 t="s">
        <v>492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328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259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223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326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327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566332692</v>
      </c>
      <c r="D31" s="286"/>
      <c r="E31" s="284">
        <f>C31-D31</f>
        <v>566332692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84588337</v>
      </c>
      <c r="D32" s="286"/>
      <c r="E32" s="284">
        <f>C32-D32</f>
        <v>84588337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2598724</v>
      </c>
      <c r="D33" s="286"/>
      <c r="E33" s="284">
        <f>C33-D33</f>
        <v>2598724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7895135</v>
      </c>
      <c r="D34" s="286"/>
      <c r="E34" s="284">
        <f>C34-D34</f>
        <v>7895135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566332692</v>
      </c>
      <c r="D39" s="286"/>
      <c r="E39" s="284">
        <f>C39-D39</f>
        <v>566332692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32461801</v>
      </c>
      <c r="D42" s="286"/>
      <c r="E42" s="284">
        <f t="shared" si="0"/>
        <v>32461801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25825284</v>
      </c>
      <c r="D43" s="286"/>
      <c r="E43" s="284">
        <f t="shared" si="0"/>
        <v>25825284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1398573</v>
      </c>
      <c r="D44" s="286"/>
      <c r="E44" s="284">
        <f t="shared" si="0"/>
        <v>1398573</v>
      </c>
      <c r="F44" s="11"/>
      <c r="G44" s="11"/>
      <c r="H44" s="6"/>
      <c r="I44" s="6"/>
    </row>
    <row r="45" spans="1:11" ht="12.75">
      <c r="A45" s="4" t="s">
        <v>489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35396538</v>
      </c>
      <c r="D50" s="281">
        <f>SUM(D31:D36)-SUM(D39:D49)</f>
        <v>0</v>
      </c>
      <c r="E50" s="281">
        <f>SUM(E31:E35)-SUM(E39:E48)</f>
        <v>35396538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17734760</v>
      </c>
      <c r="D51" s="285"/>
      <c r="E51" s="282">
        <f>+C51-D51</f>
        <v>17734760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1794778</v>
      </c>
      <c r="D52" s="285"/>
      <c r="E52" s="283">
        <f>+C52-D52</f>
        <v>1794778</v>
      </c>
      <c r="F52" s="8"/>
    </row>
    <row r="53" spans="1:6" ht="12.75">
      <c r="A53" s="2" t="s">
        <v>131</v>
      </c>
      <c r="B53" s="8" t="s">
        <v>189</v>
      </c>
      <c r="C53" s="281">
        <f>C50-C51-C52</f>
        <v>15867000</v>
      </c>
      <c r="D53" s="281">
        <f>D50-D51-D52</f>
        <v>0</v>
      </c>
      <c r="E53" s="281">
        <f>E50-E51-E52</f>
        <v>15867000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v>1795000</v>
      </c>
      <c r="D59" s="287">
        <f>D52</f>
        <v>0</v>
      </c>
      <c r="E59" s="272">
        <f>+C59-D59</f>
        <v>1795000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317">
        <v>25825000</v>
      </c>
      <c r="D61" s="287">
        <f>D43</f>
        <v>0</v>
      </c>
      <c r="E61" s="272">
        <f>+C61-D61</f>
        <v>25825000</v>
      </c>
      <c r="F61" s="8"/>
      <c r="G61" s="412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1877000</v>
      </c>
      <c r="D64" s="316">
        <f>'Tax Reserves'!D63</f>
        <v>0</v>
      </c>
      <c r="E64" s="272">
        <f>+C64-D64</f>
        <v>1877000</v>
      </c>
      <c r="F64" s="8"/>
    </row>
    <row r="65" spans="1:6" ht="12.75">
      <c r="A65" t="s">
        <v>446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2" t="s">
        <v>397</v>
      </c>
      <c r="B66" s="8"/>
      <c r="C66" s="441">
        <f>'TAXREC 3 No True-up'!C47</f>
        <v>20991</v>
      </c>
      <c r="D66" s="441">
        <f>'TAXREC 3 No True-up'!D47</f>
        <v>0</v>
      </c>
      <c r="E66" s="272">
        <f>+C66-D66</f>
        <v>20991</v>
      </c>
      <c r="F66" s="8"/>
    </row>
    <row r="67" spans="1:6" ht="12.75">
      <c r="A67" t="s">
        <v>160</v>
      </c>
      <c r="B67" s="8" t="s">
        <v>187</v>
      </c>
      <c r="C67" s="251">
        <f>'TAXREC 2'!C77</f>
        <v>1832158</v>
      </c>
      <c r="D67" s="251">
        <f>'TAXREC 2'!D77</f>
        <v>0</v>
      </c>
      <c r="E67" s="272">
        <f>+C67-D67</f>
        <v>1832158</v>
      </c>
      <c r="F67" s="8"/>
    </row>
    <row r="68" spans="1:11" ht="12.75">
      <c r="A68" t="s">
        <v>161</v>
      </c>
      <c r="B68" s="8" t="s">
        <v>187</v>
      </c>
      <c r="C68" s="251">
        <f>'TAXREC 2'!C78</f>
        <v>133684</v>
      </c>
      <c r="D68" s="251">
        <f>'TAXREC 2'!D78</f>
        <v>0</v>
      </c>
      <c r="E68" s="272">
        <f>+C68-D68</f>
        <v>133684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31483833</v>
      </c>
      <c r="D70" s="272">
        <f>SUM(D59:D68)</f>
        <v>0</v>
      </c>
      <c r="E70" s="272">
        <f>SUM(E59:E68)</f>
        <v>31483833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3"/>
      <c r="D76" s="294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31483833</v>
      </c>
      <c r="D82" s="251">
        <f>D70+D80</f>
        <v>0</v>
      </c>
      <c r="E82" s="251">
        <f>E70+E80</f>
        <v>31483833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434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27257965</v>
      </c>
      <c r="D97" s="294"/>
      <c r="E97" s="272">
        <f>+C97-D97</f>
        <v>27257965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2096213</v>
      </c>
      <c r="D98" s="294"/>
      <c r="E98" s="272">
        <f>+C98-D98</f>
        <v>2096213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1786000</v>
      </c>
      <c r="D105" s="318">
        <f>'Tax Reserves'!D50</f>
        <v>0</v>
      </c>
      <c r="E105" s="282">
        <f t="shared" si="5"/>
        <v>1786000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397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3062501</v>
      </c>
      <c r="D110" s="251">
        <f>'TAXREC 2'!D119</f>
        <v>0</v>
      </c>
      <c r="E110" s="251">
        <f>'TAXREC 2'!E119</f>
        <v>3062501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34202679</v>
      </c>
      <c r="D113" s="251">
        <f>SUM(D97:D111)</f>
        <v>0</v>
      </c>
      <c r="E113" s="251">
        <f>SUM(E97:E111)</f>
        <v>34202679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>
        <v>61383</v>
      </c>
      <c r="D116" s="294"/>
      <c r="E116" s="272">
        <f>+C116-D116</f>
        <v>61383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61383</v>
      </c>
      <c r="D120" s="251">
        <f>SUM(D114:D119)</f>
        <v>0</v>
      </c>
      <c r="E120" s="251">
        <f>SUM(E114:E119)</f>
        <v>61383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34264062</v>
      </c>
      <c r="D122" s="251">
        <f>D113+D120</f>
        <v>0</v>
      </c>
      <c r="E122" s="251">
        <f>+E113+E120</f>
        <v>34264062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61383</v>
      </c>
      <c r="D131" s="251">
        <f>D120-D130</f>
        <v>0</v>
      </c>
      <c r="E131" s="251">
        <f>E120-E130</f>
        <v>61383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61383</v>
      </c>
      <c r="D132" s="251">
        <f>D130+D131</f>
        <v>0</v>
      </c>
      <c r="E132" s="251">
        <f>E130+E131</f>
        <v>61383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13086771</v>
      </c>
      <c r="D134" s="251">
        <f>D53+D82-D122</f>
        <v>0</v>
      </c>
      <c r="E134" s="251">
        <f>E53+E82-E122</f>
        <v>13086771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377</v>
      </c>
      <c r="B136" s="8" t="s">
        <v>188</v>
      </c>
      <c r="C136" s="294">
        <v>11801472</v>
      </c>
      <c r="D136" s="294"/>
      <c r="E136" s="264">
        <f>C136-D136</f>
        <v>11801472</v>
      </c>
      <c r="F136" s="8"/>
      <c r="G136" s="45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1285299</v>
      </c>
      <c r="D139" s="252">
        <f>D134-D136-D137-D138</f>
        <v>0</v>
      </c>
      <c r="E139" s="252">
        <f>E134-E136-E137-E138</f>
        <v>1285299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>
        <v>335720.0987999999</v>
      </c>
      <c r="D142" s="298"/>
      <c r="E142" s="252">
        <f>C142-D142</f>
        <v>335720.0987999999</v>
      </c>
      <c r="F142" s="8"/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>
        <v>160662.375</v>
      </c>
      <c r="D143" s="298"/>
      <c r="E143" s="292">
        <f>C143-D143</f>
        <v>160662.375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496382.4737999999</v>
      </c>
      <c r="D144" s="252">
        <f>D142+D143</f>
        <v>0</v>
      </c>
      <c r="E144" s="252">
        <f>E142+E143</f>
        <v>496382.4737999999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496382.4737999999</v>
      </c>
      <c r="D146" s="252">
        <f>D144-D145</f>
        <v>0</v>
      </c>
      <c r="E146" s="252">
        <f>E144-E145</f>
        <v>496382.4737999999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1">
        <f>+'Tax Rates'!F50</f>
        <v>0.2612</v>
      </c>
      <c r="D149" s="5"/>
      <c r="E149" s="402">
        <f>C149</f>
        <v>0.2612</v>
      </c>
      <c r="F149" s="8"/>
      <c r="G149" s="45"/>
      <c r="H149" s="45"/>
      <c r="I149" s="45"/>
      <c r="J149" s="45"/>
      <c r="K149" s="45"/>
    </row>
    <row r="150" spans="1:11" ht="12.75">
      <c r="A150" s="46" t="s">
        <v>332</v>
      </c>
      <c r="B150" s="8"/>
      <c r="C150" s="401">
        <f>+'Tax Rates'!F51</f>
        <v>0.125</v>
      </c>
      <c r="D150" s="5"/>
      <c r="E150" s="402">
        <f>C150</f>
        <v>0.125</v>
      </c>
      <c r="F150" s="8"/>
      <c r="G150" s="45"/>
      <c r="H150" s="45"/>
      <c r="I150" s="45"/>
      <c r="J150" s="45"/>
      <c r="K150" s="45"/>
    </row>
    <row r="151" spans="1:11" ht="12.75">
      <c r="A151" t="s">
        <v>333</v>
      </c>
      <c r="B151" s="8"/>
      <c r="C151" s="402">
        <f>SUM(C149:C150)</f>
        <v>0.3862</v>
      </c>
      <c r="D151" s="478" t="s">
        <v>485</v>
      </c>
      <c r="E151" s="402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485"/>
      <c r="D152" s="478"/>
      <c r="E152" s="485"/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359</v>
      </c>
      <c r="B154" s="8"/>
    </row>
    <row r="155" spans="1:2" ht="12.75">
      <c r="A155" s="14"/>
      <c r="B155" s="8"/>
    </row>
    <row r="156" spans="1:2" ht="12.75">
      <c r="A156" s="2" t="s">
        <v>482</v>
      </c>
      <c r="B156" s="8"/>
    </row>
    <row r="157" spans="1:5" ht="12.75">
      <c r="A157" t="s">
        <v>219</v>
      </c>
      <c r="B157" s="86" t="s">
        <v>187</v>
      </c>
      <c r="C157" s="251">
        <f>C146</f>
        <v>496382.4737999999</v>
      </c>
      <c r="D157" s="251">
        <f>D146</f>
        <v>0</v>
      </c>
      <c r="E157" s="251">
        <f>E146</f>
        <v>496382.4737999999</v>
      </c>
    </row>
    <row r="158" spans="1:5" ht="12.75">
      <c r="A158" t="s">
        <v>20</v>
      </c>
      <c r="B158" s="86" t="s">
        <v>187</v>
      </c>
      <c r="C158" s="475">
        <v>1505900</v>
      </c>
      <c r="D158" s="251"/>
      <c r="E158" s="251">
        <f>C158+D158</f>
        <v>1505900</v>
      </c>
    </row>
    <row r="159" spans="1:5" ht="12.75">
      <c r="A159" t="s">
        <v>218</v>
      </c>
      <c r="B159" s="86" t="s">
        <v>187</v>
      </c>
      <c r="C159" s="475">
        <v>1117120</v>
      </c>
      <c r="D159" s="251"/>
      <c r="E159" s="251">
        <f>C159+D159</f>
        <v>1117120</v>
      </c>
    </row>
    <row r="160" ht="12.75">
      <c r="B160" s="8"/>
    </row>
    <row r="161" spans="1:5" ht="12.75">
      <c r="A161" s="2" t="s">
        <v>303</v>
      </c>
      <c r="B161" s="66" t="s">
        <v>189</v>
      </c>
      <c r="C161" s="251">
        <f>C157+C158+C159</f>
        <v>3119402.4738</v>
      </c>
      <c r="D161" s="251">
        <f>D157+D158+D159</f>
        <v>0</v>
      </c>
      <c r="E161" s="251">
        <f>E157+E158+E159</f>
        <v>3119402.4738</v>
      </c>
    </row>
    <row r="162" ht="12.75">
      <c r="C162" s="85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horizontalCentered="1" verticalCentered="1"/>
  <pageMargins left="0.7480314960629921" right="0.2362204724409449" top="0.9448818897637796" bottom="0.35433070866141736" header="0.1968503937007874" footer="0"/>
  <pageSetup fitToHeight="2" horizontalDpi="600" verticalDpi="600" orientation="portrait" scale="55" r:id="rId1"/>
  <headerFooter alignWithMargins="0">
    <oddFooter>&amp;C&amp;A&amp;RPage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Enersource Hydro Mississauga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494</v>
      </c>
      <c r="B47" s="61"/>
      <c r="C47" s="294">
        <v>1786000</v>
      </c>
      <c r="D47" s="294"/>
      <c r="E47" s="251">
        <f t="shared" si="2"/>
        <v>1786000</v>
      </c>
    </row>
    <row r="48" spans="1:5" ht="12.75">
      <c r="A48" s="61" t="s">
        <v>451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1786000</v>
      </c>
      <c r="D50" s="251">
        <f>SUM(D41:D49)</f>
        <v>0</v>
      </c>
      <c r="E50" s="251">
        <f>SUM(E41:E49)</f>
        <v>1786000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494</v>
      </c>
      <c r="B59" s="61"/>
      <c r="C59" s="294">
        <v>1877000</v>
      </c>
      <c r="D59" s="294"/>
      <c r="E59" s="251">
        <f t="shared" si="3"/>
        <v>1877000</v>
      </c>
    </row>
    <row r="60" spans="1:5" ht="12.75">
      <c r="A60" s="61" t="s">
        <v>451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1877000</v>
      </c>
      <c r="D63" s="251">
        <f>SUM(D53:D61)</f>
        <v>0</v>
      </c>
      <c r="E63" s="251">
        <f>SUM(E53:E61)</f>
        <v>1877000</v>
      </c>
    </row>
  </sheetData>
  <sheetProtection/>
  <printOptions horizontalCentered="1" verticalCentered="1"/>
  <pageMargins left="0.7480314960629921" right="0.2362204724409449" top="1.17" bottom="0.35433070866141736" header="0.1968503937007874" footer="0"/>
  <pageSetup horizontalDpi="600" verticalDpi="600" orientation="portrait" scale="70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139"/>
  <sheetViews>
    <sheetView zoomScalePageLayoutView="0" workbookViewId="0" topLeftCell="A1">
      <pane xSplit="1" ySplit="6" topLeftCell="B5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45" sqref="I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468</v>
      </c>
      <c r="B5" s="8"/>
      <c r="C5" s="8" t="s">
        <v>2</v>
      </c>
      <c r="D5" s="8"/>
      <c r="E5" s="8"/>
      <c r="F5" s="8"/>
    </row>
    <row r="6" spans="1:6" ht="12.75">
      <c r="A6" s="412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Enersource Hydro Mississauga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451388.90200000006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452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477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83" t="s">
        <v>495</v>
      </c>
      <c r="B41" t="s">
        <v>187</v>
      </c>
      <c r="C41" s="294">
        <v>433585</v>
      </c>
      <c r="D41" s="294"/>
      <c r="E41" s="251">
        <f t="shared" si="0"/>
        <v>433585</v>
      </c>
    </row>
    <row r="42" spans="1:5" ht="12.75">
      <c r="A42" s="483" t="s">
        <v>496</v>
      </c>
      <c r="B42" t="s">
        <v>187</v>
      </c>
      <c r="C42" s="294">
        <v>1398573</v>
      </c>
      <c r="D42" s="294"/>
      <c r="E42" s="251">
        <f t="shared" si="0"/>
        <v>1398573</v>
      </c>
    </row>
    <row r="43" spans="1:8" ht="12.75">
      <c r="A43" s="483" t="s">
        <v>506</v>
      </c>
      <c r="B43" t="s">
        <v>187</v>
      </c>
      <c r="C43" s="294">
        <v>116264</v>
      </c>
      <c r="D43" s="294"/>
      <c r="E43" s="251">
        <f t="shared" si="0"/>
        <v>116264</v>
      </c>
      <c r="H43" s="496">
        <f>C43+C44</f>
        <v>133684</v>
      </c>
    </row>
    <row r="44" spans="1:5" ht="12.75">
      <c r="A44" s="483" t="s">
        <v>507</v>
      </c>
      <c r="B44" t="s">
        <v>187</v>
      </c>
      <c r="C44" s="294">
        <v>17420</v>
      </c>
      <c r="D44" s="294"/>
      <c r="E44" s="251">
        <f t="shared" si="0"/>
        <v>17420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1965842</v>
      </c>
      <c r="D46" s="251">
        <f>SUM(D17:D45)</f>
        <v>0</v>
      </c>
      <c r="E46" s="251">
        <f>SUM(E17:E45)</f>
        <v>1965842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>+A41&amp;" (to prevent mis-match)"</f>
        <v>Amortization of debt issue costs (to prevent mis-match)</v>
      </c>
      <c r="B72" s="273"/>
      <c r="C72" s="251">
        <f>+C41</f>
        <v>433585</v>
      </c>
      <c r="D72" s="251">
        <f>+D41</f>
        <v>0</v>
      </c>
      <c r="E72" s="251">
        <f>+E41</f>
        <v>433585</v>
      </c>
    </row>
    <row r="73" spans="1:5" ht="12.75">
      <c r="A73" s="275" t="str">
        <f t="shared" si="4"/>
        <v>Capital tax expense per accounts</v>
      </c>
      <c r="B73" s="273"/>
      <c r="C73" s="251">
        <f t="shared" si="3"/>
        <v>1398573</v>
      </c>
      <c r="D73" s="251">
        <f t="shared" si="3"/>
        <v>0</v>
      </c>
      <c r="E73" s="251">
        <f t="shared" si="3"/>
        <v>1398573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1832158</v>
      </c>
      <c r="D77" s="251">
        <f>SUM(D49:D75)</f>
        <v>0</v>
      </c>
      <c r="E77" s="251">
        <f>SUM(E49:E75)</f>
        <v>1832158</v>
      </c>
    </row>
    <row r="78" spans="1:7" ht="12.75">
      <c r="A78" s="276" t="s">
        <v>203</v>
      </c>
      <c r="B78" s="277"/>
      <c r="C78" s="314">
        <f>C46-C77</f>
        <v>133684</v>
      </c>
      <c r="D78" s="314">
        <f>D46-D77</f>
        <v>0</v>
      </c>
      <c r="E78" s="314">
        <f>E46-E77</f>
        <v>133684</v>
      </c>
      <c r="G78" s="494"/>
    </row>
    <row r="79" spans="1:5" ht="12.75">
      <c r="A79" s="276" t="s">
        <v>170</v>
      </c>
      <c r="B79" s="277"/>
      <c r="C79" s="314">
        <f>C77+C78</f>
        <v>1965842</v>
      </c>
      <c r="D79" s="314">
        <f>D77+D78</f>
        <v>0</v>
      </c>
      <c r="E79" s="314">
        <f>E77+E78</f>
        <v>1965842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379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83" t="s">
        <v>497</v>
      </c>
      <c r="B92" s="8" t="s">
        <v>188</v>
      </c>
      <c r="C92" s="294">
        <v>1476005</v>
      </c>
      <c r="D92" s="294"/>
      <c r="E92" s="251">
        <f t="shared" si="5"/>
        <v>1476005</v>
      </c>
    </row>
    <row r="93" spans="1:5" ht="12.75">
      <c r="A93" s="483" t="s">
        <v>498</v>
      </c>
      <c r="B93" s="8" t="s">
        <v>188</v>
      </c>
      <c r="C93" s="294">
        <v>867928</v>
      </c>
      <c r="D93" s="294"/>
      <c r="E93" s="251">
        <f t="shared" si="5"/>
        <v>867928</v>
      </c>
    </row>
    <row r="94" spans="1:9" ht="12.75">
      <c r="A94" s="483" t="s">
        <v>499</v>
      </c>
      <c r="B94" s="8" t="s">
        <v>188</v>
      </c>
      <c r="C94" s="294">
        <v>718568</v>
      </c>
      <c r="D94" s="294"/>
      <c r="E94" s="251">
        <f t="shared" si="5"/>
        <v>718568</v>
      </c>
      <c r="G94" s="495" t="s">
        <v>508</v>
      </c>
      <c r="H94" s="495"/>
      <c r="I94" s="495"/>
    </row>
    <row r="95" spans="1:5" ht="12.75">
      <c r="A95" s="68"/>
      <c r="B95" s="8" t="s">
        <v>188</v>
      </c>
      <c r="C95" s="294"/>
      <c r="D95" s="294"/>
      <c r="E95" s="251">
        <f t="shared" si="5"/>
        <v>0</v>
      </c>
    </row>
    <row r="96" spans="1:5" ht="12.75">
      <c r="A96" s="67"/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3062501</v>
      </c>
      <c r="D99" s="251">
        <f>SUM(D82:D98)</f>
        <v>0</v>
      </c>
      <c r="E99" s="251">
        <f>SUM(E82:E98)</f>
        <v>3062501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IF($E92&gt;$C$11,A92," ")</f>
        <v>Ontario Capital Tax Deduction per Return</v>
      </c>
      <c r="B112" s="273"/>
      <c r="C112" s="251">
        <f t="shared" si="7"/>
        <v>1476005</v>
      </c>
      <c r="D112" s="251">
        <f t="shared" si="7"/>
        <v>0</v>
      </c>
      <c r="E112" s="251">
        <f t="shared" si="7"/>
        <v>1476005</v>
      </c>
    </row>
    <row r="113" spans="1:5" ht="12.75">
      <c r="A113" s="275" t="str">
        <f>IF($E93&gt;$C$11,A93," ")</f>
        <v>Debt issuance costs s.20(1)(e)</v>
      </c>
      <c r="B113" s="273"/>
      <c r="C113" s="251">
        <f t="shared" si="7"/>
        <v>867928</v>
      </c>
      <c r="D113" s="251">
        <f t="shared" si="7"/>
        <v>0</v>
      </c>
      <c r="E113" s="251">
        <f t="shared" si="7"/>
        <v>867928</v>
      </c>
    </row>
    <row r="114" spans="1:5" ht="12.75">
      <c r="A114" s="275" t="str">
        <f>IF($E94&gt;$C$11,A94," ")</f>
        <v>Ministry of Finance - Audit Adjustment</v>
      </c>
      <c r="B114" s="273"/>
      <c r="C114" s="251">
        <f t="shared" si="7"/>
        <v>718568</v>
      </c>
      <c r="D114" s="251">
        <f t="shared" si="7"/>
        <v>0</v>
      </c>
      <c r="E114" s="251">
        <f t="shared" si="7"/>
        <v>718568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3062501</v>
      </c>
      <c r="D119" s="251">
        <f>SUM(D102:D118)</f>
        <v>0</v>
      </c>
      <c r="E119" s="251">
        <f>SUM(E102:E118)</f>
        <v>3062501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3062501</v>
      </c>
      <c r="D121" s="251">
        <f>D119+D120</f>
        <v>0</v>
      </c>
      <c r="E121" s="251">
        <f>E119+E120</f>
        <v>3062501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horizontalCentered="1" verticalCentered="1"/>
  <pageMargins left="0.7480314960629921" right="0.2362204724409449" top="0.6692913385826772" bottom="0.35433070866141736" header="0.1968503937007874" footer="0"/>
  <pageSetup fitToHeight="2" horizontalDpi="600" verticalDpi="600" orientation="portrait" scale="65" r:id="rId1"/>
  <headerFooter alignWithMargins="0">
    <oddFooter>&amp;C&amp;A&amp;RPage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2" t="s">
        <v>387</v>
      </c>
      <c r="E3" s="92"/>
    </row>
    <row r="4" spans="1:6" ht="15.75">
      <c r="A4" s="459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Enersource Hydro Mississauga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390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393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394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440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392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391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435</v>
      </c>
      <c r="B32" t="s">
        <v>187</v>
      </c>
      <c r="C32" s="295">
        <v>20991</v>
      </c>
      <c r="D32" s="295"/>
      <c r="E32" s="312">
        <f t="shared" si="0"/>
        <v>20991</v>
      </c>
    </row>
    <row r="33" spans="1:5" ht="12.75">
      <c r="A33" s="67" t="s">
        <v>436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454</v>
      </c>
      <c r="C35" s="295"/>
      <c r="D35" s="295"/>
      <c r="E35" s="312">
        <f t="shared" si="0"/>
        <v>0</v>
      </c>
    </row>
    <row r="36" spans="1:5" ht="12.75">
      <c r="A36" s="67" t="s">
        <v>437</v>
      </c>
      <c r="C36" s="295"/>
      <c r="D36" s="295"/>
      <c r="E36" s="312">
        <f t="shared" si="0"/>
        <v>0</v>
      </c>
    </row>
    <row r="37" spans="1:5" ht="12.75">
      <c r="A37" s="67" t="s">
        <v>438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395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389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4" t="s">
        <v>399</v>
      </c>
      <c r="B47" t="s">
        <v>189</v>
      </c>
      <c r="C47" s="251">
        <f>SUM(C19:C46)</f>
        <v>20991</v>
      </c>
      <c r="D47" s="251">
        <f>SUM(D19:D46)</f>
        <v>0</v>
      </c>
      <c r="E47" s="251">
        <f>SUM(E19:E46)</f>
        <v>20991</v>
      </c>
    </row>
    <row r="48" ht="12.75">
      <c r="A48" s="67"/>
    </row>
    <row r="49" ht="12.75">
      <c r="A49" s="81" t="s">
        <v>145</v>
      </c>
    </row>
    <row r="51" spans="1:5" ht="12.75">
      <c r="A51" s="71" t="s">
        <v>390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391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439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3" t="s">
        <v>396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3" t="s">
        <v>389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3" t="s">
        <v>398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horizontalCentered="1" verticalCentered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1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A2" sqref="A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1.4218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Enersource Hydro Mississauga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7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6" t="s">
        <v>486</v>
      </c>
      <c r="B8" s="507"/>
      <c r="C8" s="507"/>
      <c r="D8" s="507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470</v>
      </c>
      <c r="B10" s="326"/>
      <c r="C10" s="375" t="s">
        <v>111</v>
      </c>
      <c r="D10" s="375"/>
      <c r="E10" s="375" t="s">
        <v>111</v>
      </c>
      <c r="F10" s="376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6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3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4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0" t="s">
        <v>488</v>
      </c>
      <c r="B23" s="501"/>
      <c r="C23" s="501"/>
      <c r="D23" s="501"/>
      <c r="E23" s="501"/>
      <c r="F23" s="501"/>
      <c r="G23" s="433"/>
      <c r="H23" s="416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8"/>
      <c r="B24" s="409"/>
      <c r="C24" s="409"/>
      <c r="D24" s="409"/>
      <c r="E24" s="409"/>
      <c r="F24" s="409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7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8" t="s">
        <v>481</v>
      </c>
      <c r="B26" s="509"/>
      <c r="C26" s="509"/>
      <c r="D26" s="509"/>
      <c r="E26" s="509"/>
      <c r="F26" s="50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443</v>
      </c>
      <c r="B28" s="326"/>
      <c r="C28" s="369" t="s">
        <v>111</v>
      </c>
      <c r="D28" s="369"/>
      <c r="E28" s="369" t="s">
        <v>111</v>
      </c>
      <c r="F28" s="370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6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6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6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6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6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6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6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478</v>
      </c>
      <c r="B39" s="403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479</v>
      </c>
      <c r="B40" s="404" t="s">
        <v>473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2" t="s">
        <v>337</v>
      </c>
      <c r="B41" s="501"/>
      <c r="C41" s="501"/>
      <c r="D41" s="501"/>
      <c r="E41" s="501"/>
      <c r="F41" s="50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3"/>
      <c r="B42" s="503"/>
      <c r="C42" s="503"/>
      <c r="D42" s="503"/>
      <c r="E42" s="503"/>
      <c r="F42" s="50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7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5" t="s">
        <v>480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487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6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0">
        <v>0.2612</v>
      </c>
      <c r="I50" s="480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0">
        <v>0.125</v>
      </c>
      <c r="I51" s="480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0">
        <f>+H51+H50</f>
        <v>0.3862</v>
      </c>
      <c r="I52" s="480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352</v>
      </c>
      <c r="B57" s="403" t="s">
        <v>472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353</v>
      </c>
      <c r="B58" s="404" t="s">
        <v>473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0" t="s">
        <v>354</v>
      </c>
      <c r="B59" s="504"/>
      <c r="C59" s="504"/>
      <c r="D59" s="504"/>
      <c r="E59" s="504"/>
      <c r="F59" s="50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5"/>
      <c r="B60" s="505"/>
      <c r="C60" s="505"/>
      <c r="D60" s="505"/>
      <c r="E60" s="505"/>
      <c r="F60" s="50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horizontalCentered="1" verticalCentered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6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Enersource Hydro Mississauga Inc.</v>
      </c>
      <c r="O3" s="413" t="str">
        <f>REGINFO!E1</f>
        <v>Version 2009.1</v>
      </c>
    </row>
    <row r="4" spans="1:15" ht="12.75">
      <c r="A4" s="2" t="str">
        <f>REGINFO!A4</f>
        <v>Reporting period:  2002</v>
      </c>
      <c r="E4" s="414" t="s">
        <v>323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488" t="s">
        <v>105</v>
      </c>
      <c r="B11" s="86" t="s">
        <v>189</v>
      </c>
      <c r="C11" s="415">
        <v>0</v>
      </c>
      <c r="D11" s="415"/>
      <c r="E11" s="415">
        <f>C22</f>
        <v>4262606</v>
      </c>
      <c r="F11" s="415"/>
      <c r="G11" s="415">
        <f>E22</f>
        <v>3053167.158340875</v>
      </c>
      <c r="H11" s="415"/>
      <c r="I11" s="415">
        <f>G22</f>
        <v>2423169.011507852</v>
      </c>
      <c r="J11" s="415"/>
      <c r="K11" s="415">
        <f>I22</f>
        <v>2423169.011507852</v>
      </c>
      <c r="L11" s="415"/>
      <c r="M11" s="415">
        <f>K22</f>
        <v>2423169.011507852</v>
      </c>
      <c r="N11" s="415"/>
      <c r="O11" s="415">
        <f>C11</f>
        <v>0</v>
      </c>
    </row>
    <row r="12" spans="1:15" ht="27" customHeight="1">
      <c r="A12" s="488" t="s">
        <v>400</v>
      </c>
      <c r="B12" s="489" t="s">
        <v>190</v>
      </c>
      <c r="C12" s="415">
        <v>4238236</v>
      </c>
      <c r="D12" s="95"/>
      <c r="E12" s="415">
        <f>+TAXCALC!C95</f>
        <v>11289929.158340875</v>
      </c>
      <c r="F12" s="95"/>
      <c r="G12" s="415"/>
      <c r="H12" s="95"/>
      <c r="I12" s="415"/>
      <c r="J12" s="95"/>
      <c r="K12" s="415"/>
      <c r="L12" s="95"/>
      <c r="M12" s="415"/>
      <c r="N12" s="95"/>
      <c r="O12" s="415">
        <f aca="true" t="shared" si="0" ref="O12:O20">SUM(C12:N12)</f>
        <v>15528165.158340875</v>
      </c>
    </row>
    <row r="13" spans="1:15" ht="27" customHeight="1">
      <c r="A13" s="488" t="s">
        <v>442</v>
      </c>
      <c r="B13" s="489"/>
      <c r="C13" s="415"/>
      <c r="D13" s="95"/>
      <c r="E13" s="415"/>
      <c r="F13" s="95"/>
      <c r="G13" s="415"/>
      <c r="H13" s="95"/>
      <c r="I13" s="415"/>
      <c r="J13" s="95"/>
      <c r="K13" s="415"/>
      <c r="L13" s="95"/>
      <c r="M13" s="415"/>
      <c r="N13" s="95"/>
      <c r="O13" s="415">
        <f t="shared" si="0"/>
        <v>0</v>
      </c>
    </row>
    <row r="14" spans="1:15" ht="38.25" customHeight="1">
      <c r="A14" s="488" t="s">
        <v>401</v>
      </c>
      <c r="B14" s="489" t="s">
        <v>190</v>
      </c>
      <c r="C14" s="415"/>
      <c r="D14" s="95"/>
      <c r="E14" s="415">
        <v>541142</v>
      </c>
      <c r="F14" s="95"/>
      <c r="G14" s="415"/>
      <c r="H14" s="95"/>
      <c r="I14" s="415"/>
      <c r="J14" s="95"/>
      <c r="K14" s="415"/>
      <c r="L14" s="95"/>
      <c r="M14" s="415"/>
      <c r="N14" s="95"/>
      <c r="O14" s="415">
        <f t="shared" si="0"/>
        <v>541142</v>
      </c>
    </row>
    <row r="15" spans="1:15" ht="39" customHeight="1">
      <c r="A15" s="488" t="s">
        <v>402</v>
      </c>
      <c r="B15" s="489" t="s">
        <v>190</v>
      </c>
      <c r="C15" s="415"/>
      <c r="D15" s="95"/>
      <c r="E15" s="415"/>
      <c r="F15" s="95"/>
      <c r="G15" s="415">
        <f>+TAXCALC!E183</f>
        <v>-629998.1468330228</v>
      </c>
      <c r="H15" s="95"/>
      <c r="I15" s="415"/>
      <c r="J15" s="95"/>
      <c r="K15" s="415"/>
      <c r="L15" s="95"/>
      <c r="M15" s="415"/>
      <c r="N15" s="95"/>
      <c r="O15" s="415">
        <f t="shared" si="0"/>
        <v>-629998.1468330228</v>
      </c>
    </row>
    <row r="16" spans="1:15" ht="48.75" customHeight="1">
      <c r="A16" s="488" t="s">
        <v>403</v>
      </c>
      <c r="B16" s="489"/>
      <c r="C16" s="415"/>
      <c r="D16" s="95"/>
      <c r="E16" s="415">
        <v>6125</v>
      </c>
      <c r="F16" s="95"/>
      <c r="G16" s="415"/>
      <c r="H16" s="95"/>
      <c r="I16" s="415"/>
      <c r="J16" s="95"/>
      <c r="K16" s="415"/>
      <c r="L16" s="95"/>
      <c r="M16" s="415"/>
      <c r="N16" s="95"/>
      <c r="O16" s="415">
        <f t="shared" si="0"/>
        <v>6125</v>
      </c>
    </row>
    <row r="17" spans="1:15" ht="42.75" customHeight="1">
      <c r="A17" s="488" t="s">
        <v>404</v>
      </c>
      <c r="B17" s="489" t="s">
        <v>190</v>
      </c>
      <c r="C17" s="415"/>
      <c r="D17" s="95"/>
      <c r="E17" s="415"/>
      <c r="F17" s="95"/>
      <c r="G17" s="415">
        <f>+TAXCALC!E181</f>
        <v>0</v>
      </c>
      <c r="H17" s="95"/>
      <c r="I17" s="415"/>
      <c r="J17" s="95"/>
      <c r="K17" s="415"/>
      <c r="L17" s="95"/>
      <c r="M17" s="415"/>
      <c r="N17" s="95"/>
      <c r="O17" s="415">
        <f t="shared" si="0"/>
        <v>0</v>
      </c>
    </row>
    <row r="18" spans="1:15" ht="25.5">
      <c r="A18" s="488" t="s">
        <v>405</v>
      </c>
      <c r="B18" s="489" t="s">
        <v>190</v>
      </c>
      <c r="C18" s="415"/>
      <c r="D18" s="95"/>
      <c r="E18" s="415"/>
      <c r="F18" s="95"/>
      <c r="G18" s="415"/>
      <c r="H18" s="95"/>
      <c r="I18" s="415"/>
      <c r="J18" s="95"/>
      <c r="K18" s="415"/>
      <c r="L18" s="95"/>
      <c r="M18" s="415"/>
      <c r="N18" s="95"/>
      <c r="O18" s="415">
        <f t="shared" si="0"/>
        <v>0</v>
      </c>
    </row>
    <row r="19" spans="1:15" ht="24" customHeight="1">
      <c r="A19" s="490" t="s">
        <v>406</v>
      </c>
      <c r="B19" s="489" t="s">
        <v>190</v>
      </c>
      <c r="C19" s="415">
        <v>24370</v>
      </c>
      <c r="D19" s="95"/>
      <c r="E19" s="415">
        <v>318209</v>
      </c>
      <c r="F19" s="95"/>
      <c r="G19" s="415"/>
      <c r="H19" s="95"/>
      <c r="I19" s="415"/>
      <c r="J19" s="95"/>
      <c r="K19" s="415"/>
      <c r="L19" s="95"/>
      <c r="M19" s="415"/>
      <c r="N19" s="95"/>
      <c r="O19" s="415">
        <f t="shared" si="0"/>
        <v>342579</v>
      </c>
    </row>
    <row r="20" spans="1:15" ht="24.75" customHeight="1">
      <c r="A20" s="488" t="s">
        <v>471</v>
      </c>
      <c r="B20" s="489" t="s">
        <v>188</v>
      </c>
      <c r="C20" s="415">
        <v>0</v>
      </c>
      <c r="D20" s="95"/>
      <c r="E20" s="415">
        <v>-13364844</v>
      </c>
      <c r="F20" s="95"/>
      <c r="G20" s="415"/>
      <c r="H20" s="95"/>
      <c r="I20" s="415"/>
      <c r="J20" s="95"/>
      <c r="K20" s="415"/>
      <c r="L20" s="95"/>
      <c r="M20" s="415"/>
      <c r="N20" s="95"/>
      <c r="O20" s="415">
        <f t="shared" si="0"/>
        <v>-13364844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5"/>
    </row>
    <row r="22" spans="1:15" ht="13.5" thickBot="1">
      <c r="A22" s="81" t="s">
        <v>376</v>
      </c>
      <c r="B22" s="34"/>
      <c r="C22" s="394">
        <f>SUM(C11:C20)</f>
        <v>4262606</v>
      </c>
      <c r="D22" s="415"/>
      <c r="E22" s="394">
        <f>SUM(E11:E20)</f>
        <v>3053167.158340875</v>
      </c>
      <c r="F22" s="415"/>
      <c r="G22" s="394">
        <f>SUM(G11:G20)</f>
        <v>2423169.011507852</v>
      </c>
      <c r="H22" s="415"/>
      <c r="I22" s="394">
        <f>SUM(I11:I20)</f>
        <v>2423169.011507852</v>
      </c>
      <c r="J22" s="390"/>
      <c r="K22" s="394">
        <f>SUM(K11:K20)</f>
        <v>2423169.011507852</v>
      </c>
      <c r="L22" s="390"/>
      <c r="M22" s="394">
        <f>SUM(M11:M21)</f>
        <v>2423169.011507852</v>
      </c>
      <c r="N22" s="390"/>
      <c r="O22" s="445">
        <f>SUM(O11:O20)</f>
        <v>2423169.011507852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407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408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410</v>
      </c>
      <c r="B31" s="80"/>
      <c r="C31" s="80"/>
      <c r="D31" s="80"/>
      <c r="E31" s="80"/>
      <c r="F31" s="80"/>
      <c r="G31" s="80"/>
      <c r="H31" s="80"/>
      <c r="I31" s="442"/>
      <c r="J31" s="442"/>
      <c r="K31" s="442" t="s">
        <v>504</v>
      </c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1" t="s">
        <v>411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416"/>
      <c r="Q33" s="416"/>
      <c r="R33" s="416"/>
      <c r="S33" s="416"/>
    </row>
    <row r="34" spans="1:19" ht="12.75">
      <c r="A34" s="510" t="s">
        <v>412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416"/>
      <c r="Q34" s="416"/>
      <c r="R34" s="416"/>
      <c r="S34" s="416"/>
    </row>
    <row r="35" spans="1:19" ht="12.75">
      <c r="A35" s="510" t="s">
        <v>433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416"/>
      <c r="Q35" s="416"/>
      <c r="R35" s="416"/>
      <c r="S35" s="416"/>
    </row>
    <row r="36" spans="1:19" ht="12.75">
      <c r="A36" s="510" t="s">
        <v>413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416"/>
      <c r="Q36" s="416"/>
      <c r="R36" s="416"/>
      <c r="S36" s="416"/>
    </row>
    <row r="37" spans="1:19" ht="12.75">
      <c r="A37" s="432" t="s">
        <v>373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16"/>
      <c r="Q37" s="416"/>
      <c r="R37" s="416"/>
      <c r="S37" s="416"/>
    </row>
    <row r="38" spans="1:19" ht="12.75">
      <c r="A38" s="432" t="s">
        <v>374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16"/>
      <c r="Q38" s="416"/>
      <c r="R38" s="416"/>
      <c r="S38" s="416"/>
    </row>
    <row r="39" spans="1:19" ht="12.75">
      <c r="A39" s="432" t="s">
        <v>414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16"/>
      <c r="Q39" s="416"/>
      <c r="R39" s="416"/>
      <c r="S39" s="416"/>
    </row>
    <row r="40" spans="1:19" ht="12.75">
      <c r="A40" s="432" t="s">
        <v>415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16"/>
      <c r="Q40" s="416"/>
      <c r="R40" s="416"/>
      <c r="S40" s="416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16"/>
      <c r="Q41" s="416"/>
      <c r="R41" s="416"/>
      <c r="S41" s="416"/>
    </row>
    <row r="42" spans="1:15" ht="12.75">
      <c r="A42" s="434" t="s">
        <v>416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417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418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419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420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421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422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419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423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424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425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426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427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383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428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385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384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386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430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431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432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0" t="s">
        <v>462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</row>
    <row r="75" spans="1:15" ht="12.75">
      <c r="A75" s="429" t="s">
        <v>375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horizontalCentered="1" verticalCentered="1"/>
  <pageMargins left="0.7480314960629921" right="0.2362204724409449" top="0.85" bottom="0.35433070866141736" header="0.1968503937007874" footer="0"/>
  <pageSetup horizontalDpi="600" verticalDpi="600" orientation="portrait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2011-11-08T14:16:04Z</cp:lastPrinted>
  <dcterms:created xsi:type="dcterms:W3CDTF">2001-11-07T16:15:53Z</dcterms:created>
  <dcterms:modified xsi:type="dcterms:W3CDTF">2012-03-29T14:15:07Z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