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8.xml><?xml version="1.0" encoding="utf-8"?>
<comments xmlns="http://schemas.openxmlformats.org/spreadsheetml/2006/main">
  <authors>
    <author>Deanne</author>
  </authors>
  <commentList>
    <comment ref="K13" authorId="0">
      <text>
        <r>
          <rPr>
            <b/>
            <sz val="8"/>
            <rFont val="Tahoma"/>
            <family val="2"/>
          </rPr>
          <t>Deanne:</t>
        </r>
        <r>
          <rPr>
            <sz val="8"/>
            <rFont val="Tahoma"/>
            <family val="2"/>
          </rPr>
          <t xml:space="preserve">
2005 PILs Proxy = 49365</t>
        </r>
      </text>
    </comment>
  </commentList>
</comments>
</file>

<file path=xl/sharedStrings.xml><?xml version="1.0" encoding="utf-8"?>
<sst xmlns="http://schemas.openxmlformats.org/spreadsheetml/2006/main" count="885" uniqueCount="508">
  <si>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</si>
  <si>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</si>
  <si>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</si>
  <si>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</si>
  <si>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</si>
  <si>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</si>
  <si>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</si>
  <si>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</si>
  <si>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</si>
  <si>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</si>
  <si>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</si>
  <si>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</si>
  <si>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</si>
  <si>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</si>
  <si>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</si>
  <si>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</si>
  <si>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</si>
  <si>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</si>
  <si>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</si>
  <si>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</si>
  <si>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</si>
  <si>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</si>
  <si>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</si>
  <si>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</si>
  <si>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</si>
  <si>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</si>
  <si>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</si>
  <si>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</si>
  <si>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</si>
  <si>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</si>
  <si>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</si>
  <si>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</si>
  <si>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</si>
  <si>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</si>
  <si>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</si>
  <si>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</si>
  <si>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</si>
  <si>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</si>
  <si>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</si>
  <si>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</si>
  <si>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</si>
  <si>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</si>
  <si>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</si>
  <si>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</si>
  <si>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</si>
  <si>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</si>
  <si>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</si>
  <si>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</si>
  <si>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</si>
  <si>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</si>
  <si>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</si>
  <si>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</si>
  <si>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</si>
  <si>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</si>
  <si>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</si>
  <si>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</si>
  <si>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</si>
  <si>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</si>
  <si>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</si>
  <si>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</si>
  <si>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</si>
  <si>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</si>
  <si>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</si>
  <si>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</si>
  <si>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</si>
  <si>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</si>
  <si>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</si>
  <si>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</si>
  <si>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</si>
  <si>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</si>
  <si>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</si>
  <si>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</si>
  <si>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</si>
  <si>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</si>
  <si>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</si>
  <si>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</si>
  <si>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</si>
  <si>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</si>
  <si>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</si>
  <si>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</si>
  <si>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</si>
  <si>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</si>
  <si>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</si>
  <si>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</si>
  <si>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</si>
  <si>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</si>
  <si>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</si>
  <si>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</si>
  <si>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</si>
  <si>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</si>
  <si>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</si>
  <si>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</si>
  <si>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</si>
  <si>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</si>
  <si>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</si>
  <si>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</si>
  <si>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</si>
  <si>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</si>
  <si>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</si>
  <si>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</si>
  <si>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</si>
  <si>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</si>
  <si>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</si>
  <si>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</si>
  <si>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</si>
  <si>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</si>
  <si>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</si>
  <si>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</si>
  <si>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</si>
  <si>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</si>
  <si>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</si>
  <si>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</si>
  <si>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</si>
  <si>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</si>
  <si>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</si>
  <si>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</si>
  <si>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</si>
  <si>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</si>
  <si>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</si>
  <si>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</si>
  <si>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</si>
  <si>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</si>
  <si>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</si>
  <si>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</si>
  <si>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</si>
  <si>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</si>
  <si>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</si>
  <si>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</si>
  <si>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</si>
  <si>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</si>
  <si>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</si>
  <si>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</si>
  <si>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</si>
  <si>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</si>
  <si>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</si>
  <si>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</si>
  <si>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</si>
  <si>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</si>
  <si>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</si>
  <si>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</si>
  <si>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</si>
  <si>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</si>
  <si>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</si>
  <si>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</si>
  <si>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</si>
  <si>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</si>
  <si>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</si>
  <si>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</si>
  <si>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</si>
  <si>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</si>
  <si>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</si>
  <si>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</si>
  <si>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</si>
  <si>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</si>
  <si>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</si>
  <si>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</si>
  <si>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</si>
  <si>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</si>
  <si>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</si>
  <si>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</si>
  <si>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</si>
  <si>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</si>
  <si>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</si>
  <si>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</si>
  <si>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</si>
  <si>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</si>
  <si>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</si>
  <si>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</si>
  <si>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</si>
  <si>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</si>
  <si>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</si>
  <si>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</si>
  <si>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</si>
  <si>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</si>
  <si>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</si>
  <si>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</si>
  <si>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</si>
  <si>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</si>
  <si>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</si>
  <si>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</si>
  <si>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</si>
  <si>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</si>
  <si>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</si>
  <si>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</si>
  <si>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</si>
  <si>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</si>
  <si>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</si>
  <si>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</si>
  <si>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</si>
  <si>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</si>
  <si>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</si>
  <si>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</si>
  <si>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</si>
  <si>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</si>
  <si>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</si>
  <si>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</si>
  <si>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</si>
  <si>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</si>
  <si>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</si>
  <si>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</si>
  <si>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</si>
  <si>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</si>
  <si>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</si>
  <si>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</si>
  <si>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</si>
  <si>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</si>
  <si>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</si>
  <si>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</si>
  <si>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</si>
  <si>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</si>
  <si>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</si>
  <si>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</si>
  <si>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</si>
  <si>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</si>
  <si>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</si>
  <si>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</si>
  <si>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</si>
  <si>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</si>
  <si>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</si>
  <si>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</si>
  <si>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</si>
  <si>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</si>
  <si>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</si>
  <si>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</si>
  <si>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</si>
  <si>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</si>
  <si>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</si>
  <si>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</si>
  <si>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</si>
  <si>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</si>
  <si>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</si>
  <si>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</si>
  <si>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</si>
  <si>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</si>
  <si>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</si>
  <si>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</si>
  <si>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</si>
  <si>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</si>
  <si>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</si>
  <si>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</si>
  <si>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</si>
  <si>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</si>
  <si>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</si>
  <si>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</si>
  <si>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</si>
  <si>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</si>
  <si>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</si>
  <si>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</si>
  <si>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</si>
  <si>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</si>
  <si>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</si>
  <si>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</si>
  <si>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</si>
  <si>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</si>
  <si>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</si>
  <si>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</si>
  <si>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</si>
  <si>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</si>
  <si>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</si>
  <si>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</si>
  <si>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</si>
  <si>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</si>
  <si>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</si>
  <si>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</si>
  <si>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</si>
  <si>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</si>
  <si>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</si>
  <si>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</si>
  <si>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</si>
  <si>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</si>
  <si>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</si>
  <si>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</si>
  <si>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</si>
  <si>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</si>
  <si>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</si>
  <si>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</si>
  <si>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</si>
  <si>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</si>
  <si>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</si>
  <si>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</si>
  <si>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</si>
  <si>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</si>
  <si>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</si>
  <si>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</si>
  <si>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</si>
  <si>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</si>
  <si>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</si>
  <si>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</si>
  <si>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</si>
  <si>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</si>
  <si>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</si>
  <si>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</si>
  <si>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</si>
  <si>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</si>
  <si>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</si>
  <si>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</si>
  <si>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</si>
  <si>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</si>
  <si>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</si>
  <si>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</si>
  <si>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</si>
  <si>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</si>
  <si>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</si>
  <si>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</si>
  <si>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</si>
  <si>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</si>
  <si>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</si>
  <si>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</si>
  <si>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</si>
  <si>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</si>
  <si>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</si>
  <si>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</si>
  <si>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</si>
  <si>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</si>
  <si>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</si>
  <si>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</si>
  <si>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</si>
  <si>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</si>
  <si>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</si>
  <si>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</si>
  <si>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</si>
  <si>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</si>
  <si>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</si>
  <si>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</si>
  <si>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</si>
  <si>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</si>
  <si>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</si>
  <si>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</si>
  <si>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</si>
  <si>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</si>
  <si>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</si>
  <si>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</si>
  <si>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</si>
  <si>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</si>
  <si>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</si>
  <si>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</si>
  <si>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</si>
  <si>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</si>
  <si>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</si>
  <si>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</si>
  <si>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</si>
  <si>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</si>
  <si>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</si>
  <si>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</si>
  <si>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</si>
  <si>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</si>
  <si>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</si>
  <si>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</si>
  <si>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</si>
  <si>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</si>
  <si>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</si>
  <si>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</si>
  <si>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</si>
  <si>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</si>
  <si>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</si>
  <si>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</si>
  <si>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</si>
  <si>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</si>
  <si>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</si>
  <si>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</si>
  <si>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</si>
  <si>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</si>
  <si>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</si>
  <si>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</si>
  <si>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</si>
  <si>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</si>
  <si>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</si>
  <si>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</si>
  <si>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</si>
  <si>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</si>
  <si>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</si>
  <si>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</si>
  <si>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</si>
  <si>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</si>
  <si>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</si>
  <si>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</si>
  <si>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</si>
  <si>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</si>
  <si>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</si>
  <si>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</si>
  <si>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</si>
  <si>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</si>
  <si>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</si>
  <si>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</si>
  <si>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</si>
  <si>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</si>
  <si>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</si>
  <si>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</si>
  <si>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</si>
  <si>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</si>
  <si>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</si>
  <si>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</si>
  <si>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</si>
  <si>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</si>
  <si>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</si>
  <si>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</si>
  <si>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</si>
  <si>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</si>
  <si>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</si>
  <si>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</si>
  <si>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</si>
  <si>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</si>
  <si>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</si>
  <si>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</si>
  <si>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</si>
  <si>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</si>
  <si>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</si>
  <si>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</si>
  <si>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</si>
  <si>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</si>
  <si>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</si>
  <si>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</si>
  <si>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</si>
  <si>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</si>
  <si>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</si>
  <si>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</si>
  <si>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</si>
  <si>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</si>
  <si>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</si>
  <si>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</si>
  <si>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</si>
  <si>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</si>
  <si>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</si>
  <si>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</si>
  <si>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</si>
  <si>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</si>
  <si>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</si>
  <si>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</si>
  <si>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</si>
  <si>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</si>
  <si>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</si>
  <si>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</si>
  <si>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</si>
  <si>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</si>
  <si>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</si>
  <si>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</si>
  <si>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</si>
  <si>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</si>
  <si>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</si>
  <si>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</si>
  <si>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</si>
  <si>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</si>
  <si>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</si>
  <si>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</si>
  <si>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</si>
  <si>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</si>
  <si>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</si>
  <si>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</si>
  <si>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</si>
  <si>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</si>
  <si>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</si>
  <si>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</si>
  <si>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</si>
  <si>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</si>
  <si>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</si>
  <si>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</si>
  <si>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</si>
  <si>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</si>
  <si>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</si>
  <si>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</si>
  <si>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</si>
  <si>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</si>
  <si>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</si>
  <si>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</si>
  <si>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</si>
  <si>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</si>
  <si>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</si>
  <si>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</si>
  <si>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</si>
  <si>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</si>
  <si>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</si>
  <si>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</si>
  <si>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</si>
  <si>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</si>
  <si>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</si>
  <si>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</si>
  <si>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</si>
  <si>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Does this include LCT?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</si>
  <si>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</si>
  <si>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</si>
  <si>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</si>
  <si>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</si>
  <si>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</si>
  <si>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</si>
  <si>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</si>
  <si>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</si>
  <si>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</si>
  <si>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</si>
  <si>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</si>
  <si>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</si>
  <si>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</si>
  <si>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</si>
  <si>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</si>
  <si>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</si>
  <si>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</si>
  <si>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</si>
  <si>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</si>
  <si>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</si>
  <si>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PILs TAXES - EB-2008-0381</t>
  </si>
  <si>
    <t>Actual Interest Paid</t>
  </si>
  <si>
    <t>Utility Name: Sioux Lookout Hydro Inc.</t>
  </si>
  <si>
    <t>Y</t>
  </si>
  <si>
    <t>N</t>
  </si>
  <si>
    <t>Net Change in vested sick leave accrual</t>
  </si>
  <si>
    <t>Net change in post employment benefit accrual</t>
  </si>
  <si>
    <t>interest on unrecorded interest on variance accounts</t>
  </si>
  <si>
    <t>Payment of 2004 Capital Tax</t>
  </si>
  <si>
    <t>Method 3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</si>
</sst>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20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17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3" fontId="0" fillId="45" borderId="14" xfId="0" applyNumberFormat="1" applyFill="1" applyBorder="1" applyAlignment="1" applyProtection="1">
      <alignment vertical="top"/>
      <protection/>
    </xf>
    <xf numFmtId="10" fontId="0" fillId="0" borderId="0" xfId="63" applyFont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10" fontId="0" fillId="0" borderId="0" xfId="63" applyFont="1" applyFill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3" fontId="0" fillId="36" borderId="0" xfId="0" applyNumberFormat="1" applyFont="1" applyFill="1" applyAlignment="1">
      <alignment/>
    </xf>
    <xf numFmtId="0" fontId="0" fillId="41" borderId="0" xfId="0" applyFont="1" applyFill="1" applyAlignment="1">
      <alignment vertical="top" wrapText="1"/>
    </xf>
    <xf numFmtId="3" fontId="0" fillId="41" borderId="0" xfId="0" applyNumberFormat="1" applyFont="1" applyFill="1" applyAlignment="1">
      <alignment/>
    </xf>
    <xf numFmtId="0" fontId="3" fillId="46" borderId="24" xfId="0" applyFont="1" applyFill="1" applyBorder="1" applyAlignment="1" applyProtection="1">
      <alignment vertical="top"/>
      <protection/>
    </xf>
    <xf numFmtId="37" fontId="3" fillId="46" borderId="14" xfId="0" applyNumberFormat="1" applyFont="1" applyFill="1" applyBorder="1" applyAlignment="1" applyProtection="1">
      <alignment vertical="top"/>
      <protection/>
    </xf>
    <xf numFmtId="37" fontId="3" fillId="46" borderId="14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75" zoomScaleNormal="75" zoomScalePageLayoutView="0" workbookViewId="0" topLeftCell="A22">
      <selection activeCell="D62" sqref="D6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498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500</v>
      </c>
      <c r="C3" s="8"/>
      <c r="D3" s="454" t="s">
        <v>447</v>
      </c>
      <c r="E3" s="8"/>
      <c r="F3" s="8"/>
      <c r="G3" s="8"/>
      <c r="H3" s="8"/>
    </row>
    <row r="4" spans="1:8" ht="12.75">
      <c r="A4" s="2" t="s">
        <v>483</v>
      </c>
      <c r="C4" s="8"/>
      <c r="D4" s="453" t="s">
        <v>442</v>
      </c>
      <c r="E4" s="428"/>
      <c r="H4" s="8"/>
    </row>
    <row r="5" spans="1:8" ht="12.75">
      <c r="A5" s="52"/>
      <c r="C5" s="8"/>
      <c r="D5" s="452" t="s">
        <v>443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94" t="s">
        <v>501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94" t="s">
        <v>502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94" t="s">
        <v>502</v>
      </c>
    </row>
    <row r="18" spans="1:4" ht="15" customHeight="1">
      <c r="A18" s="389" t="s">
        <v>315</v>
      </c>
      <c r="C18" s="8"/>
      <c r="D18" s="8"/>
    </row>
    <row r="19" spans="1:4" ht="15" customHeight="1">
      <c r="A19" s="506" t="s">
        <v>316</v>
      </c>
      <c r="B19" s="8" t="s">
        <v>313</v>
      </c>
      <c r="C19" s="8" t="s">
        <v>64</v>
      </c>
      <c r="D19" s="495" t="s">
        <v>502</v>
      </c>
    </row>
    <row r="20" spans="1:4" ht="13.5" thickBot="1">
      <c r="A20" s="507"/>
      <c r="B20" s="8" t="s">
        <v>314</v>
      </c>
      <c r="C20" s="8" t="s">
        <v>64</v>
      </c>
      <c r="D20" s="494" t="s">
        <v>502</v>
      </c>
    </row>
    <row r="21" spans="1:4" ht="12.75">
      <c r="A21" s="506" t="s">
        <v>312</v>
      </c>
      <c r="B21" s="8" t="s">
        <v>313</v>
      </c>
      <c r="C21" s="8"/>
      <c r="D21" s="423">
        <v>1</v>
      </c>
    </row>
    <row r="22" spans="1:4" ht="12.75">
      <c r="A22" s="506"/>
      <c r="B22" s="8" t="s">
        <v>314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484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297</v>
      </c>
    </row>
    <row r="27" spans="1:5" ht="12.75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1">
        <v>5588188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0.0833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435319.8452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348286</v>
      </c>
      <c r="E43" s="387">
        <f>D43</f>
        <v>348286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87033.84519999998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6"/>
      <c r="E47" s="387">
        <f aca="true" t="shared" si="0" ref="E47:E53">D47</f>
        <v>0</v>
      </c>
      <c r="H47" s="40"/>
      <c r="J47" s="5"/>
      <c r="K47" s="5"/>
    </row>
    <row r="48" spans="1:11" ht="12.75">
      <c r="A48" t="s">
        <v>290</v>
      </c>
      <c r="D48" s="426">
        <v>43447</v>
      </c>
      <c r="E48" s="387">
        <f>D48</f>
        <v>43447</v>
      </c>
      <c r="F48" s="22"/>
      <c r="H48" s="40"/>
      <c r="J48" s="5"/>
      <c r="K48" s="5"/>
    </row>
    <row r="49" spans="1:11" ht="12.75">
      <c r="A49" t="s">
        <v>291</v>
      </c>
      <c r="D49" s="427"/>
      <c r="E49" s="387">
        <f>D49</f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439</v>
      </c>
      <c r="C51" s="497"/>
      <c r="D51" s="428">
        <v>43447</v>
      </c>
      <c r="E51" s="387">
        <f>D51</f>
        <v>43447</v>
      </c>
      <c r="G51" s="3"/>
      <c r="H51" s="40"/>
      <c r="J51" s="5"/>
      <c r="K51" s="5"/>
    </row>
    <row r="52" spans="1:11" ht="12.75">
      <c r="A52" t="s">
        <v>462</v>
      </c>
      <c r="D52" s="428"/>
      <c r="E52" s="387"/>
      <c r="G52" s="491"/>
      <c r="H52" s="40"/>
      <c r="J52" s="5"/>
      <c r="K52" s="5"/>
    </row>
    <row r="53" spans="4:11" ht="12.75">
      <c r="D53" s="428"/>
      <c r="E53" s="387">
        <f t="shared" si="0"/>
        <v>0</v>
      </c>
      <c r="G53" s="3"/>
      <c r="H53" s="40"/>
      <c r="J53" s="5"/>
      <c r="K53" s="5"/>
    </row>
    <row r="54" spans="1:11" ht="12.75">
      <c r="A54" s="2" t="s">
        <v>293</v>
      </c>
      <c r="E54" s="254">
        <f>SUM(E43:E53)</f>
        <v>435180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2794094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232748.0302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2794094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202571.81499999997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162071.46983311936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182289.10462130935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182289.10462130935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202571.81499999997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9055118110236221" bottom="0.35433070866141736" header="0.2755905511811024" footer="0"/>
  <pageSetup fitToHeight="1" fitToWidth="1" horizontalDpi="600" verticalDpi="600" orientation="portrait" scale="83" r:id="rId1"/>
  <headerFooter alignWithMargins="0">
    <oddHeader>&amp;CPage &amp;P&amp;RSiouxLookout_HaltonModel_2005_PILs_Revised20110708_20111012_REVISED20120126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zoomScalePageLayoutView="0" workbookViewId="0" topLeftCell="A175">
      <selection activeCell="E181" sqref="E18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EB-2008-0381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464</v>
      </c>
      <c r="H1" s="210"/>
    </row>
    <row r="2" spans="1:8" ht="12.75">
      <c r="A2" s="211" t="s">
        <v>463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465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Sioux Lookout Hydro Inc.</v>
      </c>
      <c r="B6" s="115"/>
      <c r="D6" s="137"/>
      <c r="E6" s="115"/>
      <c r="G6" s="115"/>
      <c r="H6" s="464"/>
    </row>
    <row r="7" spans="1:8" ht="12.75">
      <c r="A7" s="211" t="str">
        <f>REGINFO!A4</f>
        <v>Reporting period:  2005</v>
      </c>
      <c r="B7" s="115"/>
      <c r="D7" s="137"/>
      <c r="E7" s="115"/>
      <c r="G7" s="115"/>
      <c r="H7" s="464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8">
        <f>REGINFO!E54</f>
        <v>435180</v>
      </c>
      <c r="D16" s="17"/>
      <c r="E16" s="266">
        <f>G16-C16</f>
        <v>-227903</v>
      </c>
      <c r="F16" s="3"/>
      <c r="G16" s="266">
        <f>TAXREC!E50</f>
        <v>207277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249495</v>
      </c>
      <c r="D20" s="18"/>
      <c r="E20" s="266">
        <f>G20-C20</f>
        <v>56009</v>
      </c>
      <c r="F20" s="6"/>
      <c r="G20" s="266">
        <f>TAXREC!E61</f>
        <v>305504</v>
      </c>
      <c r="H20" s="151"/>
    </row>
    <row r="21" spans="1:8" ht="12.75">
      <c r="A21" s="158" t="s">
        <v>56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264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263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265</v>
      </c>
      <c r="B24" s="127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159</v>
      </c>
      <c r="B27" s="127">
        <v>6</v>
      </c>
      <c r="C27" s="260"/>
      <c r="D27" s="18"/>
      <c r="E27" s="266">
        <f>G27-C27</f>
        <v>1891</v>
      </c>
      <c r="F27" s="6"/>
      <c r="G27" s="266">
        <f>TAXREC!E93</f>
        <v>1891</v>
      </c>
      <c r="H27" s="151"/>
    </row>
    <row r="28" spans="1:8" ht="12.75">
      <c r="A28" s="158" t="s">
        <v>158</v>
      </c>
      <c r="B28" s="127">
        <v>6</v>
      </c>
      <c r="C28" s="260"/>
      <c r="D28" s="18"/>
      <c r="E28" s="266">
        <f>G28-C28</f>
        <v>25307</v>
      </c>
      <c r="F28" s="6"/>
      <c r="G28" s="266">
        <f>TAXREC!E67</f>
        <v>25307</v>
      </c>
      <c r="H28" s="151"/>
    </row>
    <row r="29" spans="1:8" ht="12.75">
      <c r="A29" s="158" t="s">
        <v>157</v>
      </c>
      <c r="B29" s="127">
        <v>6</v>
      </c>
      <c r="C29" s="260"/>
      <c r="D29" s="18"/>
      <c r="E29" s="266">
        <f>G29-C29</f>
        <v>965</v>
      </c>
      <c r="F29" s="6"/>
      <c r="G29" s="266">
        <f>TAXREC!E68</f>
        <v>965</v>
      </c>
      <c r="H29" s="151"/>
    </row>
    <row r="30" spans="1:8" ht="15.75">
      <c r="A30" s="481" t="s">
        <v>395</v>
      </c>
      <c r="B30" s="127"/>
      <c r="C30" s="258"/>
      <c r="D30" s="18"/>
      <c r="E30" s="266">
        <f>G30-C30</f>
        <v>64651</v>
      </c>
      <c r="F30" s="6"/>
      <c r="G30" s="266">
        <f>TAXREC!E66</f>
        <v>64651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0">
        <v>264683</v>
      </c>
      <c r="D33" s="132"/>
      <c r="E33" s="266">
        <f aca="true" t="shared" si="0" ref="E33:E42">G33-C33</f>
        <v>-566</v>
      </c>
      <c r="F33" s="6"/>
      <c r="G33" s="266">
        <f>TAXREC!E97+TAXREC!E98</f>
        <v>264117</v>
      </c>
      <c r="H33" s="151"/>
    </row>
    <row r="34" spans="1:8" ht="12.75">
      <c r="A34" s="158" t="s">
        <v>57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/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266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9">
        <f>REGINFO!D70</f>
        <v>202571.81499999997</v>
      </c>
      <c r="D37" s="132"/>
      <c r="E37" s="266">
        <f t="shared" si="0"/>
        <v>-82585.81499999997</v>
      </c>
      <c r="F37" s="6"/>
      <c r="G37" s="492">
        <f>TAXREC!E51</f>
        <v>119986</v>
      </c>
      <c r="H37" s="151"/>
    </row>
    <row r="38" spans="1:8" ht="12.75">
      <c r="A38" s="155" t="s">
        <v>262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261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184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0"/>
      <c r="D44" s="132"/>
      <c r="E44" s="266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0"/>
      <c r="D45" s="132"/>
      <c r="E45" s="266">
        <f>G45-C45</f>
        <v>6109</v>
      </c>
      <c r="F45" s="6"/>
      <c r="G45" s="251">
        <f>TAXREC!E131</f>
        <v>6109</v>
      </c>
      <c r="H45" s="151"/>
    </row>
    <row r="46" spans="1:8" ht="12.75">
      <c r="A46" s="158" t="s">
        <v>155</v>
      </c>
      <c r="B46" s="127">
        <v>12</v>
      </c>
      <c r="C46" s="260"/>
      <c r="D46" s="132"/>
      <c r="E46" s="266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0"/>
      <c r="D47" s="132"/>
      <c r="E47" s="266">
        <f>G47-C47</f>
        <v>0</v>
      </c>
      <c r="F47" s="6"/>
      <c r="G47" s="251">
        <f>TAXREC!E111</f>
        <v>0</v>
      </c>
      <c r="H47" s="151"/>
    </row>
    <row r="48" spans="1:8" ht="15.75">
      <c r="A48" s="481" t="s">
        <v>395</v>
      </c>
      <c r="B48" s="127"/>
      <c r="C48" s="258"/>
      <c r="D48" s="132"/>
      <c r="E48" s="266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2">
        <f>C16+SUM(C20:C30)-SUM(C33:C48)</f>
        <v>217420.18500000006</v>
      </c>
      <c r="D50" s="102"/>
      <c r="E50" s="262">
        <f>E16+SUM(E20:E30)-SUM(E33:E48)</f>
        <v>-2037.1850000000268</v>
      </c>
      <c r="F50" s="431" t="s">
        <v>367</v>
      </c>
      <c r="G50" s="262">
        <f>G16+SUM(G20:G30)-SUM(G33:G48)</f>
        <v>215383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1">
        <f>IF($C$50&gt;'Tax Rates'!$E$11,'Tax Rates'!$F$16,IF($C$50&gt;'Tax Rates'!$C$11,'Tax Rates'!$E$16,'Tax Rates'!$C$16))</f>
        <v>0.1862</v>
      </c>
      <c r="D53" s="102"/>
      <c r="E53" s="267">
        <f>+G53-C53</f>
        <v>0</v>
      </c>
      <c r="F53" s="114"/>
      <c r="G53" s="472">
        <v>0.1862</v>
      </c>
      <c r="H53" s="151"/>
      <c r="I53" s="469" t="s">
        <v>471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40483.63844700001</v>
      </c>
      <c r="D55" s="102"/>
      <c r="E55" s="266">
        <f>G55-C55</f>
        <v>-378.6384470000121</v>
      </c>
      <c r="F55" s="431" t="s">
        <v>368</v>
      </c>
      <c r="G55" s="263">
        <f>TAXREC!E144</f>
        <v>40105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31" t="s">
        <v>368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40483.63844700001</v>
      </c>
      <c r="D60" s="133"/>
      <c r="E60" s="268">
        <f>+E55-E58</f>
        <v>-378.6384470000121</v>
      </c>
      <c r="F60" s="431" t="s">
        <v>368</v>
      </c>
      <c r="G60" s="268">
        <f>+G55-G58</f>
        <v>40105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5588188</v>
      </c>
      <c r="D66" s="102"/>
      <c r="E66" s="266">
        <f>G66-C66</f>
        <v>1516293</v>
      </c>
      <c r="F66" s="6"/>
      <c r="G66" s="474">
        <v>7104481</v>
      </c>
      <c r="H66" s="151"/>
      <c r="I66" s="475" t="s">
        <v>472</v>
      </c>
    </row>
    <row r="67" spans="1:10" ht="12.75">
      <c r="A67" s="152" t="s">
        <v>360</v>
      </c>
      <c r="B67" s="125">
        <v>16</v>
      </c>
      <c r="C67" s="259">
        <f>IF(C66&gt;0,'Tax Rates'!C21,0)</f>
        <v>7500000</v>
      </c>
      <c r="D67" s="102"/>
      <c r="E67" s="266">
        <f>G67-C67</f>
        <v>0</v>
      </c>
      <c r="F67" s="6"/>
      <c r="G67" s="266">
        <v>7500000</v>
      </c>
      <c r="H67" s="151"/>
      <c r="I67" s="475" t="s">
        <v>472</v>
      </c>
      <c r="J67" s="476" t="s">
        <v>473</v>
      </c>
    </row>
    <row r="68" spans="1:8" ht="12.75">
      <c r="A68" s="152" t="s">
        <v>42</v>
      </c>
      <c r="B68" s="125"/>
      <c r="C68" s="263">
        <f>IF((C66-C67)&gt;0,C66-C67,0)</f>
        <v>0</v>
      </c>
      <c r="D68" s="102"/>
      <c r="E68" s="266">
        <f>SUM(E66:E67)</f>
        <v>1516293</v>
      </c>
      <c r="F68" s="114"/>
      <c r="G68" s="263">
        <f>G66-G67</f>
        <v>-395519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3">
        <f>IF(C68&gt;0,C68*C70,0)*REGINFO!$B$6/REGINFO!$B$7</f>
        <v>0</v>
      </c>
      <c r="D72" s="101"/>
      <c r="E72" s="266">
        <f>+G72-C72</f>
        <v>0</v>
      </c>
      <c r="F72" s="477"/>
      <c r="G72" s="263">
        <f>IF(G68&gt;0,G68*G70,0)*REGINFO!$B$6/REGINFO!$B$7</f>
        <v>0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5588188</v>
      </c>
      <c r="D75" s="102"/>
      <c r="E75" s="266">
        <f>+G75-C75</f>
        <v>-5588188</v>
      </c>
      <c r="F75" s="6"/>
      <c r="G75" s="474">
        <v>0</v>
      </c>
      <c r="H75" s="151"/>
      <c r="I75" s="475" t="s">
        <v>472</v>
      </c>
    </row>
    <row r="76" spans="1:9" ht="12.75">
      <c r="A76" s="152" t="s">
        <v>360</v>
      </c>
      <c r="B76" s="125">
        <v>19</v>
      </c>
      <c r="C76" s="259">
        <f>IF(C75&gt;0,'Tax Rates'!C22,0)</f>
        <v>50000000</v>
      </c>
      <c r="D76" s="18"/>
      <c r="E76" s="266">
        <f>+G76-C76</f>
        <v>-50000000</v>
      </c>
      <c r="F76" s="6"/>
      <c r="G76" s="266"/>
      <c r="H76" s="151"/>
      <c r="I76" s="475" t="s">
        <v>472</v>
      </c>
    </row>
    <row r="77" spans="1:8" ht="12.75">
      <c r="A77" s="152" t="s">
        <v>42</v>
      </c>
      <c r="B77" s="125"/>
      <c r="C77" s="263">
        <f>IF((C75-C76)&gt;0,C75-C76,0)</f>
        <v>0</v>
      </c>
      <c r="D77" s="19"/>
      <c r="E77" s="266">
        <f>SUM(E75:E76)</f>
        <v>-55588188</v>
      </c>
      <c r="F77" s="114"/>
      <c r="G77" s="263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0">
        <f>'Tax Rates'!C19</f>
        <v>0.00175</v>
      </c>
      <c r="D79" s="102"/>
      <c r="E79" s="267">
        <f>G79-C79</f>
        <v>0.00025</v>
      </c>
      <c r="F79" s="6"/>
      <c r="G79" s="267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3">
        <f>IF(C77&gt;0,C77*C79,0)*REGINFO!$B$6/REGINFO!$B$7</f>
        <v>0</v>
      </c>
      <c r="D81" s="102"/>
      <c r="E81" s="266">
        <f>+G81-C81</f>
        <v>0</v>
      </c>
      <c r="F81" s="6"/>
      <c r="G81" s="263">
        <f>G77*G79*B9/B10</f>
        <v>0</v>
      </c>
      <c r="H81" s="151"/>
    </row>
    <row r="82" spans="1:8" ht="12.75">
      <c r="A82" s="152" t="s">
        <v>319</v>
      </c>
      <c r="B82" s="125">
        <v>21</v>
      </c>
      <c r="C82" s="299">
        <f>IF(C77&gt;0,IF(C60&gt;0,C50*'Tax Rates'!C20,0),0)</f>
        <v>0</v>
      </c>
      <c r="D82" s="102"/>
      <c r="E82" s="266">
        <f>+G82-C82</f>
        <v>0</v>
      </c>
      <c r="F82" s="6"/>
      <c r="G82" s="299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0</v>
      </c>
      <c r="D84" s="16"/>
      <c r="E84" s="266">
        <f>E81-E82</f>
        <v>0</v>
      </c>
      <c r="F84" s="103"/>
      <c r="G84" s="263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1">
        <f>IF($C$50&gt;'Tax Rates'!$E$11,'Tax Rates'!$F$16,IF(AND($C$50&gt;='Tax Rates'!$C$11,$C$50&lt;='Tax Rates'!E11),'Tax Rates'!$E$16,'Tax Rates'!$C$16))</f>
        <v>0.1862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3">
        <f>C60/(1-C88)</f>
        <v>49746.42227451464</v>
      </c>
      <c r="D90" s="20"/>
      <c r="E90" s="139"/>
      <c r="F90" s="430" t="s">
        <v>494</v>
      </c>
      <c r="G90" s="269">
        <f>TAXREC!E156</f>
        <v>40105</v>
      </c>
      <c r="H90" s="151"/>
    </row>
    <row r="91" spans="1:8" ht="12.75">
      <c r="A91" s="158" t="s">
        <v>370</v>
      </c>
      <c r="B91" s="127">
        <v>23</v>
      </c>
      <c r="C91" s="263">
        <f>C84/(1-C88)</f>
        <v>0</v>
      </c>
      <c r="D91" s="20"/>
      <c r="E91" s="139"/>
      <c r="F91" s="430" t="s">
        <v>494</v>
      </c>
      <c r="G91" s="269">
        <f>TAXREC!E158</f>
        <v>0</v>
      </c>
      <c r="H91" s="151"/>
    </row>
    <row r="92" spans="1:8" ht="12.75">
      <c r="A92" s="158" t="s">
        <v>348</v>
      </c>
      <c r="B92" s="127">
        <v>24</v>
      </c>
      <c r="C92" s="263">
        <f>C72</f>
        <v>0</v>
      </c>
      <c r="D92" s="20"/>
      <c r="E92" s="139"/>
      <c r="F92" s="430" t="s">
        <v>494</v>
      </c>
      <c r="G92" s="269">
        <f>TAXREC!E157</f>
        <v>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495</v>
      </c>
      <c r="B95" s="125">
        <v>25</v>
      </c>
      <c r="C95" s="268">
        <v>49365</v>
      </c>
      <c r="D95" s="6"/>
      <c r="E95" s="139"/>
      <c r="F95" s="430" t="s">
        <v>494</v>
      </c>
      <c r="G95" s="413">
        <f>SUM(G90:G94)</f>
        <v>40105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25307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479</v>
      </c>
      <c r="B112" s="127">
        <v>11</v>
      </c>
      <c r="C112" s="112"/>
      <c r="D112" s="3"/>
      <c r="E112" s="471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3">
        <f>SUM(E102:E107)-SUM(E109:E118)</f>
        <v>25307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497</v>
      </c>
      <c r="B122" s="127"/>
      <c r="C122" s="112"/>
      <c r="D122" s="3" t="s">
        <v>231</v>
      </c>
      <c r="E122" s="468">
        <v>0.1862</v>
      </c>
      <c r="F122" s="469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3">
        <f>E120*E122</f>
        <v>4712.1634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3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3">
        <f>E124-E126</f>
        <v>4712.1634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1">
        <v>0.175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503" t="s">
        <v>352</v>
      </c>
      <c r="B132" s="130"/>
      <c r="C132" s="112"/>
      <c r="D132" s="3"/>
      <c r="E132" s="504">
        <f>E128/(1-E130)</f>
        <v>5711.713212121213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1">
        <f>C50</f>
        <v>217420.18500000006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1">
        <v>0.1862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2">
        <f>IF(E136&gt;0,E136*E138,0)</f>
        <v>40483.63844700001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3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1">
        <f>E140-E142</f>
        <v>40483.63844700001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1">
        <f>C60</f>
        <v>40483.63844700001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1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80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1">
        <f>C66</f>
        <v>5588188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4">
        <f>IF(E151&gt;0,'Tax Rates'!C39,0)</f>
        <v>7500000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1">
        <f>E151-E152</f>
        <v>-1911812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5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1">
        <f>IF(E153&gt;0,E153*E155*B9/B10,0)</f>
        <v>0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4">
        <f>C72</f>
        <v>0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3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3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5588188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4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1">
        <f>E162-E163</f>
        <v>-44411812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5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1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6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1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347</v>
      </c>
      <c r="B172" s="130"/>
      <c r="C172" s="112"/>
      <c r="D172" s="118" t="s">
        <v>188</v>
      </c>
      <c r="E172" s="304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3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68">
        <v>0.175</v>
      </c>
      <c r="F175" s="469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1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1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1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503" t="s">
        <v>353</v>
      </c>
      <c r="B181" s="130"/>
      <c r="C181" s="112"/>
      <c r="D181" s="119" t="s">
        <v>189</v>
      </c>
      <c r="E181" s="505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478</v>
      </c>
      <c r="B183" s="130"/>
      <c r="C183" s="112"/>
      <c r="D183" s="119" t="s">
        <v>187</v>
      </c>
      <c r="E183" s="484">
        <f>E132</f>
        <v>5711.713212121213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4">
        <f>E181+E183</f>
        <v>5711.713212121213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7">
        <f>REGINFO!D62</f>
        <v>202571.81499999997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7">
        <f>REGINFO!D66</f>
        <v>182289.10462130935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7">
        <f>E193-E194</f>
        <v>20282.710378690623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90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90"/>
      <c r="H200" s="164"/>
    </row>
    <row r="201" spans="1:8" ht="12.75">
      <c r="A201" s="155" t="s">
        <v>252</v>
      </c>
      <c r="B201" s="127"/>
      <c r="C201" s="112"/>
      <c r="D201" s="120"/>
      <c r="E201" s="307">
        <f>G37+G42</f>
        <v>119986</v>
      </c>
      <c r="F201" s="3"/>
      <c r="G201" s="490"/>
      <c r="H201" s="164"/>
    </row>
    <row r="202" spans="1:8" ht="12.75">
      <c r="A202" s="155" t="s">
        <v>499</v>
      </c>
      <c r="B202" s="127"/>
      <c r="C202" s="112"/>
      <c r="D202" s="120"/>
      <c r="E202" s="489">
        <v>119986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2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480</v>
      </c>
      <c r="B206" s="127"/>
      <c r="C206" s="112"/>
      <c r="D206" s="120"/>
      <c r="E206" s="470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8">
        <f>+E196-E204</f>
        <v>20282.710378690623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9055118110236221" bottom="0.35433070866141736" header="0.2755905511811024" footer="0"/>
  <pageSetup fitToHeight="2" fitToWidth="1" horizontalDpi="600" verticalDpi="600" orientation="portrait" scale="46" r:id="rId1"/>
  <headerFooter alignWithMargins="0">
    <oddHeader>&amp;CPage &amp;P&amp;RSiouxLookout_HaltonModel_2005_PILs_Revised20110708_20111012_REVISED20120126</oddHeader>
    <oddFooter>&amp;C&amp;A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zoomScalePageLayoutView="0" workbookViewId="0" topLeftCell="A62">
      <selection activeCell="A168" sqref="A16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Sioux Lookout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6">
        <v>6985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96" t="s">
        <v>501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326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324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325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4">
        <v>7059306</v>
      </c>
      <c r="D31" s="285"/>
      <c r="E31" s="283">
        <f>C31-D31</f>
        <v>7059306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/>
      <c r="D32" s="285"/>
      <c r="E32" s="283">
        <f>C32-D32</f>
        <v>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169400</v>
      </c>
      <c r="D33" s="285"/>
      <c r="E33" s="283">
        <f>C33-D33</f>
        <v>169400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>
        <v>5779463</v>
      </c>
      <c r="D39" s="285"/>
      <c r="E39" s="283">
        <f>C39-D39</f>
        <v>5779463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>
        <v>444726</v>
      </c>
      <c r="D40" s="285"/>
      <c r="E40" s="283">
        <f aca="true" t="shared" si="0" ref="E40:E48">C40-D40</f>
        <v>444726</v>
      </c>
      <c r="F40" s="11"/>
      <c r="G40" s="485"/>
      <c r="H40" s="6"/>
      <c r="I40" s="6"/>
    </row>
    <row r="41" spans="1:9" ht="12.75">
      <c r="A41" s="4" t="s">
        <v>275</v>
      </c>
      <c r="B41" s="23" t="s">
        <v>188</v>
      </c>
      <c r="C41" s="284"/>
      <c r="D41" s="285"/>
      <c r="E41" s="283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4">
        <v>563198</v>
      </c>
      <c r="D42" s="285"/>
      <c r="E42" s="283">
        <f t="shared" si="0"/>
        <v>563198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4">
        <v>234042</v>
      </c>
      <c r="D43" s="285"/>
      <c r="E43" s="283">
        <f t="shared" si="0"/>
        <v>234042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" t="s">
        <v>485</v>
      </c>
      <c r="B45" s="23" t="s">
        <v>188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496</v>
      </c>
      <c r="B46" s="23" t="s">
        <v>188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207277</v>
      </c>
      <c r="D50" s="280">
        <f>SUM(D31:D36)-SUM(D39:D49)</f>
        <v>0</v>
      </c>
      <c r="E50" s="280">
        <f>SUM(E31:E35)-SUM(E39:E48)</f>
        <v>207277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v>119986</v>
      </c>
      <c r="D51" s="284"/>
      <c r="E51" s="281">
        <f>+C51-D51</f>
        <v>119986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4">
        <v>23378</v>
      </c>
      <c r="D52" s="284"/>
      <c r="E52" s="282">
        <f>+C52-D52</f>
        <v>23378</v>
      </c>
      <c r="F52" s="8"/>
      <c r="G52" s="415" t="s">
        <v>477</v>
      </c>
    </row>
    <row r="53" spans="1:6" ht="12.75">
      <c r="A53" s="2" t="s">
        <v>131</v>
      </c>
      <c r="B53" s="8" t="s">
        <v>189</v>
      </c>
      <c r="C53" s="280">
        <f>C50-C51-C52</f>
        <v>63913</v>
      </c>
      <c r="D53" s="280">
        <f>D50-D51-D52</f>
        <v>0</v>
      </c>
      <c r="E53" s="280">
        <f>E50-E51-E52</f>
        <v>63913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6">
        <v>23378</v>
      </c>
      <c r="D59" s="286">
        <f>D52</f>
        <v>0</v>
      </c>
      <c r="E59" s="271">
        <f>+C59-D59</f>
        <v>23378</v>
      </c>
      <c r="F59" s="8"/>
      <c r="G59" s="415" t="s">
        <v>477</v>
      </c>
    </row>
    <row r="60" spans="1:6" ht="12.75">
      <c r="A60" s="4" t="s">
        <v>327</v>
      </c>
      <c r="B60" s="8" t="s">
        <v>187</v>
      </c>
      <c r="C60" s="317">
        <v>0</v>
      </c>
      <c r="D60" s="317"/>
      <c r="E60" s="271">
        <f>+C60-D60</f>
        <v>0</v>
      </c>
      <c r="F60" s="8"/>
    </row>
    <row r="61" spans="1:7" ht="12.75">
      <c r="A61" t="s">
        <v>4</v>
      </c>
      <c r="B61" s="8" t="s">
        <v>187</v>
      </c>
      <c r="C61" s="286">
        <v>305504</v>
      </c>
      <c r="D61" s="286">
        <f>D43</f>
        <v>0</v>
      </c>
      <c r="E61" s="271">
        <f>+C61-D61</f>
        <v>305504</v>
      </c>
      <c r="F61" s="8"/>
      <c r="G61" s="415"/>
    </row>
    <row r="62" spans="1:6" ht="12.75">
      <c r="A62" t="s">
        <v>6</v>
      </c>
      <c r="B62" s="8" t="s">
        <v>187</v>
      </c>
      <c r="C62" s="317"/>
      <c r="D62" s="286">
        <v>0</v>
      </c>
      <c r="E62" s="271">
        <f>+C62-D62</f>
        <v>0</v>
      </c>
      <c r="F62" s="8"/>
    </row>
    <row r="63" spans="1:6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444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66" t="s">
        <v>395</v>
      </c>
      <c r="B66" s="8"/>
      <c r="C66" s="446">
        <f>'TAXREC 3 No True-up'!C47</f>
        <v>64651</v>
      </c>
      <c r="D66" s="446">
        <f>'TAXREC 3 No True-up'!D47</f>
        <v>0</v>
      </c>
      <c r="E66" s="271">
        <f>+C66-D66</f>
        <v>64651</v>
      </c>
      <c r="F66" s="8"/>
    </row>
    <row r="67" spans="1:6" ht="12.75">
      <c r="A67" t="s">
        <v>160</v>
      </c>
      <c r="B67" s="8" t="s">
        <v>187</v>
      </c>
      <c r="C67" s="251">
        <f>'TAXREC 2'!C77</f>
        <v>25307</v>
      </c>
      <c r="D67" s="251">
        <f>'TAXREC 2'!D77</f>
        <v>0</v>
      </c>
      <c r="E67" s="271">
        <f>+C67-D67</f>
        <v>25307</v>
      </c>
      <c r="F67" s="8"/>
    </row>
    <row r="68" spans="1:11" ht="12.75">
      <c r="A68" t="s">
        <v>161</v>
      </c>
      <c r="B68" s="8" t="s">
        <v>187</v>
      </c>
      <c r="C68" s="251">
        <f>'TAXREC 2'!C78</f>
        <v>965</v>
      </c>
      <c r="D68" s="251">
        <f>'TAXREC 2'!D78</f>
        <v>0</v>
      </c>
      <c r="E68" s="271">
        <f>+C68-D68</f>
        <v>965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419805</v>
      </c>
      <c r="D70" s="271">
        <f>SUM(D59:D68)</f>
        <v>0</v>
      </c>
      <c r="E70" s="271">
        <f>SUM(E59:E68)</f>
        <v>419805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>
        <v>1891</v>
      </c>
      <c r="D74" s="293"/>
      <c r="E74" s="271">
        <f t="shared" si="1"/>
        <v>1891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2">
        <v>0</v>
      </c>
      <c r="D76" s="293"/>
      <c r="E76" s="478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1891</v>
      </c>
      <c r="D80" s="251">
        <f>SUM(D73:D79)</f>
        <v>0</v>
      </c>
      <c r="E80" s="251">
        <f>SUM(E73:E79)</f>
        <v>1891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421696</v>
      </c>
      <c r="D82" s="251">
        <f>D70+D80</f>
        <v>0</v>
      </c>
      <c r="E82" s="251">
        <f>E70+E80</f>
        <v>421696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432</v>
      </c>
      <c r="B93" s="272"/>
      <c r="C93" s="251">
        <f>C80-C92</f>
        <v>1891</v>
      </c>
      <c r="D93" s="251">
        <f>D80-D92</f>
        <v>0</v>
      </c>
      <c r="E93" s="251">
        <f>E80-E92</f>
        <v>1891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1">
        <f>C92+C93</f>
        <v>1891</v>
      </c>
      <c r="D94" s="251">
        <f>D92+D93</f>
        <v>0</v>
      </c>
      <c r="E94" s="251">
        <f>E92+E93</f>
        <v>1891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3">
        <v>251251</v>
      </c>
      <c r="D97" s="293"/>
      <c r="E97" s="271">
        <f>+C97-D97</f>
        <v>251251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>
        <v>12866</v>
      </c>
      <c r="D98" s="293"/>
      <c r="E98" s="271">
        <f>+C98-D98</f>
        <v>12866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6" t="s">
        <v>395</v>
      </c>
      <c r="B108" s="8"/>
      <c r="C108" s="254">
        <f>'TAXREC 3 No True-up'!C73</f>
        <v>0</v>
      </c>
      <c r="D108" s="254">
        <f>'TAXREC 3 No True-up'!D73</f>
        <v>0</v>
      </c>
      <c r="E108" s="271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264117</v>
      </c>
      <c r="D113" s="251">
        <f>SUM(D97:D111)</f>
        <v>0</v>
      </c>
      <c r="E113" s="251">
        <f>SUM(E97:E111)</f>
        <v>264117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 t="s">
        <v>506</v>
      </c>
      <c r="B117" s="8" t="s">
        <v>188</v>
      </c>
      <c r="C117" s="293">
        <v>6109</v>
      </c>
      <c r="D117" s="293"/>
      <c r="E117" s="271">
        <f>+C117-D117</f>
        <v>6109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6109</v>
      </c>
      <c r="D120" s="251">
        <f>SUM(D114:D119)</f>
        <v>0</v>
      </c>
      <c r="E120" s="251">
        <f>SUM(E114:E119)</f>
        <v>6109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270226</v>
      </c>
      <c r="D122" s="251">
        <f>D113+D120</f>
        <v>0</v>
      </c>
      <c r="E122" s="251">
        <f>+E113+E120</f>
        <v>270226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51">
        <f>C120-C130</f>
        <v>6109</v>
      </c>
      <c r="D131" s="251">
        <f>D120-D130</f>
        <v>0</v>
      </c>
      <c r="E131" s="251">
        <f>E120-E130</f>
        <v>6109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51">
        <f>C130+C131</f>
        <v>6109</v>
      </c>
      <c r="D132" s="251">
        <f>D130+D131</f>
        <v>0</v>
      </c>
      <c r="E132" s="251">
        <f>E130+E131</f>
        <v>6109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215383</v>
      </c>
      <c r="D134" s="251">
        <f>D53+D82-D122</f>
        <v>0</v>
      </c>
      <c r="E134" s="251">
        <f>E53+E82-E122</f>
        <v>215383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3">
        <v>0</v>
      </c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376</v>
      </c>
      <c r="B137" s="8" t="s">
        <v>188</v>
      </c>
      <c r="C137" s="309"/>
      <c r="D137" s="309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215383</v>
      </c>
      <c r="D139" s="252">
        <f>D134-D136-D137-D138</f>
        <v>0</v>
      </c>
      <c r="E139" s="252">
        <f>E134-E136-E137-E138</f>
        <v>215383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7">
        <v>28259</v>
      </c>
      <c r="D142" s="297">
        <f>D139*C149</f>
        <v>0</v>
      </c>
      <c r="E142" s="252">
        <f>C142-D142</f>
        <v>28259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7">
        <v>11846</v>
      </c>
      <c r="D143" s="297">
        <f>D139*C150</f>
        <v>0</v>
      </c>
      <c r="E143" s="291">
        <f>C143-D143</f>
        <v>11846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40105</v>
      </c>
      <c r="D144" s="252">
        <f>D142+D143</f>
        <v>0</v>
      </c>
      <c r="E144" s="252">
        <f>E142+E143</f>
        <v>40105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40105</v>
      </c>
      <c r="D146" s="252">
        <f>D144-D145</f>
        <v>0</v>
      </c>
      <c r="E146" s="252">
        <f>E144-E145</f>
        <v>40105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4">
        <f>C142/C139</f>
        <v>0.1312034840261302</v>
      </c>
      <c r="D149" s="5"/>
      <c r="E149" s="405">
        <f>C149</f>
        <v>0.1312034840261302</v>
      </c>
      <c r="F149" s="8"/>
      <c r="G149" s="483" t="s">
        <v>468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4">
        <f>C143/C139</f>
        <v>0.0549996982120223</v>
      </c>
      <c r="D150" s="5"/>
      <c r="E150" s="405">
        <f>C150</f>
        <v>0.0549996982120223</v>
      </c>
      <c r="F150" s="8"/>
      <c r="G150" s="483" t="s">
        <v>469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5">
        <f>SUM(C149:C150)</f>
        <v>0.1862031822381525</v>
      </c>
      <c r="D151" s="5"/>
      <c r="E151" s="405">
        <f>SUM(E149:E150)</f>
        <v>0.1862031822381525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476</v>
      </c>
      <c r="B155" s="8"/>
    </row>
    <row r="156" spans="1:5" ht="12.75">
      <c r="A156" t="s">
        <v>219</v>
      </c>
      <c r="B156" s="86" t="s">
        <v>187</v>
      </c>
      <c r="C156" s="251">
        <f>C146</f>
        <v>40105</v>
      </c>
      <c r="D156" s="251">
        <f>D146</f>
        <v>0</v>
      </c>
      <c r="E156" s="251">
        <f>E146</f>
        <v>40105</v>
      </c>
    </row>
    <row r="157" spans="1:5" ht="12.75">
      <c r="A157" t="s">
        <v>20</v>
      </c>
      <c r="B157" s="86" t="s">
        <v>187</v>
      </c>
      <c r="C157" s="479"/>
      <c r="D157" s="251"/>
      <c r="E157" s="251">
        <f>C157+D157</f>
        <v>0</v>
      </c>
    </row>
    <row r="158" spans="1:5" ht="12.75">
      <c r="A158" t="s">
        <v>218</v>
      </c>
      <c r="B158" s="86" t="s">
        <v>187</v>
      </c>
      <c r="C158" s="479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40105</v>
      </c>
      <c r="D160" s="251">
        <f>D156+D157+D158</f>
        <v>0</v>
      </c>
      <c r="E160" s="251">
        <f>E156+E157+E158</f>
        <v>40105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9055118110236221" bottom="0.35433070866141736" header="0.2755905511811024" footer="0"/>
  <pageSetup fitToHeight="2" fitToWidth="1" horizontalDpi="600" verticalDpi="600" orientation="portrait" scale="61" r:id="rId1"/>
  <headerFooter alignWithMargins="0">
    <oddHeader>&amp;CPage &amp;P&amp;RSiouxLookout_HaltonModel_2005_PILs_Revised20110708_20111012_REVISED20120126</oddHeader>
    <oddFooter>&amp;C&amp;A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"/>
  <sheetViews>
    <sheetView zoomScale="75" zoomScaleNormal="75" zoomScalePageLayoutView="0" workbookViewId="0" topLeftCell="A22">
      <selection activeCell="C14" sqref="C14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Sioux Lookout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1">
        <f>C13-D13</f>
        <v>0</v>
      </c>
    </row>
    <row r="14" spans="1:7" ht="12.75">
      <c r="A14" s="61" t="s">
        <v>281</v>
      </c>
      <c r="B14" s="61"/>
      <c r="C14" s="293"/>
      <c r="D14" s="293"/>
      <c r="E14" s="251">
        <f aca="true" t="shared" si="0" ref="E14:E21">C14-D14</f>
        <v>0</v>
      </c>
      <c r="G14">
        <v>70004</v>
      </c>
    </row>
    <row r="15" spans="1:5" ht="12.75">
      <c r="A15" s="61" t="s">
        <v>282</v>
      </c>
      <c r="B15" s="61"/>
      <c r="C15" s="293"/>
      <c r="D15" s="293"/>
      <c r="E15" s="251">
        <f t="shared" si="0"/>
        <v>0</v>
      </c>
    </row>
    <row r="16" spans="1:5" ht="12.75">
      <c r="A16" s="61" t="s">
        <v>283</v>
      </c>
      <c r="B16" s="61"/>
      <c r="C16" s="293"/>
      <c r="D16" s="293"/>
      <c r="E16" s="251">
        <f t="shared" si="0"/>
        <v>0</v>
      </c>
    </row>
    <row r="17" spans="1:5" ht="12.75">
      <c r="A17" s="61" t="s">
        <v>284</v>
      </c>
      <c r="B17" s="61"/>
      <c r="C17" s="293"/>
      <c r="D17" s="293"/>
      <c r="E17" s="251">
        <f t="shared" si="0"/>
        <v>0</v>
      </c>
    </row>
    <row r="18" spans="1:5" ht="12.75">
      <c r="A18" s="61" t="s">
        <v>449</v>
      </c>
      <c r="B18" s="61"/>
      <c r="C18" s="293"/>
      <c r="D18" s="293"/>
      <c r="E18" s="251">
        <f t="shared" si="0"/>
        <v>0</v>
      </c>
    </row>
    <row r="19" spans="1:5" ht="12.75">
      <c r="A19" s="61" t="s">
        <v>449</v>
      </c>
      <c r="B19" s="61"/>
      <c r="C19" s="293"/>
      <c r="D19" s="293"/>
      <c r="E19" s="251">
        <f t="shared" si="0"/>
        <v>0</v>
      </c>
    </row>
    <row r="20" spans="1:5" ht="12.75">
      <c r="A20" s="61"/>
      <c r="B20" s="61"/>
      <c r="C20" s="293"/>
      <c r="D20" s="293"/>
      <c r="E20" s="251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1">
        <f>C25-D25</f>
        <v>0</v>
      </c>
    </row>
    <row r="26" spans="1:7" ht="12.75">
      <c r="A26" s="61" t="s">
        <v>281</v>
      </c>
      <c r="B26" s="61"/>
      <c r="C26" s="293">
        <v>0</v>
      </c>
      <c r="D26" s="293"/>
      <c r="E26" s="251">
        <f aca="true" t="shared" si="1" ref="E26:E33">C26-D26</f>
        <v>0</v>
      </c>
      <c r="G26">
        <v>103537</v>
      </c>
    </row>
    <row r="27" spans="1:5" ht="12.75">
      <c r="A27" s="61" t="s">
        <v>282</v>
      </c>
      <c r="B27" s="61"/>
      <c r="C27" s="293"/>
      <c r="D27" s="293"/>
      <c r="E27" s="251">
        <f t="shared" si="1"/>
        <v>0</v>
      </c>
    </row>
    <row r="28" spans="1:5" ht="12.75">
      <c r="A28" s="61" t="s">
        <v>283</v>
      </c>
      <c r="B28" s="61"/>
      <c r="C28" s="293"/>
      <c r="D28" s="293"/>
      <c r="E28" s="251">
        <f t="shared" si="1"/>
        <v>0</v>
      </c>
    </row>
    <row r="29" spans="1:5" ht="12.75">
      <c r="A29" s="61" t="s">
        <v>284</v>
      </c>
      <c r="B29" s="61"/>
      <c r="C29" s="293"/>
      <c r="D29" s="293"/>
      <c r="E29" s="251">
        <f t="shared" si="1"/>
        <v>0</v>
      </c>
    </row>
    <row r="30" spans="1:5" ht="12.75">
      <c r="A30" s="61" t="s">
        <v>449</v>
      </c>
      <c r="B30" s="61"/>
      <c r="C30" s="293"/>
      <c r="D30" s="293"/>
      <c r="E30" s="251">
        <f t="shared" si="1"/>
        <v>0</v>
      </c>
    </row>
    <row r="31" spans="1:5" ht="12.75">
      <c r="A31" s="61" t="s">
        <v>449</v>
      </c>
      <c r="B31" s="61"/>
      <c r="C31" s="293"/>
      <c r="D31" s="293"/>
      <c r="E31" s="251">
        <f t="shared" si="1"/>
        <v>0</v>
      </c>
    </row>
    <row r="32" spans="1:5" ht="12.75">
      <c r="A32" s="61"/>
      <c r="B32" s="61"/>
      <c r="C32" s="293"/>
      <c r="D32" s="293"/>
      <c r="E32" s="251">
        <f t="shared" si="1"/>
        <v>0</v>
      </c>
    </row>
    <row r="33" spans="1:5" ht="13.5" thickBot="1">
      <c r="A33" s="62"/>
      <c r="B33" s="61"/>
      <c r="C33" s="293"/>
      <c r="D33" s="293"/>
      <c r="E33" s="251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7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1">
        <f>C41-D41</f>
        <v>0</v>
      </c>
    </row>
    <row r="42" spans="1:5" ht="12.75">
      <c r="A42" s="61"/>
      <c r="B42" s="61"/>
      <c r="C42" s="293"/>
      <c r="D42" s="293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3"/>
      <c r="D43" s="293"/>
      <c r="E43" s="251">
        <f t="shared" si="2"/>
        <v>0</v>
      </c>
    </row>
    <row r="44" spans="1:5" ht="12.75">
      <c r="A44" s="61" t="s">
        <v>268</v>
      </c>
      <c r="B44" s="61"/>
      <c r="C44" s="293">
        <v>0</v>
      </c>
      <c r="D44" s="293"/>
      <c r="E44" s="251">
        <f t="shared" si="2"/>
        <v>0</v>
      </c>
    </row>
    <row r="45" spans="1:5" ht="12.75">
      <c r="A45" s="61" t="s">
        <v>269</v>
      </c>
      <c r="B45" s="61"/>
      <c r="C45" s="293"/>
      <c r="D45" s="293"/>
      <c r="E45" s="251">
        <f t="shared" si="2"/>
        <v>0</v>
      </c>
    </row>
    <row r="46" spans="1:5" ht="12.75">
      <c r="A46" s="61" t="s">
        <v>270</v>
      </c>
      <c r="B46" s="61"/>
      <c r="C46" s="293"/>
      <c r="D46" s="293"/>
      <c r="E46" s="251">
        <f t="shared" si="2"/>
        <v>0</v>
      </c>
    </row>
    <row r="47" spans="1:5" ht="12.75">
      <c r="A47" s="61" t="s">
        <v>449</v>
      </c>
      <c r="B47" s="61"/>
      <c r="C47" s="293"/>
      <c r="D47" s="293"/>
      <c r="E47" s="251">
        <f t="shared" si="2"/>
        <v>0</v>
      </c>
    </row>
    <row r="48" spans="1:5" ht="12.75">
      <c r="A48" s="61" t="s">
        <v>449</v>
      </c>
      <c r="B48" s="61"/>
      <c r="C48" s="293"/>
      <c r="D48" s="293"/>
      <c r="E48" s="251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1">
        <f>C53-D53</f>
        <v>0</v>
      </c>
    </row>
    <row r="54" spans="1:5" ht="12.75">
      <c r="A54" s="246"/>
      <c r="B54" s="61"/>
      <c r="C54" s="293"/>
      <c r="D54" s="293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3"/>
      <c r="D55" s="293"/>
      <c r="E55" s="251">
        <f t="shared" si="3"/>
        <v>0</v>
      </c>
    </row>
    <row r="56" spans="1:5" ht="12.75">
      <c r="A56" s="246" t="s">
        <v>268</v>
      </c>
      <c r="B56" s="61"/>
      <c r="C56" s="293">
        <v>0</v>
      </c>
      <c r="D56" s="293"/>
      <c r="E56" s="251">
        <f t="shared" si="3"/>
        <v>0</v>
      </c>
    </row>
    <row r="57" spans="1:5" ht="12.75">
      <c r="A57" s="246" t="s">
        <v>269</v>
      </c>
      <c r="B57" s="61"/>
      <c r="C57" s="293"/>
      <c r="D57" s="293"/>
      <c r="E57" s="251">
        <f t="shared" si="3"/>
        <v>0</v>
      </c>
    </row>
    <row r="58" spans="1:5" ht="12.75">
      <c r="A58" s="246" t="s">
        <v>270</v>
      </c>
      <c r="B58" s="61"/>
      <c r="C58" s="293"/>
      <c r="D58" s="293"/>
      <c r="E58" s="251">
        <f t="shared" si="3"/>
        <v>0</v>
      </c>
    </row>
    <row r="59" spans="1:5" ht="12.75">
      <c r="A59" s="61" t="s">
        <v>449</v>
      </c>
      <c r="B59" s="61"/>
      <c r="C59" s="293"/>
      <c r="D59" s="293"/>
      <c r="E59" s="251">
        <f t="shared" si="3"/>
        <v>0</v>
      </c>
    </row>
    <row r="60" spans="1:5" ht="12.75">
      <c r="A60" s="61" t="s">
        <v>449</v>
      </c>
      <c r="B60" s="61"/>
      <c r="C60" s="293"/>
      <c r="D60" s="293"/>
      <c r="E60" s="251">
        <f t="shared" si="3"/>
        <v>0</v>
      </c>
    </row>
    <row r="61" spans="1:5" ht="13.5" thickBot="1">
      <c r="A61" s="62"/>
      <c r="B61" s="61"/>
      <c r="C61" s="293"/>
      <c r="D61" s="293"/>
      <c r="E61" s="251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9055118110236221" bottom="0.35433070866141736" header="0.2755905511811024" footer="0"/>
  <pageSetup fitToHeight="1" fitToWidth="1" horizontalDpi="600" verticalDpi="600" orientation="portrait" scale="85" r:id="rId1"/>
  <headerFooter alignWithMargins="0">
    <oddHeader>&amp;CPage &amp;P&amp;RSiouxLookout_HaltonModel_2005_PILs_Revised20110708_20111012_REVISED20120126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2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43" sqref="A4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466</v>
      </c>
      <c r="B5" s="8"/>
      <c r="C5" s="8" t="s">
        <v>2</v>
      </c>
      <c r="D5" s="8"/>
      <c r="E5" s="8"/>
      <c r="F5" s="8"/>
    </row>
    <row r="6" spans="1:6" ht="12.75">
      <c r="A6" s="415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Sioux Lookout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487">
        <f>TAXREC!C13</f>
        <v>6985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2">
        <f>C17-D17</f>
        <v>0</v>
      </c>
    </row>
    <row r="18" spans="1:5" ht="12.75">
      <c r="A18" s="67" t="s">
        <v>253</v>
      </c>
      <c r="B18" t="s">
        <v>187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>
        <v>965</v>
      </c>
      <c r="D19" s="294"/>
      <c r="E19" s="312">
        <f t="shared" si="0"/>
        <v>965</v>
      </c>
    </row>
    <row r="20" spans="1:5" ht="12.75">
      <c r="A20" s="67" t="s">
        <v>450</v>
      </c>
      <c r="B20" t="s">
        <v>187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/>
      <c r="B22" t="s">
        <v>187</v>
      </c>
      <c r="C22" s="294"/>
      <c r="D22" s="294"/>
      <c r="E22" s="312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254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2">
        <f t="shared" si="0"/>
        <v>0</v>
      </c>
    </row>
    <row r="36" spans="1:5" ht="12.75">
      <c r="A36" s="67" t="s">
        <v>474</v>
      </c>
      <c r="B36" t="s">
        <v>187</v>
      </c>
      <c r="C36" s="294"/>
      <c r="D36" s="294"/>
      <c r="E36" s="312">
        <f t="shared" si="0"/>
        <v>0</v>
      </c>
    </row>
    <row r="37" spans="1:5" ht="12.75">
      <c r="A37" s="67"/>
      <c r="B37" t="s">
        <v>187</v>
      </c>
      <c r="C37" s="294"/>
      <c r="D37" s="294"/>
      <c r="E37" s="312">
        <f t="shared" si="0"/>
        <v>0</v>
      </c>
    </row>
    <row r="38" spans="2:5" ht="12.75">
      <c r="B38" t="s">
        <v>187</v>
      </c>
      <c r="C38" s="294"/>
      <c r="D38" s="294"/>
      <c r="E38" s="251">
        <f t="shared" si="0"/>
        <v>0</v>
      </c>
    </row>
    <row r="39" spans="2:5" ht="12.75">
      <c r="B39" t="s">
        <v>187</v>
      </c>
      <c r="C39" s="293"/>
      <c r="D39" s="294"/>
      <c r="E39" s="251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51">
        <f t="shared" si="0"/>
        <v>0</v>
      </c>
    </row>
    <row r="41" spans="1:5" ht="12.75">
      <c r="A41" s="498" t="s">
        <v>503</v>
      </c>
      <c r="B41" t="s">
        <v>187</v>
      </c>
      <c r="C41" s="293">
        <v>14201</v>
      </c>
      <c r="D41" s="293"/>
      <c r="E41" s="251">
        <f t="shared" si="0"/>
        <v>14201</v>
      </c>
    </row>
    <row r="42" spans="1:5" ht="12.75">
      <c r="A42" s="498" t="s">
        <v>504</v>
      </c>
      <c r="B42" t="s">
        <v>187</v>
      </c>
      <c r="C42" s="293">
        <v>11106</v>
      </c>
      <c r="D42" s="293"/>
      <c r="E42" s="251">
        <f t="shared" si="0"/>
        <v>11106</v>
      </c>
    </row>
    <row r="43" spans="1:5" ht="12.75">
      <c r="A43" s="499"/>
      <c r="B43" t="s">
        <v>187</v>
      </c>
      <c r="C43" s="293"/>
      <c r="D43" s="293"/>
      <c r="E43" s="251">
        <f t="shared" si="0"/>
        <v>0</v>
      </c>
    </row>
    <row r="44" spans="1:5" ht="12.75">
      <c r="A44" s="67"/>
      <c r="B44" t="s">
        <v>187</v>
      </c>
      <c r="C44" s="293"/>
      <c r="D44" s="293"/>
      <c r="E44" s="251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51">
        <f>SUM(C17:C45)</f>
        <v>26272</v>
      </c>
      <c r="D46" s="251">
        <f>SUM(D17:D45)</f>
        <v>0</v>
      </c>
      <c r="E46" s="251">
        <f>SUM(E17:E45)</f>
        <v>26272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4" t="str">
        <f>IF($E18&gt;$C$11,A18," ")</f>
        <v> </v>
      </c>
      <c r="B50" s="272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4" t="str">
        <f>IF($E19&gt;$C$11,#REF!," ")</f>
        <v> </v>
      </c>
      <c r="B51" s="272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4" t="str">
        <f>IF($E20&gt;$C$11,#REF!," ")</f>
        <v> </v>
      </c>
      <c r="B52" s="272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4" t="str">
        <f t="shared" si="2"/>
        <v> </v>
      </c>
      <c r="B54" s="272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4" t="str">
        <f t="shared" si="2"/>
        <v> </v>
      </c>
      <c r="B55" s="272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4" t="str">
        <f t="shared" si="2"/>
        <v> </v>
      </c>
      <c r="B56" s="272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4" t="str">
        <f t="shared" si="2"/>
        <v> </v>
      </c>
      <c r="B57" s="272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4" t="str">
        <f t="shared" si="2"/>
        <v> </v>
      </c>
      <c r="B58" s="272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4" t="str">
        <f t="shared" si="2"/>
        <v> </v>
      </c>
      <c r="B59" s="272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4" t="str">
        <f>IF($E28&gt;$C$11,A28," ")</f>
        <v> </v>
      </c>
      <c r="B60" s="272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4" t="str">
        <f>IF($E29&gt;$C$11,#REF!," ")</f>
        <v> </v>
      </c>
      <c r="B61" s="272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4" t="str">
        <f>IF($E30&gt;$C$11,#REF!," ")</f>
        <v> </v>
      </c>
      <c r="B62" s="272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4" t="str">
        <f>IF($E31&gt;$C$11,A26," ")</f>
        <v> </v>
      </c>
      <c r="B63" s="272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4" t="str">
        <f>IF($E33&gt;$C$11,#REF!," ")</f>
        <v> </v>
      </c>
      <c r="B64" s="272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4" t="str">
        <f>IF($E34&gt;$C$11,#REF!," ")</f>
        <v> </v>
      </c>
      <c r="B65" s="272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4" t="str">
        <f>IF($E35&gt;$C$11,#REF!," ")</f>
        <v> </v>
      </c>
      <c r="B66" s="272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4" t="str">
        <f>IF($E36&gt;$C$11,A36," ")</f>
        <v> </v>
      </c>
      <c r="B67" s="272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4" t="str">
        <f>IF($E37&gt;$C$11,A37," ")</f>
        <v> </v>
      </c>
      <c r="B68" s="272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4" t="str">
        <f>IF($E38&gt;$C$11,A29," ")</f>
        <v> </v>
      </c>
      <c r="B69" s="272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4" t="str">
        <f>IF($E39&gt;$C$11,A35," ")</f>
        <v> </v>
      </c>
      <c r="B70" s="272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4" t="str">
        <f t="shared" si="4"/>
        <v>Net Change in vested sick leave accrual</v>
      </c>
      <c r="B72" s="272"/>
      <c r="C72" s="251">
        <f t="shared" si="3"/>
        <v>14201</v>
      </c>
      <c r="D72" s="251">
        <f t="shared" si="3"/>
        <v>0</v>
      </c>
      <c r="E72" s="251">
        <f t="shared" si="3"/>
        <v>14201</v>
      </c>
    </row>
    <row r="73" spans="1:5" ht="12.75">
      <c r="A73" s="274" t="str">
        <f t="shared" si="4"/>
        <v>Net change in post employment benefit accrual</v>
      </c>
      <c r="B73" s="272"/>
      <c r="C73" s="251">
        <f t="shared" si="3"/>
        <v>11106</v>
      </c>
      <c r="D73" s="251">
        <f t="shared" si="3"/>
        <v>0</v>
      </c>
      <c r="E73" s="251">
        <f t="shared" si="3"/>
        <v>11106</v>
      </c>
    </row>
    <row r="74" spans="1:5" ht="12.75">
      <c r="A74" s="274" t="str">
        <f>IF($E43&gt;$C$11,#REF!," ")</f>
        <v> </v>
      </c>
      <c r="B74" s="272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4" t="str">
        <f t="shared" si="4"/>
        <v> </v>
      </c>
      <c r="B75" s="272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4" t="str">
        <f t="shared" si="4"/>
        <v> </v>
      </c>
      <c r="B76" s="273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5" t="s">
        <v>144</v>
      </c>
      <c r="B77" s="272"/>
      <c r="C77" s="251">
        <f>SUM(C49:C75)</f>
        <v>25307</v>
      </c>
      <c r="D77" s="251">
        <f>SUM(D49:D75)</f>
        <v>0</v>
      </c>
      <c r="E77" s="251">
        <f>SUM(E49:E75)</f>
        <v>25307</v>
      </c>
    </row>
    <row r="78" spans="1:5" ht="12.75">
      <c r="A78" s="275" t="s">
        <v>203</v>
      </c>
      <c r="B78" s="276"/>
      <c r="C78" s="314">
        <f>C46-C77</f>
        <v>965</v>
      </c>
      <c r="D78" s="314">
        <f>D46-D77</f>
        <v>0</v>
      </c>
      <c r="E78" s="314">
        <f>E46-E77</f>
        <v>965</v>
      </c>
    </row>
    <row r="79" spans="1:5" ht="12.75">
      <c r="A79" s="275" t="s">
        <v>170</v>
      </c>
      <c r="B79" s="276"/>
      <c r="C79" s="314">
        <f>C77+C78</f>
        <v>26272</v>
      </c>
      <c r="D79" s="314">
        <f>D77+D78</f>
        <v>0</v>
      </c>
      <c r="E79" s="314">
        <f>E77+E78</f>
        <v>26272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51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3"/>
      <c r="D85" s="293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3"/>
      <c r="D87" s="293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51">
        <f t="shared" si="5"/>
        <v>0</v>
      </c>
    </row>
    <row r="92" spans="2:5" ht="12.75">
      <c r="B92" s="8" t="s">
        <v>188</v>
      </c>
      <c r="C92" s="293"/>
      <c r="D92" s="293"/>
      <c r="E92" s="251"/>
    </row>
    <row r="93" spans="1:5" ht="12.75">
      <c r="A93" s="67"/>
      <c r="B93" s="8" t="s">
        <v>188</v>
      </c>
      <c r="C93" s="293"/>
      <c r="D93" s="293"/>
      <c r="E93" s="251">
        <f t="shared" si="5"/>
        <v>0</v>
      </c>
    </row>
    <row r="94" spans="1:5" ht="12.75">
      <c r="A94" s="67"/>
      <c r="B94" s="8" t="s">
        <v>188</v>
      </c>
      <c r="C94" s="293"/>
      <c r="D94" s="293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51">
        <f t="shared" si="5"/>
        <v>0</v>
      </c>
    </row>
    <row r="96" spans="1:5" ht="12.75">
      <c r="A96" s="67" t="s">
        <v>475</v>
      </c>
      <c r="B96" s="8" t="s">
        <v>188</v>
      </c>
      <c r="C96" s="293">
        <v>0</v>
      </c>
      <c r="D96" s="293"/>
      <c r="E96" s="251">
        <f t="shared" si="5"/>
        <v>0</v>
      </c>
    </row>
    <row r="97" spans="1:5" ht="12.75">
      <c r="A97" s="67"/>
      <c r="B97" s="8" t="s">
        <v>188</v>
      </c>
      <c r="C97" s="293"/>
      <c r="D97" s="293"/>
      <c r="E97" s="251">
        <f t="shared" si="5"/>
        <v>0</v>
      </c>
    </row>
    <row r="98" spans="1:5" ht="12.75">
      <c r="A98" s="67"/>
      <c r="B98" s="8" t="s">
        <v>188</v>
      </c>
      <c r="C98" s="293"/>
      <c r="D98" s="293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4" t="str">
        <f t="shared" si="6"/>
        <v> </v>
      </c>
      <c r="B103" s="272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4" t="str">
        <f t="shared" si="6"/>
        <v> </v>
      </c>
      <c r="B104" s="272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4" t="str">
        <f t="shared" si="6"/>
        <v> </v>
      </c>
      <c r="B105" s="272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4" t="str">
        <f t="shared" si="6"/>
        <v> </v>
      </c>
      <c r="B106" s="272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4" t="str">
        <f t="shared" si="6"/>
        <v> </v>
      </c>
      <c r="B107" s="272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4" t="str">
        <f t="shared" si="6"/>
        <v> </v>
      </c>
      <c r="B108" s="272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4" t="str">
        <f t="shared" si="6"/>
        <v> </v>
      </c>
      <c r="B109" s="272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4" t="str">
        <f t="shared" si="6"/>
        <v> </v>
      </c>
      <c r="B110" s="272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4" t="str">
        <f t="shared" si="6"/>
        <v> </v>
      </c>
      <c r="B111" s="272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4" t="str">
        <f>IF($E92&gt;$C$11,A95," ")</f>
        <v> </v>
      </c>
      <c r="B112" s="272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4" t="str">
        <f>IF($E93&gt;$C$11,#REF!," ")</f>
        <v> </v>
      </c>
      <c r="B113" s="272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4" t="str">
        <f>IF($E94&gt;$C$11,A94," ")</f>
        <v> </v>
      </c>
      <c r="B114" s="272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4" t="str">
        <f>IF($E95&gt;$C$11,A93," ")</f>
        <v> </v>
      </c>
      <c r="B115" s="272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4" t="str">
        <f>IF($E96&gt;$C$11,A96," ")</f>
        <v> </v>
      </c>
      <c r="B116" s="272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4" t="str">
        <f>IF($E97&gt;$C$11,A97," ")</f>
        <v> </v>
      </c>
      <c r="B117" s="272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4" t="str">
        <f>IF($E98&gt;$C$11,A98," ")</f>
        <v> </v>
      </c>
      <c r="B118" s="272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7" t="s">
        <v>202</v>
      </c>
      <c r="B119" s="272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7" t="s">
        <v>201</v>
      </c>
      <c r="B120" s="272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7" t="s">
        <v>171</v>
      </c>
      <c r="B121" s="272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9055118110236221" bottom="0.35433070866141736" header="0.2755905511811024" footer="0"/>
  <pageSetup fitToHeight="2" fitToWidth="1" horizontalDpi="600" verticalDpi="600" orientation="portrait" scale="74" r:id="rId1"/>
  <headerFooter alignWithMargins="0">
    <oddHeader>&amp;CPage &amp;P&amp;RSiouxLookout_HaltonModel_2005_PILs_Revised20110708_20111012_REVISED20120126</oddHeader>
    <oddFooter>&amp;C&amp;A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24" activePane="bottomRight" state="frozen"/>
      <selection pane="topLeft" activeCell="A5" sqref="A5"/>
      <selection pane="topRight" activeCell="A5" sqref="A5"/>
      <selection pane="bottomLeft" activeCell="A5" sqref="A5"/>
      <selection pane="bottomRight" activeCell="D44" sqref="D4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EB-2008-0381</v>
      </c>
    </row>
    <row r="3" spans="1:5" ht="12.75">
      <c r="A3" s="2" t="s">
        <v>385</v>
      </c>
      <c r="E3" s="92"/>
    </row>
    <row r="4" spans="1:6" ht="15.75">
      <c r="A4" s="463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5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Sioux Lookout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2">
        <f aca="true" t="shared" si="0" ref="E19:E45">C19-D19</f>
        <v>0</v>
      </c>
    </row>
    <row r="20" spans="1:5" ht="12.75">
      <c r="A20" t="s">
        <v>388</v>
      </c>
      <c r="B20" t="s">
        <v>187</v>
      </c>
      <c r="C20" s="294"/>
      <c r="D20" s="294"/>
      <c r="E20" s="312">
        <f t="shared" si="0"/>
        <v>0</v>
      </c>
    </row>
    <row r="21" spans="1:5" ht="12.75">
      <c r="A21" t="s">
        <v>454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 t="s">
        <v>391</v>
      </c>
      <c r="B22" t="s">
        <v>187</v>
      </c>
      <c r="C22" s="294"/>
      <c r="D22" s="313"/>
      <c r="E22" s="312">
        <f t="shared" si="0"/>
        <v>0</v>
      </c>
    </row>
    <row r="23" spans="1:5" ht="12.75">
      <c r="A23" s="67" t="s">
        <v>392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455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438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390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389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433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434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451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81" t="s">
        <v>452</v>
      </c>
      <c r="C35" s="294"/>
      <c r="D35" s="294"/>
      <c r="E35" s="312">
        <f t="shared" si="0"/>
        <v>0</v>
      </c>
    </row>
    <row r="36" spans="1:5" ht="12.75">
      <c r="A36" s="67" t="s">
        <v>435</v>
      </c>
      <c r="C36" s="294"/>
      <c r="D36" s="294"/>
      <c r="E36" s="312">
        <f t="shared" si="0"/>
        <v>0</v>
      </c>
    </row>
    <row r="37" spans="1:5" ht="12.75">
      <c r="A37" s="67" t="s">
        <v>436</v>
      </c>
      <c r="C37" s="294"/>
      <c r="D37" s="294"/>
      <c r="E37" s="312">
        <f t="shared" si="0"/>
        <v>0</v>
      </c>
    </row>
    <row r="38" spans="1:5" ht="12.75">
      <c r="A38" s="81" t="s">
        <v>393</v>
      </c>
      <c r="C38" s="294"/>
      <c r="D38" s="294"/>
      <c r="E38" s="312">
        <f t="shared" si="0"/>
        <v>0</v>
      </c>
    </row>
    <row r="39" spans="2:5" ht="12.75">
      <c r="B39" t="s">
        <v>187</v>
      </c>
      <c r="C39" s="294"/>
      <c r="D39" s="294"/>
      <c r="E39" s="312">
        <f t="shared" si="0"/>
        <v>0</v>
      </c>
    </row>
    <row r="40" spans="1:5" ht="12.75">
      <c r="A40" s="81" t="s">
        <v>387</v>
      </c>
      <c r="B40" t="s">
        <v>187</v>
      </c>
      <c r="C40" s="294"/>
      <c r="D40" s="294"/>
      <c r="E40" s="312">
        <f t="shared" si="0"/>
        <v>0</v>
      </c>
    </row>
    <row r="41" spans="1:5" ht="12.75">
      <c r="A41" s="67" t="s">
        <v>458</v>
      </c>
      <c r="B41" t="s">
        <v>187</v>
      </c>
      <c r="C41" s="294"/>
      <c r="D41" s="294"/>
      <c r="E41" s="312">
        <f t="shared" si="0"/>
        <v>0</v>
      </c>
    </row>
    <row r="42" spans="2:5" ht="12.75">
      <c r="B42" t="s">
        <v>187</v>
      </c>
      <c r="C42" s="294"/>
      <c r="D42" s="294"/>
      <c r="E42" s="312">
        <f t="shared" si="0"/>
        <v>0</v>
      </c>
    </row>
    <row r="43" spans="1:5" ht="12.75">
      <c r="A43" s="68" t="s">
        <v>204</v>
      </c>
      <c r="B43" t="s">
        <v>187</v>
      </c>
      <c r="C43" s="294"/>
      <c r="D43" s="294"/>
      <c r="E43" s="312">
        <f t="shared" si="0"/>
        <v>0</v>
      </c>
    </row>
    <row r="44" spans="1:5" ht="12.75">
      <c r="A44" s="499" t="s">
        <v>505</v>
      </c>
      <c r="B44" t="s">
        <v>187</v>
      </c>
      <c r="C44" s="293">
        <v>64651</v>
      </c>
      <c r="D44" s="293"/>
      <c r="E44" s="251">
        <f t="shared" si="0"/>
        <v>64651</v>
      </c>
    </row>
    <row r="45" spans="2:5" ht="12.75">
      <c r="B45" t="s">
        <v>187</v>
      </c>
      <c r="C45" s="293"/>
      <c r="D45" s="293"/>
      <c r="E45" s="251">
        <f t="shared" si="0"/>
        <v>0</v>
      </c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49" t="s">
        <v>397</v>
      </c>
      <c r="B47" t="s">
        <v>189</v>
      </c>
      <c r="C47" s="251">
        <f>SUM(C19:C46)</f>
        <v>64651</v>
      </c>
      <c r="D47" s="251">
        <f>SUM(D19:D46)</f>
        <v>0</v>
      </c>
      <c r="E47" s="251">
        <f>SUM(E19:E46)</f>
        <v>64651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3"/>
      <c r="D51" s="293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3"/>
      <c r="D52" s="293"/>
      <c r="E52" s="251">
        <f t="shared" si="1"/>
        <v>0</v>
      </c>
    </row>
    <row r="53" spans="1:5" ht="12.75">
      <c r="A53" t="s">
        <v>389</v>
      </c>
      <c r="B53" s="8" t="s">
        <v>188</v>
      </c>
      <c r="C53" s="293"/>
      <c r="D53" s="293"/>
      <c r="E53" s="251">
        <f t="shared" si="1"/>
        <v>0</v>
      </c>
    </row>
    <row r="54" spans="1:5" ht="12.75">
      <c r="A54" t="s">
        <v>437</v>
      </c>
      <c r="B54" s="8" t="s">
        <v>188</v>
      </c>
      <c r="C54" s="293"/>
      <c r="D54" s="293"/>
      <c r="E54" s="251">
        <f t="shared" si="1"/>
        <v>0</v>
      </c>
    </row>
    <row r="55" spans="1:5" ht="12.75">
      <c r="A55" s="67" t="s">
        <v>445</v>
      </c>
      <c r="B55" s="8" t="s">
        <v>188</v>
      </c>
      <c r="C55" s="293"/>
      <c r="D55" s="293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3"/>
      <c r="D56" s="293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3"/>
      <c r="D57" s="293"/>
      <c r="E57" s="251">
        <f t="shared" si="1"/>
        <v>0</v>
      </c>
    </row>
    <row r="58" spans="1:5" ht="12.75">
      <c r="A58" s="67" t="s">
        <v>456</v>
      </c>
      <c r="B58" s="8" t="s">
        <v>188</v>
      </c>
      <c r="C58" s="293"/>
      <c r="D58" s="293"/>
      <c r="E58" s="251">
        <f t="shared" si="1"/>
        <v>0</v>
      </c>
    </row>
    <row r="59" spans="1:5" ht="12.75">
      <c r="A59" s="67"/>
      <c r="B59" s="8" t="s">
        <v>188</v>
      </c>
      <c r="C59" s="293"/>
      <c r="D59" s="293"/>
      <c r="E59" s="251">
        <f t="shared" si="1"/>
        <v>0</v>
      </c>
    </row>
    <row r="60" spans="1:5" ht="12.75">
      <c r="A60" s="467" t="s">
        <v>394</v>
      </c>
      <c r="B60" s="8" t="s">
        <v>188</v>
      </c>
      <c r="C60" s="293"/>
      <c r="D60" s="293"/>
      <c r="E60" s="251">
        <f t="shared" si="1"/>
        <v>0</v>
      </c>
    </row>
    <row r="61" spans="2:5" ht="12.75">
      <c r="B61" s="8" t="s">
        <v>188</v>
      </c>
      <c r="C61" s="293"/>
      <c r="D61" s="293"/>
      <c r="E61" s="251">
        <f t="shared" si="1"/>
        <v>0</v>
      </c>
    </row>
    <row r="62" spans="1:5" ht="12.75">
      <c r="A62" s="467" t="s">
        <v>387</v>
      </c>
      <c r="B62" s="8" t="s">
        <v>188</v>
      </c>
      <c r="C62" s="293"/>
      <c r="D62" s="293"/>
      <c r="E62" s="251">
        <f aca="true" t="shared" si="2" ref="E62:E72">C62-D62</f>
        <v>0</v>
      </c>
    </row>
    <row r="63" spans="2:5" ht="12.75">
      <c r="B63" s="8" t="s">
        <v>188</v>
      </c>
      <c r="C63" s="293"/>
      <c r="D63" s="293"/>
      <c r="E63" s="251">
        <f t="shared" si="2"/>
        <v>0</v>
      </c>
    </row>
    <row r="64" spans="2:5" ht="12.75">
      <c r="B64" s="8" t="s">
        <v>188</v>
      </c>
      <c r="C64" s="293"/>
      <c r="D64" s="293"/>
      <c r="E64" s="251">
        <f t="shared" si="2"/>
        <v>0</v>
      </c>
    </row>
    <row r="65" spans="2:5" ht="12.75">
      <c r="B65" s="8" t="s">
        <v>188</v>
      </c>
      <c r="C65" s="293"/>
      <c r="D65" s="293"/>
      <c r="E65" s="251">
        <f t="shared" si="2"/>
        <v>0</v>
      </c>
    </row>
    <row r="66" spans="2:5" ht="12.75">
      <c r="B66" s="8" t="s">
        <v>188</v>
      </c>
      <c r="C66" s="293"/>
      <c r="D66" s="293"/>
      <c r="E66" s="251">
        <f t="shared" si="2"/>
        <v>0</v>
      </c>
    </row>
    <row r="67" spans="1:5" ht="12.75">
      <c r="A67" s="67"/>
      <c r="B67" s="8" t="s">
        <v>188</v>
      </c>
      <c r="C67" s="293"/>
      <c r="D67" s="293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3"/>
      <c r="D68" s="293"/>
      <c r="E68" s="251">
        <f t="shared" si="2"/>
        <v>0</v>
      </c>
    </row>
    <row r="69" spans="1:5" ht="12.75">
      <c r="A69" s="67"/>
      <c r="B69" s="8" t="s">
        <v>188</v>
      </c>
      <c r="C69" s="293"/>
      <c r="D69" s="293"/>
      <c r="E69" s="251">
        <f t="shared" si="2"/>
        <v>0</v>
      </c>
    </row>
    <row r="70" spans="1:5" ht="12.75">
      <c r="A70" s="67"/>
      <c r="B70" s="8" t="s">
        <v>188</v>
      </c>
      <c r="C70" s="293"/>
      <c r="D70" s="293"/>
      <c r="E70" s="251">
        <f t="shared" si="2"/>
        <v>0</v>
      </c>
    </row>
    <row r="71" spans="1:5" ht="12.75">
      <c r="A71" s="67"/>
      <c r="B71" s="8" t="s">
        <v>188</v>
      </c>
      <c r="C71" s="293"/>
      <c r="D71" s="293"/>
      <c r="E71" s="251">
        <f t="shared" si="2"/>
        <v>0</v>
      </c>
    </row>
    <row r="72" spans="1:5" ht="12.75">
      <c r="A72" s="67"/>
      <c r="B72" s="8" t="s">
        <v>188</v>
      </c>
      <c r="C72" s="293"/>
      <c r="D72" s="293"/>
      <c r="E72" s="278">
        <f t="shared" si="2"/>
        <v>0</v>
      </c>
    </row>
    <row r="73" spans="1:5" ht="12.75">
      <c r="A73" s="448" t="s">
        <v>396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9055118110236221" bottom="0.35433070866141736" header="0.2755905511811024" footer="0"/>
  <pageSetup fitToHeight="1" fitToWidth="1" horizontalDpi="600" verticalDpi="600" orientation="portrait" scale="66" r:id="rId1"/>
  <headerFooter alignWithMargins="0">
    <oddHeader>&amp;CPage &amp;P&amp;RSiouxLookout_HaltonModel_2005_PILs_Revised20110708_20111012_REVISED20120126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25">
      <selection activeCell="F50" sqref="F5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EB-2008-0381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Sioux Lookout Hydro Inc.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2005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4" t="s">
        <v>486</v>
      </c>
      <c r="B8" s="515"/>
      <c r="C8" s="515"/>
      <c r="D8" s="515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400001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488</v>
      </c>
      <c r="B10" s="326"/>
      <c r="C10" s="375" t="s">
        <v>111</v>
      </c>
      <c r="D10" s="375"/>
      <c r="E10" s="375" t="s">
        <v>111</v>
      </c>
      <c r="F10" s="376" t="s">
        <v>482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400000</v>
      </c>
      <c r="D11" s="377"/>
      <c r="E11" s="377">
        <v>1128000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9">
        <v>2005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0.1775</v>
      </c>
      <c r="F14" s="328">
        <v>0.2212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0.055</v>
      </c>
      <c r="D15" s="329"/>
      <c r="E15" s="330">
        <v>0.0975</v>
      </c>
      <c r="F15" s="330">
        <v>0.14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0.1862</v>
      </c>
      <c r="D16" s="331"/>
      <c r="E16" s="332">
        <f>SUM(E14:E15)</f>
        <v>0.275</v>
      </c>
      <c r="F16" s="332">
        <f>SUM(F14:F15)</f>
        <v>0.3612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0.00175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332</v>
      </c>
      <c r="B21" s="406" t="s">
        <v>487</v>
      </c>
      <c r="C21" s="361">
        <v>7500000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333</v>
      </c>
      <c r="B22" s="407" t="s">
        <v>481</v>
      </c>
      <c r="C22" s="362">
        <v>50000000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8" t="s">
        <v>493</v>
      </c>
      <c r="B23" s="509"/>
      <c r="C23" s="509"/>
      <c r="D23" s="509"/>
      <c r="E23" s="509"/>
      <c r="F23" s="509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4" t="s">
        <v>489</v>
      </c>
      <c r="B26" s="515"/>
      <c r="C26" s="515"/>
      <c r="D26" s="515"/>
      <c r="E26" s="515"/>
      <c r="F26" s="515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>
        <v>250001</v>
      </c>
      <c r="E27" s="367">
        <v>400001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441</v>
      </c>
      <c r="B28" s="326"/>
      <c r="C28" s="369" t="s">
        <v>111</v>
      </c>
      <c r="D28" s="369" t="s">
        <v>111</v>
      </c>
      <c r="E28" s="369" t="s">
        <v>111</v>
      </c>
      <c r="F28" s="370" t="s">
        <v>482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250000</v>
      </c>
      <c r="D29" s="371">
        <v>400000</v>
      </c>
      <c r="E29" s="371">
        <v>1128000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2005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9">
        <v>2005</v>
      </c>
      <c r="C32" s="327">
        <v>0.1312</v>
      </c>
      <c r="D32" s="327">
        <v>0.2212</v>
      </c>
      <c r="E32" s="328">
        <v>0.2212</v>
      </c>
      <c r="F32" s="328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2005</v>
      </c>
      <c r="C33" s="329">
        <v>0.055</v>
      </c>
      <c r="D33" s="329">
        <v>0.055</v>
      </c>
      <c r="E33" s="330">
        <v>0.0975</v>
      </c>
      <c r="F33" s="330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9">
        <v>2005</v>
      </c>
      <c r="C34" s="331">
        <f>SUM(C32:C33)</f>
        <v>0.1862</v>
      </c>
      <c r="D34" s="331">
        <f>SUM(D32:D33)</f>
        <v>0.2762</v>
      </c>
      <c r="E34" s="332">
        <f>SUM(E32:E33)</f>
        <v>0.3187</v>
      </c>
      <c r="F34" s="332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>
        <v>2005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>
        <v>2005</v>
      </c>
      <c r="C37" s="334">
        <v>0.002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>
        <v>2005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491</v>
      </c>
      <c r="B39" s="406" t="s">
        <v>487</v>
      </c>
      <c r="C39" s="361">
        <v>7500000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492</v>
      </c>
      <c r="B40" s="407" t="s">
        <v>481</v>
      </c>
      <c r="C40" s="362">
        <v>50000000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0" t="s">
        <v>335</v>
      </c>
      <c r="B41" s="509"/>
      <c r="C41" s="509"/>
      <c r="D41" s="509"/>
      <c r="E41" s="509"/>
      <c r="F41" s="509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1"/>
      <c r="B42" s="511"/>
      <c r="C42" s="511"/>
      <c r="D42" s="511"/>
      <c r="E42" s="511"/>
      <c r="F42" s="511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490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>
        <v>250001</v>
      </c>
      <c r="E45" s="367">
        <v>400001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 t="s">
        <v>111</v>
      </c>
      <c r="E46" s="369" t="s">
        <v>111</v>
      </c>
      <c r="F46" s="370" t="s">
        <v>482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250000</v>
      </c>
      <c r="D47" s="371">
        <v>400000</v>
      </c>
      <c r="E47" s="371">
        <v>1128000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2005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0.1312</v>
      </c>
      <c r="D50" s="351">
        <v>0.2212</v>
      </c>
      <c r="E50" s="352">
        <v>0.2212</v>
      </c>
      <c r="F50" s="352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0.055</v>
      </c>
      <c r="D51" s="353">
        <v>0.055</v>
      </c>
      <c r="E51" s="354">
        <v>0.14</v>
      </c>
      <c r="F51" s="354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0.1862</v>
      </c>
      <c r="D52" s="331">
        <f>SUM(D50:D51)</f>
        <v>0.2762</v>
      </c>
      <c r="E52" s="332">
        <f>SUM(E50:E51)</f>
        <v>0.3612</v>
      </c>
      <c r="F52" s="332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349</v>
      </c>
      <c r="B57" s="406" t="s">
        <v>487</v>
      </c>
      <c r="C57" s="361">
        <v>6955928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350</v>
      </c>
      <c r="B58" s="407" t="s">
        <v>481</v>
      </c>
      <c r="C58" s="362">
        <v>45995000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8" t="s">
        <v>351</v>
      </c>
      <c r="B59" s="512"/>
      <c r="C59" s="512"/>
      <c r="D59" s="512"/>
      <c r="E59" s="512"/>
      <c r="F59" s="512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3"/>
      <c r="B60" s="513"/>
      <c r="C60" s="513"/>
      <c r="D60" s="513"/>
      <c r="E60" s="513"/>
      <c r="F60" s="513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9055118110236221" bottom="0.35433070866141736" header="0.2755905511811024" footer="0"/>
  <pageSetup fitToHeight="1" fitToWidth="1" horizontalDpi="600" verticalDpi="600" orientation="portrait" scale="72" r:id="rId1"/>
  <headerFooter alignWithMargins="0">
    <oddHeader>&amp;CPage &amp;P&amp;RSiouxLookout_HaltonModel_2005_PILs_Revised20110708_20111012_REVISED20120126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D7">
      <selection activeCell="N19" sqref="N1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EB-2008-0381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Sioux Lookout Hydro Inc.</v>
      </c>
      <c r="O3" s="416" t="str">
        <f>REGINFO!E1</f>
        <v>Version 2009.1</v>
      </c>
    </row>
    <row r="4" spans="1:15" ht="12.75">
      <c r="A4" s="2" t="str">
        <f>REGINFO!A4</f>
        <v>Reporting period:  2005</v>
      </c>
      <c r="E4" s="417" t="s">
        <v>321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40160</v>
      </c>
      <c r="F11" s="419"/>
      <c r="G11" s="396">
        <f>E22</f>
        <v>65521</v>
      </c>
      <c r="H11" s="419"/>
      <c r="I11" s="396">
        <f>G22</f>
        <v>14122</v>
      </c>
      <c r="J11" s="390"/>
      <c r="K11" s="396">
        <f>I22</f>
        <v>-30789.25</v>
      </c>
      <c r="L11" s="390"/>
      <c r="M11" s="396">
        <f>K22</f>
        <v>-91208</v>
      </c>
      <c r="N11" s="390"/>
      <c r="O11" s="396">
        <f>C11</f>
        <v>0</v>
      </c>
    </row>
    <row r="12" spans="1:17" ht="27" customHeight="1">
      <c r="A12" s="81" t="s">
        <v>398</v>
      </c>
      <c r="B12" s="66" t="s">
        <v>190</v>
      </c>
      <c r="C12" s="395">
        <v>39439</v>
      </c>
      <c r="D12" s="391"/>
      <c r="E12" s="395">
        <v>123954</v>
      </c>
      <c r="F12" s="95"/>
      <c r="G12" s="418">
        <f>C12+E12</f>
        <v>163393</v>
      </c>
      <c r="H12" s="95"/>
      <c r="I12" s="418">
        <f>(E12/12*9)+(G12/12*3)</f>
        <v>133813.75</v>
      </c>
      <c r="J12" s="391"/>
      <c r="K12" s="418">
        <f>E12/12*3</f>
        <v>30988.5</v>
      </c>
      <c r="L12" s="391"/>
      <c r="M12" s="500">
        <f>49365/12*4</f>
        <v>16455</v>
      </c>
      <c r="N12" s="391"/>
      <c r="O12" s="396">
        <f aca="true" t="shared" si="0" ref="O12:O20">SUM(C12:N12)</f>
        <v>508043.25</v>
      </c>
      <c r="Q12" s="22"/>
    </row>
    <row r="13" spans="1:15" ht="27" customHeight="1">
      <c r="A13" s="81" t="s">
        <v>440</v>
      </c>
      <c r="B13" s="66"/>
      <c r="C13" s="395"/>
      <c r="D13" s="95"/>
      <c r="E13" s="395"/>
      <c r="F13" s="95"/>
      <c r="G13" s="395"/>
      <c r="H13" s="95"/>
      <c r="I13" s="395"/>
      <c r="J13" s="391"/>
      <c r="K13" s="502">
        <f>49365/12*9</f>
        <v>37023.75</v>
      </c>
      <c r="L13" s="391"/>
      <c r="M13" s="395"/>
      <c r="N13" s="391"/>
      <c r="O13" s="396">
        <f t="shared" si="0"/>
        <v>37023.75</v>
      </c>
    </row>
    <row r="14" spans="1:15" ht="38.25">
      <c r="A14" s="81" t="s">
        <v>399</v>
      </c>
      <c r="B14" s="66" t="s">
        <v>190</v>
      </c>
      <c r="C14" s="395">
        <v>0</v>
      </c>
      <c r="D14" s="391"/>
      <c r="E14" s="395">
        <v>0</v>
      </c>
      <c r="F14" s="95"/>
      <c r="G14" s="395"/>
      <c r="H14" s="95"/>
      <c r="I14" s="395">
        <v>0</v>
      </c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400</v>
      </c>
      <c r="B15" s="66" t="s">
        <v>190</v>
      </c>
      <c r="C15" s="395"/>
      <c r="D15" s="391"/>
      <c r="E15" s="395"/>
      <c r="F15" s="95"/>
      <c r="G15" s="395">
        <v>-7244</v>
      </c>
      <c r="H15" s="95"/>
      <c r="I15" s="395">
        <v>0</v>
      </c>
      <c r="J15" s="391"/>
      <c r="K15" s="395">
        <v>0</v>
      </c>
      <c r="L15" s="391"/>
      <c r="M15" s="395">
        <f>SUM(TAXCALC!E132)</f>
        <v>5711.713212121213</v>
      </c>
      <c r="N15" s="391"/>
      <c r="O15" s="396">
        <f t="shared" si="0"/>
        <v>-1532.2867878787874</v>
      </c>
    </row>
    <row r="16" spans="1:15" ht="27" customHeight="1">
      <c r="A16" s="81" t="s">
        <v>401</v>
      </c>
      <c r="B16" s="66"/>
      <c r="C16" s="395"/>
      <c r="D16" s="391"/>
      <c r="E16" s="395">
        <v>-13777</v>
      </c>
      <c r="F16" s="95"/>
      <c r="G16" s="395"/>
      <c r="H16" s="95"/>
      <c r="I16" s="395"/>
      <c r="J16" s="391"/>
      <c r="K16" s="395">
        <v>0</v>
      </c>
      <c r="L16" s="391"/>
      <c r="M16" s="395"/>
      <c r="N16" s="391"/>
      <c r="O16" s="396">
        <f t="shared" si="0"/>
        <v>-13777</v>
      </c>
    </row>
    <row r="17" spans="1:15" ht="27.75" customHeight="1">
      <c r="A17" s="81" t="s">
        <v>402</v>
      </c>
      <c r="B17" s="66" t="s">
        <v>190</v>
      </c>
      <c r="C17" s="395"/>
      <c r="D17" s="391"/>
      <c r="E17" s="395"/>
      <c r="F17" s="95"/>
      <c r="G17" s="395">
        <v>-53425</v>
      </c>
      <c r="H17" s="95"/>
      <c r="I17" s="395">
        <v>-40174</v>
      </c>
      <c r="J17" s="391"/>
      <c r="K17" s="395">
        <v>-44659</v>
      </c>
      <c r="L17" s="391"/>
      <c r="M17" s="395">
        <f>SUM(TAXCALC!E181)</f>
        <v>0</v>
      </c>
      <c r="N17" s="391"/>
      <c r="O17" s="396">
        <f t="shared" si="0"/>
        <v>-138258</v>
      </c>
    </row>
    <row r="18" spans="1:15" ht="25.5">
      <c r="A18" s="81" t="s">
        <v>403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7" ht="24" customHeight="1">
      <c r="A19" s="432" t="s">
        <v>404</v>
      </c>
      <c r="B19" s="66" t="s">
        <v>190</v>
      </c>
      <c r="C19" s="395">
        <v>721</v>
      </c>
      <c r="D19" s="391"/>
      <c r="E19" s="395">
        <v>3646</v>
      </c>
      <c r="F19" s="95"/>
      <c r="G19" s="395">
        <v>2481</v>
      </c>
      <c r="H19" s="95"/>
      <c r="I19" s="395">
        <v>-1062</v>
      </c>
      <c r="J19" s="391"/>
      <c r="K19" s="395">
        <v>-4672</v>
      </c>
      <c r="L19" s="391"/>
      <c r="M19" s="395">
        <v>-2019</v>
      </c>
      <c r="N19" s="391"/>
      <c r="O19" s="396">
        <f t="shared" si="0"/>
        <v>-905</v>
      </c>
      <c r="Q19" s="22"/>
    </row>
    <row r="20" spans="1:17" ht="24.75" customHeight="1">
      <c r="A20" s="81" t="s">
        <v>470</v>
      </c>
      <c r="B20" s="66" t="s">
        <v>188</v>
      </c>
      <c r="C20" s="395">
        <v>0</v>
      </c>
      <c r="D20" s="391"/>
      <c r="E20" s="395">
        <v>-88462</v>
      </c>
      <c r="F20" s="95"/>
      <c r="G20" s="395">
        <v>-156604</v>
      </c>
      <c r="H20" s="95"/>
      <c r="I20" s="395">
        <v>-137489</v>
      </c>
      <c r="J20" s="391"/>
      <c r="K20" s="395">
        <v>-79100</v>
      </c>
      <c r="L20" s="391"/>
      <c r="M20" s="395">
        <v>-24708</v>
      </c>
      <c r="N20" s="391"/>
      <c r="O20" s="396">
        <f t="shared" si="0"/>
        <v>-486363</v>
      </c>
      <c r="Q20" s="493"/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9" ht="13.5" thickBot="1">
      <c r="A22" s="81" t="s">
        <v>374</v>
      </c>
      <c r="B22" s="34"/>
      <c r="C22" s="397">
        <f>SUM(C11:C20)</f>
        <v>40160</v>
      </c>
      <c r="D22" s="419"/>
      <c r="E22" s="397">
        <f>SUM(E11:E20)</f>
        <v>65521</v>
      </c>
      <c r="F22" s="419"/>
      <c r="G22" s="397">
        <f>SUM(G11:G20)</f>
        <v>14122</v>
      </c>
      <c r="H22" s="419"/>
      <c r="I22" s="397">
        <f>SUM(I11:I20)</f>
        <v>-30789.25</v>
      </c>
      <c r="J22" s="390"/>
      <c r="K22" s="397">
        <f>SUM(K11:K20)</f>
        <v>-91208</v>
      </c>
      <c r="L22" s="390"/>
      <c r="M22" s="397">
        <f>SUM(M11:M21)</f>
        <v>-95768.28678787878</v>
      </c>
      <c r="N22" s="390"/>
      <c r="O22" s="488">
        <f>SUM(O11:O20)</f>
        <v>-95768.28678787884</v>
      </c>
      <c r="Q22">
        <v>13968</v>
      </c>
      <c r="S22" s="22">
        <f>+Q22-O22</f>
        <v>109736.28678787884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5"/>
      <c r="B24" s="456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8"/>
    </row>
    <row r="25" spans="1:15" ht="12.75">
      <c r="A25" s="433"/>
      <c r="B25" s="434"/>
      <c r="C25" s="459"/>
      <c r="D25" s="459"/>
      <c r="E25" s="459"/>
      <c r="F25" s="459"/>
      <c r="G25" s="459"/>
      <c r="H25" s="459"/>
      <c r="I25" s="459"/>
      <c r="J25" s="460"/>
      <c r="K25" s="459"/>
      <c r="L25" s="461"/>
      <c r="M25" s="462"/>
      <c r="N25" s="461"/>
      <c r="O25" s="462"/>
    </row>
    <row r="26" spans="1:15" ht="12.75">
      <c r="A26" s="433" t="s">
        <v>405</v>
      </c>
      <c r="B26" s="434"/>
      <c r="C26" s="459"/>
      <c r="D26" s="459"/>
      <c r="E26" s="459"/>
      <c r="F26" s="459"/>
      <c r="G26" s="459"/>
      <c r="H26" s="459"/>
      <c r="I26" s="459"/>
      <c r="J26" s="460"/>
      <c r="K26" s="459"/>
      <c r="L26" s="461"/>
      <c r="M26" s="462"/>
      <c r="N26" s="461"/>
      <c r="O26" s="462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406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407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0" t="s">
        <v>408</v>
      </c>
      <c r="B31" s="80"/>
      <c r="C31" s="80"/>
      <c r="D31" s="80"/>
      <c r="E31" s="80"/>
      <c r="F31" s="80"/>
      <c r="G31" s="80"/>
      <c r="H31" s="80"/>
      <c r="I31" s="447"/>
      <c r="J31" s="447"/>
      <c r="K31" s="501" t="s">
        <v>507</v>
      </c>
      <c r="L31" s="447"/>
      <c r="M31" s="447"/>
      <c r="N31" s="447"/>
      <c r="O31" s="447"/>
    </row>
    <row r="32" spans="1:15" ht="9" customHeight="1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</row>
    <row r="33" spans="1:19" ht="12.75">
      <c r="A33" s="517" t="s">
        <v>409</v>
      </c>
      <c r="B33" s="518"/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420"/>
      <c r="Q33" s="420"/>
      <c r="R33" s="420"/>
      <c r="S33" s="420"/>
    </row>
    <row r="34" spans="1:19" ht="12.75">
      <c r="A34" s="516" t="s">
        <v>410</v>
      </c>
      <c r="B34" s="519"/>
      <c r="C34" s="519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420"/>
      <c r="Q34" s="420"/>
      <c r="R34" s="420"/>
      <c r="S34" s="420"/>
    </row>
    <row r="35" spans="1:19" ht="12.75">
      <c r="A35" s="516" t="s">
        <v>431</v>
      </c>
      <c r="B35" s="519"/>
      <c r="C35" s="519"/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420"/>
      <c r="Q35" s="420"/>
      <c r="R35" s="420"/>
      <c r="S35" s="420"/>
    </row>
    <row r="36" spans="1:19" ht="12.75">
      <c r="A36" s="516" t="s">
        <v>411</v>
      </c>
      <c r="B36" s="518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420"/>
      <c r="Q36" s="420"/>
      <c r="R36" s="420"/>
      <c r="S36" s="420"/>
    </row>
    <row r="37" spans="1:19" ht="12.75">
      <c r="A37" s="437" t="s">
        <v>371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372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412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413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414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415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416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417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418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419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420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417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421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422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423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424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425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381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426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427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383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382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384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428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429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430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16" t="s">
        <v>460</v>
      </c>
      <c r="B74" s="516"/>
      <c r="C74" s="516"/>
      <c r="D74" s="516"/>
      <c r="E74" s="516"/>
      <c r="F74" s="516"/>
      <c r="G74" s="516"/>
      <c r="H74" s="516"/>
      <c r="I74" s="516"/>
      <c r="J74" s="516"/>
      <c r="K74" s="516"/>
      <c r="L74" s="516"/>
      <c r="M74" s="516"/>
      <c r="N74" s="516"/>
      <c r="O74" s="516"/>
    </row>
    <row r="75" spans="1:15" ht="12.75">
      <c r="A75" s="434" t="s">
        <v>373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16"/>
      <c r="D92" s="516"/>
      <c r="E92" s="516"/>
      <c r="F92" s="516"/>
      <c r="G92" s="516"/>
      <c r="H92" s="516"/>
      <c r="I92" s="516"/>
      <c r="J92" s="516"/>
      <c r="K92" s="516"/>
      <c r="L92" s="516"/>
      <c r="M92" s="516"/>
      <c r="N92" s="516"/>
      <c r="O92" s="516"/>
      <c r="P92" s="516"/>
      <c r="Q92" s="516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9055118110236221" bottom="0.35433070866141736" header="0.2755905511811024" footer="0"/>
  <pageSetup fitToHeight="1" fitToWidth="1" horizontalDpi="600" verticalDpi="600" orientation="portrait" scale="66" r:id="rId3"/>
  <headerFooter alignWithMargins="0">
    <oddHeader>&amp;CPage &amp;P&amp;RSiouxLookout_HaltonModel_2005_PILs_Revised20110708_20111012_REVISED20120126</oddHeader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Deanne</cp:lastModifiedBy>
  <cp:lastPrinted>2012-01-31T15:47:22Z</cp:lastPrinted>
  <dcterms:created xsi:type="dcterms:W3CDTF">2001-11-07T16:15:53Z</dcterms:created>
  <dcterms:modified xsi:type="dcterms:W3CDTF">2012-01-31T15:48:22Z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