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<sst xmlns="http://schemas.openxmlformats.org/spreadsheetml/2006/main" count="916" uniqueCount="521">
  <si>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</si>
  <si>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</si>
  <si>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</si>
  <si>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</si>
  <si>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</si>
  <si>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</si>
  <si>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</si>
  <si>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</si>
  <si>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</si>
  <si>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</si>
  <si>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</si>
  <si>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</si>
  <si>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</si>
  <si>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</si>
  <si>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</si>
  <si>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</si>
  <si>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</si>
  <si>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</si>
  <si>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</si>
  <si>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</si>
  <si>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</si>
  <si>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</si>
  <si>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</si>
  <si>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</si>
  <si>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</si>
  <si>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</si>
  <si>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</si>
  <si>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</si>
  <si>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</si>
  <si>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</si>
  <si>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</si>
  <si>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</si>
  <si>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</si>
  <si>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</si>
  <si>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</si>
  <si>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</si>
  <si>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</si>
  <si>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</si>
  <si>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</si>
  <si>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</si>
  <si>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</si>
  <si>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</si>
  <si>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</si>
  <si>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</si>
  <si>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</si>
  <si>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</si>
  <si>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</si>
  <si>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</si>
  <si>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</si>
  <si>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</si>
  <si>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</si>
  <si>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</si>
  <si>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</si>
  <si>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</si>
  <si>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</si>
  <si>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</si>
  <si>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</si>
  <si>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</si>
  <si>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</si>
  <si>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</si>
  <si>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</si>
  <si>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</si>
  <si>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</si>
  <si>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</si>
  <si>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</si>
  <si>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</si>
  <si>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</si>
  <si>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</si>
  <si>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</si>
  <si>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</si>
  <si>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</si>
  <si>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</si>
  <si>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</si>
  <si>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</si>
  <si>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</si>
  <si>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</si>
  <si>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</si>
  <si>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</si>
  <si>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</si>
  <si>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</si>
  <si>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</si>
  <si>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</si>
  <si>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</si>
  <si>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</si>
  <si>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</si>
  <si>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</si>
  <si>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</si>
  <si>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</si>
  <si>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</si>
  <si>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</si>
  <si>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</si>
  <si>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</si>
  <si>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</si>
  <si>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</si>
  <si>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</si>
  <si>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</si>
  <si>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</si>
  <si>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</si>
  <si>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</si>
  <si>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</si>
  <si>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</si>
  <si>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</si>
  <si>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</si>
  <si>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</si>
  <si>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</si>
  <si>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</si>
  <si>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</si>
  <si>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</si>
  <si>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</si>
  <si>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</si>
  <si>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</si>
  <si>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</si>
  <si>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</si>
  <si>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</si>
  <si>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</si>
  <si>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</si>
  <si>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</si>
  <si>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</si>
  <si>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</si>
  <si>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</si>
  <si>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</si>
  <si>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</si>
  <si>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</si>
  <si>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</si>
  <si>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</si>
  <si>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</si>
  <si>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</si>
  <si>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</si>
  <si>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</si>
  <si>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</si>
  <si>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</si>
  <si>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</si>
  <si>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</si>
  <si>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</si>
  <si>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</si>
  <si>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</si>
  <si>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</si>
  <si>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</si>
  <si>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</si>
  <si>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</si>
  <si>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</si>
  <si>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</si>
  <si>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</si>
  <si>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</si>
  <si>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</si>
  <si>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</si>
  <si>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</si>
  <si>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</si>
  <si>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</si>
  <si>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</si>
  <si>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</si>
  <si>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</si>
  <si>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</si>
  <si>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</si>
  <si>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</si>
  <si>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</si>
  <si>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</si>
  <si>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</si>
  <si>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</si>
  <si>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</si>
  <si>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</si>
  <si>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</si>
  <si>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</si>
  <si>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</si>
  <si>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</si>
  <si>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</si>
  <si>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</si>
  <si>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</si>
  <si>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</si>
  <si>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</si>
  <si>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</si>
  <si>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</si>
  <si>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</si>
  <si>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</si>
  <si>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</si>
  <si>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</si>
  <si>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</si>
  <si>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</si>
  <si>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</si>
  <si>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</si>
  <si>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</si>
  <si>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</si>
  <si>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</si>
  <si>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</si>
  <si>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</si>
  <si>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</si>
  <si>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</si>
  <si>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</si>
  <si>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</si>
  <si>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</si>
  <si>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</si>
  <si>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</si>
  <si>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</si>
  <si>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</si>
  <si>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</si>
  <si>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</si>
  <si>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</si>
  <si>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</si>
  <si>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</si>
  <si>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</si>
  <si>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</si>
  <si>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</si>
  <si>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</si>
  <si>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</si>
  <si>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</si>
  <si>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</si>
  <si>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</si>
  <si>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</si>
  <si>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</si>
  <si>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</si>
  <si>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</si>
  <si>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</si>
  <si>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</si>
  <si>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</si>
  <si>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</si>
  <si>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</si>
  <si>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</si>
  <si>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</si>
  <si>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</si>
  <si>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</si>
  <si>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</si>
  <si>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</si>
  <si>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</si>
  <si>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</si>
  <si>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</si>
  <si>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</si>
  <si>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</si>
  <si>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</si>
  <si>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</si>
  <si>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</si>
  <si>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</si>
  <si>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</si>
  <si>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</si>
  <si>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</si>
  <si>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</si>
  <si>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</si>
  <si>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</si>
  <si>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</si>
  <si>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</si>
  <si>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</si>
  <si>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</si>
  <si>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</si>
  <si>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</si>
  <si>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</si>
  <si>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</si>
  <si>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</si>
  <si>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</si>
  <si>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</si>
  <si>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</si>
  <si>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</si>
  <si>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</si>
  <si>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</si>
  <si>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</si>
  <si>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</si>
  <si>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</si>
  <si>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</si>
  <si>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</si>
  <si>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</si>
  <si>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</si>
  <si>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</si>
  <si>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</si>
  <si>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</si>
  <si>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</si>
  <si>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</si>
  <si>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</si>
  <si>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</si>
  <si>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</si>
  <si>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</si>
  <si>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</si>
  <si>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</si>
  <si>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</si>
  <si>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</si>
  <si>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</si>
  <si>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</si>
  <si>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</si>
  <si>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</si>
  <si>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</si>
  <si>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</si>
  <si>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</si>
  <si>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</si>
  <si>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</si>
  <si>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</si>
  <si>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</si>
  <si>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</si>
  <si>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</si>
  <si>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</si>
  <si>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</si>
  <si>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</si>
  <si>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</si>
  <si>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</si>
  <si>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</si>
  <si>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</si>
  <si>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</si>
  <si>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</si>
  <si>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</si>
  <si>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</si>
  <si>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</si>
  <si>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</si>
  <si>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</si>
  <si>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</si>
  <si>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</si>
  <si>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</si>
  <si>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</si>
  <si>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</si>
  <si>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</si>
  <si>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</si>
  <si>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</si>
  <si>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</si>
  <si>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</si>
  <si>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</si>
  <si>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</si>
  <si>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</si>
  <si>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</si>
  <si>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</si>
  <si>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</si>
  <si>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</si>
  <si>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</si>
  <si>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</si>
  <si>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</si>
  <si>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</si>
  <si>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</si>
  <si>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</si>
  <si>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</si>
  <si>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</si>
  <si>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</si>
  <si>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</si>
  <si>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</si>
  <si>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</si>
  <si>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</si>
  <si>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</si>
  <si>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</si>
  <si>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</si>
  <si>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</si>
  <si>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</si>
  <si>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</si>
  <si>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</si>
  <si>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</si>
  <si>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</si>
  <si>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</si>
  <si>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</si>
  <si>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</si>
  <si>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</si>
  <si>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</si>
  <si>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</si>
  <si>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</si>
  <si>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</si>
  <si>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</si>
  <si>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</si>
  <si>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</si>
  <si>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</si>
  <si>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</si>
  <si>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</si>
  <si>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</si>
  <si>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</si>
  <si>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</si>
  <si>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</si>
  <si>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</si>
  <si>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</si>
  <si>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</si>
  <si>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</si>
  <si>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</si>
  <si>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</si>
  <si>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</si>
  <si>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</si>
  <si>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</si>
  <si>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</si>
  <si>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</si>
  <si>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</si>
  <si>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</si>
  <si>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</si>
  <si>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</si>
  <si>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</si>
  <si>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</si>
  <si>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</si>
  <si>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</si>
  <si>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</si>
  <si>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</si>
  <si>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</si>
  <si>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</si>
  <si>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</si>
  <si>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</si>
  <si>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</si>
  <si>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</si>
  <si>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</si>
  <si>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</si>
  <si>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</si>
  <si>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</si>
  <si>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</si>
  <si>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</si>
  <si>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</si>
  <si>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</si>
  <si>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</si>
  <si>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</si>
  <si>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</si>
  <si>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</si>
  <si>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</si>
  <si>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</si>
  <si>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</si>
  <si>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</si>
  <si>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</si>
  <si>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</si>
  <si>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</si>
  <si>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</si>
  <si>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</si>
  <si>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</si>
  <si>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</si>
  <si>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</si>
  <si>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</si>
  <si>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</si>
  <si>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</si>
  <si>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</si>
  <si>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</si>
  <si>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</si>
  <si>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</si>
  <si>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</si>
  <si>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</si>
  <si>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</si>
  <si>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</si>
  <si>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</si>
  <si>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</si>
  <si>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</si>
  <si>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</si>
  <si>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</si>
  <si>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</si>
  <si>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</si>
  <si>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</si>
  <si>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</si>
  <si>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</si>
  <si>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</si>
  <si>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</si>
  <si>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</si>
  <si>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</si>
  <si>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</si>
  <si>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</si>
  <si>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</si>
  <si>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</si>
  <si>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</si>
  <si>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</si>
  <si>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</si>
  <si>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</si>
  <si>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</si>
  <si>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</si>
  <si>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</si>
  <si>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</si>
  <si>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</si>
  <si>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</si>
  <si>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</si>
  <si>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</si>
  <si>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</si>
  <si>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</si>
  <si>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</si>
  <si>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</si>
  <si>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</si>
  <si>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</si>
  <si>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</si>
  <si>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</si>
  <si>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</si>
  <si>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</si>
  <si>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</si>
  <si>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</si>
  <si>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</si>
  <si>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</si>
  <si>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</si>
  <si>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</si>
  <si>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</si>
  <si>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</si>
  <si>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</si>
  <si>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</si>
  <si>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</si>
  <si>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</si>
  <si>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</si>
  <si>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</si>
  <si>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</si>
  <si>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</si>
  <si>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</si>
  <si>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</si>
  <si>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</si>
  <si>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</si>
  <si>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</si>
  <si>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</si>
  <si>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</si>
  <si>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</si>
  <si>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</si>
  <si>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</si>
  <si>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</si>
  <si>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</si>
  <si>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</si>
  <si>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</si>
  <si>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</si>
  <si>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</si>
  <si>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</si>
  <si>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</si>
  <si>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</si>
  <si>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</si>
  <si>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</si>
  <si>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</si>
  <si>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</si>
  <si>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</si>
  <si>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</si>
  <si>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</si>
  <si>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</si>
  <si>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</si>
  <si>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</si>
  <si>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</si>
  <si>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</si>
  <si>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</si>
  <si>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</si>
  <si>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</si>
  <si>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</si>
  <si>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Y</t>
  </si>
  <si>
    <t>N</t>
  </si>
  <si>
    <t xml:space="preserve">  Interest on Deposits  and Future Pension Benefits </t>
  </si>
  <si>
    <t>Loss on employee future benefit plans</t>
  </si>
  <si>
    <t>adjusted per Duncan</t>
  </si>
  <si>
    <t>ok</t>
  </si>
  <si>
    <t>Financially distressed</t>
  </si>
  <si>
    <t xml:space="preserve">Note: 2002 Decision is $16,207 whereas the 2004 RAM Sheet 7 </t>
  </si>
  <si>
    <t>indicates $15,985.00    Difference of $22 is immaterial (NW)</t>
  </si>
  <si>
    <t>REFER TO APPENDIX 1 - CONTINUITY WORKING PAPER</t>
  </si>
  <si>
    <t>Mthod 3</t>
  </si>
  <si>
    <t>Utility Name: West Nipissing Energy Services Ltd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</si>
</sst>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62" applyNumberFormat="1" applyFont="1" applyFill="1" applyBorder="1" applyAlignment="1" applyProtection="1" quotePrefix="1">
      <alignment vertical="top"/>
      <protection/>
    </xf>
    <xf numFmtId="3" fontId="0" fillId="35" borderId="47" xfId="62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62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3" borderId="0" xfId="0" applyNumberFormat="1" applyFill="1" applyAlignment="1">
      <alignment horizontal="center" vertical="top"/>
    </xf>
    <xf numFmtId="37" fontId="0" fillId="43" borderId="0" xfId="0" applyNumberFormat="1" applyFill="1" applyAlignment="1">
      <alignment vertical="top"/>
    </xf>
    <xf numFmtId="10" fontId="0" fillId="43" borderId="0" xfId="0" applyNumberFormat="1" applyFill="1" applyAlignment="1">
      <alignment vertical="top"/>
    </xf>
    <xf numFmtId="3" fontId="0" fillId="43" borderId="0" xfId="0" applyNumberFormat="1" applyFill="1" applyAlignment="1">
      <alignment vertical="top"/>
    </xf>
    <xf numFmtId="3" fontId="0" fillId="44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horizontal="right" vertical="top"/>
    </xf>
    <xf numFmtId="3" fontId="0" fillId="43" borderId="14" xfId="0" applyNumberFormat="1" applyFill="1" applyBorder="1" applyAlignment="1">
      <alignment horizontal="right" vertical="top"/>
    </xf>
    <xf numFmtId="3" fontId="0" fillId="43" borderId="14" xfId="0" applyNumberFormat="1" applyFill="1" applyBorder="1" applyAlignment="1" applyProtection="1">
      <alignment horizontal="right" vertical="top"/>
      <protection locked="0"/>
    </xf>
    <xf numFmtId="3" fontId="0" fillId="43" borderId="14" xfId="0" applyNumberFormat="1" applyFill="1" applyBorder="1" applyAlignment="1">
      <alignment vertical="top"/>
    </xf>
    <xf numFmtId="10" fontId="0" fillId="43" borderId="14" xfId="0" applyNumberFormat="1" applyFill="1" applyBorder="1" applyAlignment="1">
      <alignment vertical="top"/>
    </xf>
    <xf numFmtId="37" fontId="0" fillId="43" borderId="14" xfId="0" applyNumberFormat="1" applyFill="1" applyBorder="1" applyAlignment="1">
      <alignment vertical="top"/>
    </xf>
    <xf numFmtId="3" fontId="0" fillId="43" borderId="14" xfId="0" applyNumberFormat="1" applyFill="1" applyBorder="1" applyAlignment="1" applyProtection="1">
      <alignment vertical="top"/>
      <protection/>
    </xf>
    <xf numFmtId="3" fontId="0" fillId="43" borderId="14" xfId="0" applyNumberFormat="1" applyFill="1" applyBorder="1" applyAlignment="1">
      <alignment/>
    </xf>
    <xf numFmtId="10" fontId="0" fillId="43" borderId="51" xfId="0" applyNumberFormat="1" applyFill="1" applyBorder="1" applyAlignment="1" applyProtection="1">
      <alignment horizontal="center" vertical="top"/>
      <protection locked="0"/>
    </xf>
    <xf numFmtId="10" fontId="0" fillId="43" borderId="10" xfId="0" applyNumberFormat="1" applyFill="1" applyBorder="1" applyAlignment="1" applyProtection="1">
      <alignment horizontal="center" vertical="top"/>
      <protection locked="0"/>
    </xf>
    <xf numFmtId="3" fontId="0" fillId="43" borderId="14" xfId="0" applyNumberFormat="1" applyFill="1" applyBorder="1" applyAlignment="1" applyProtection="1">
      <alignment horizontal="center" vertical="center"/>
      <protection locked="0"/>
    </xf>
    <xf numFmtId="3" fontId="0" fillId="43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4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4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4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7" fontId="8" fillId="0" borderId="18" xfId="0" applyNumberFormat="1" applyFont="1" applyBorder="1" applyAlignment="1">
      <alignment horizontal="right" vertical="top"/>
    </xf>
    <xf numFmtId="3" fontId="0" fillId="39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 applyProtection="1">
      <alignment/>
      <protection/>
    </xf>
    <xf numFmtId="0" fontId="0" fillId="39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Total 2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7.7109375" style="0" customWidth="1"/>
    <col min="2" max="2" width="11.4218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520</v>
      </c>
      <c r="C3" s="8"/>
      <c r="D3" s="447" t="s">
        <v>442</v>
      </c>
      <c r="E3" s="8"/>
      <c r="F3" s="8"/>
      <c r="G3" s="8"/>
      <c r="H3" s="8"/>
    </row>
    <row r="4" spans="1:8" ht="12.75">
      <c r="A4" s="2" t="s">
        <v>477</v>
      </c>
      <c r="C4" s="8"/>
      <c r="D4" s="446" t="s">
        <v>437</v>
      </c>
      <c r="E4" s="420"/>
      <c r="H4" s="8"/>
    </row>
    <row r="5" spans="1:8" ht="12.75">
      <c r="A5" s="51"/>
      <c r="C5" s="8"/>
      <c r="D5" s="445" t="s">
        <v>438</v>
      </c>
      <c r="E5" s="397"/>
      <c r="H5" s="8"/>
    </row>
    <row r="6" spans="1:8" ht="12.75">
      <c r="A6" s="2" t="s">
        <v>126</v>
      </c>
      <c r="B6" s="387">
        <v>366</v>
      </c>
      <c r="C6" s="8" t="s">
        <v>127</v>
      </c>
      <c r="D6" s="21"/>
      <c r="H6" s="8"/>
    </row>
    <row r="7" spans="1:8" ht="13.5" thickBot="1">
      <c r="A7" s="51" t="s">
        <v>253</v>
      </c>
      <c r="B7" s="247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 t="s">
        <v>509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 t="s">
        <v>510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6" t="s">
        <v>510</v>
      </c>
    </row>
    <row r="18" spans="1:4" ht="15" customHeight="1">
      <c r="A18" s="388" t="s">
        <v>312</v>
      </c>
      <c r="C18" s="8"/>
      <c r="D18" s="8"/>
    </row>
    <row r="19" spans="1:4" ht="15" customHeight="1">
      <c r="A19" s="522" t="s">
        <v>313</v>
      </c>
      <c r="B19" s="8" t="s">
        <v>310</v>
      </c>
      <c r="C19" s="8" t="s">
        <v>64</v>
      </c>
      <c r="D19" s="387" t="s">
        <v>509</v>
      </c>
    </row>
    <row r="20" spans="1:4" ht="13.5" thickBot="1">
      <c r="A20" s="523"/>
      <c r="B20" s="8" t="s">
        <v>311</v>
      </c>
      <c r="C20" s="8" t="s">
        <v>64</v>
      </c>
      <c r="D20" s="256" t="s">
        <v>509</v>
      </c>
    </row>
    <row r="21" spans="1:4" ht="12.75">
      <c r="A21" s="522" t="s">
        <v>309</v>
      </c>
      <c r="B21" s="8" t="s">
        <v>310</v>
      </c>
      <c r="C21" s="8"/>
      <c r="D21" s="479">
        <v>0.91</v>
      </c>
    </row>
    <row r="22" spans="1:4" ht="12.75">
      <c r="A22" s="522"/>
      <c r="B22" s="8" t="s">
        <v>311</v>
      </c>
      <c r="C22" s="8"/>
      <c r="D22" s="479">
        <v>1</v>
      </c>
    </row>
    <row r="23" spans="1:4" ht="7.5" customHeight="1">
      <c r="A23" s="45"/>
      <c r="C23" s="8"/>
      <c r="D23" s="387"/>
    </row>
    <row r="24" spans="1:4" ht="12.75">
      <c r="A24" s="45" t="s">
        <v>211</v>
      </c>
      <c r="C24" s="8" t="s">
        <v>212</v>
      </c>
      <c r="D24" s="419" t="s">
        <v>478</v>
      </c>
    </row>
    <row r="25" ht="6.75" customHeight="1" thickBot="1">
      <c r="A25" s="12"/>
    </row>
    <row r="26" spans="1:5" ht="12.75">
      <c r="A26" s="253" t="s">
        <v>67</v>
      </c>
      <c r="C26" s="8"/>
      <c r="E26" s="435" t="s">
        <v>294</v>
      </c>
    </row>
    <row r="27" spans="1:5" ht="12.75">
      <c r="A27" s="254" t="s">
        <v>68</v>
      </c>
      <c r="C27" s="8"/>
      <c r="E27" s="436" t="s">
        <v>295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284</v>
      </c>
      <c r="D31" s="480">
        <v>3010436</v>
      </c>
      <c r="H31" s="5"/>
    </row>
    <row r="32" ht="6" customHeight="1"/>
    <row r="33" spans="1:8" ht="12.75">
      <c r="A33" t="s">
        <v>71</v>
      </c>
      <c r="D33" s="48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1">
        <v>0.0988</v>
      </c>
      <c r="H37" s="41"/>
    </row>
    <row r="38" ht="4.5" customHeight="1">
      <c r="H38" s="34"/>
    </row>
    <row r="39" spans="1:8" ht="12.75">
      <c r="A39" t="s">
        <v>74</v>
      </c>
      <c r="D39" s="481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257843.8434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2">
        <v>0</v>
      </c>
      <c r="E43" s="386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257843.8434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B47" s="511" t="s">
        <v>515</v>
      </c>
      <c r="D47" s="483">
        <v>257844</v>
      </c>
      <c r="E47" s="386">
        <f aca="true" t="shared" si="0" ref="E47:E53">D47</f>
        <v>257844</v>
      </c>
      <c r="H47" s="40"/>
      <c r="J47" s="5"/>
      <c r="K47" s="5"/>
    </row>
    <row r="48" spans="1:11" ht="12.75">
      <c r="A48" t="s">
        <v>287</v>
      </c>
      <c r="D48" s="483"/>
      <c r="E48" s="386">
        <f>D48</f>
        <v>0</v>
      </c>
      <c r="F48" s="22"/>
      <c r="H48" s="40"/>
      <c r="J48" s="5"/>
      <c r="K48" s="5"/>
    </row>
    <row r="49" spans="1:11" ht="12.75">
      <c r="A49" t="s">
        <v>288</v>
      </c>
      <c r="D49" s="484"/>
      <c r="E49" s="386">
        <v>0</v>
      </c>
      <c r="F49" s="22"/>
      <c r="H49" s="40"/>
      <c r="J49" s="5"/>
      <c r="K49" s="5"/>
    </row>
    <row r="50" spans="1:11" ht="12.75">
      <c r="A50" t="s">
        <v>289</v>
      </c>
      <c r="D50" s="420"/>
      <c r="E50" s="386">
        <f t="shared" si="0"/>
        <v>0</v>
      </c>
      <c r="H50" s="40"/>
      <c r="J50" s="5"/>
      <c r="K50" s="5"/>
    </row>
    <row r="51" spans="1:11" ht="12.75">
      <c r="A51" t="s">
        <v>434</v>
      </c>
      <c r="D51" s="420"/>
      <c r="E51" s="386">
        <f t="shared" si="0"/>
        <v>0</v>
      </c>
      <c r="H51" s="40"/>
      <c r="J51" s="5"/>
      <c r="K51" s="5"/>
    </row>
    <row r="52" spans="1:11" ht="12.75">
      <c r="A52" t="s">
        <v>457</v>
      </c>
      <c r="D52" s="420"/>
      <c r="E52" s="386">
        <f t="shared" si="0"/>
        <v>0</v>
      </c>
      <c r="H52" s="40"/>
      <c r="J52" s="5"/>
      <c r="K52" s="5"/>
    </row>
    <row r="53" spans="4:11" ht="12.75">
      <c r="D53" s="420"/>
      <c r="E53" s="386">
        <f t="shared" si="0"/>
        <v>0</v>
      </c>
      <c r="H53" s="40"/>
      <c r="J53" s="5"/>
      <c r="K53" s="5"/>
    </row>
    <row r="54" spans="1:11" ht="12.75">
      <c r="A54" s="2" t="s">
        <v>290</v>
      </c>
      <c r="E54" s="252">
        <f>SUM(E43:E53)</f>
        <v>257844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0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1">
        <f>IF(D41&gt;0,(((D43+D47)/D41)*D62),0)</f>
        <v>109128.37127845883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1">
        <f>IF(D41&gt;0,(((D43+D47+D48)/D41)*D62),0)</f>
        <v>109128.37127845883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1">
        <f>IF(D41&gt;0,(((D43+D47+D48)/D41)*D62),0)</f>
        <v>109128.37127845883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1">
        <f>D62</f>
        <v>109128.305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0"/>
  <sheetViews>
    <sheetView tabSelected="1" zoomScale="75" zoomScaleNormal="75" zoomScalePageLayoutView="0" workbookViewId="0" topLeftCell="A133">
      <selection activeCell="A6" sqref="A6"/>
    </sheetView>
  </sheetViews>
  <sheetFormatPr defaultColWidth="9.140625" defaultRowHeight="12.75"/>
  <cols>
    <col min="1" max="1" width="68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1" t="str">
        <f>REGINFO!A1</f>
        <v>PILs TAXES - EB-2010-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459</v>
      </c>
      <c r="H1" s="208"/>
    </row>
    <row r="2" spans="1:8" ht="12.75">
      <c r="A2" s="209" t="s">
        <v>458</v>
      </c>
      <c r="B2" s="210"/>
      <c r="C2" s="211" t="s">
        <v>35</v>
      </c>
      <c r="D2" s="212"/>
      <c r="E2" s="213" t="s">
        <v>24</v>
      </c>
      <c r="F2" s="214" t="s">
        <v>24</v>
      </c>
      <c r="G2" s="182" t="s">
        <v>460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249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2" t="str">
        <f>REGINFO!E1</f>
        <v>Version 2009.1</v>
      </c>
      <c r="H5" s="215"/>
    </row>
    <row r="6" spans="1:8" ht="12.75">
      <c r="A6" s="209" t="str">
        <f>REGINFO!A3</f>
        <v>Utility Name: West Nipissing Energy Services Ltd</v>
      </c>
      <c r="B6" s="114"/>
      <c r="D6" s="136"/>
      <c r="E6" s="114"/>
      <c r="G6" s="114"/>
      <c r="H6" s="457"/>
    </row>
    <row r="7" spans="1:8" ht="12.75">
      <c r="A7" s="209" t="str">
        <f>REGINFO!A4</f>
        <v>Reporting period:  2004</v>
      </c>
      <c r="B7" s="114"/>
      <c r="D7" s="136"/>
      <c r="E7" s="114"/>
      <c r="G7" s="114"/>
      <c r="H7" s="457"/>
    </row>
    <row r="8" spans="2:12" ht="12.75">
      <c r="B8" s="220"/>
      <c r="C8" s="228"/>
      <c r="D8" s="212"/>
      <c r="E8" s="136"/>
      <c r="F8" s="218"/>
      <c r="G8" s="182" t="s">
        <v>87</v>
      </c>
      <c r="H8" s="215"/>
      <c r="J8" s="516" t="s">
        <v>102</v>
      </c>
      <c r="K8" s="34"/>
      <c r="L8" s="34"/>
    </row>
    <row r="9" spans="1:8" ht="12.75">
      <c r="A9" s="209" t="s">
        <v>126</v>
      </c>
      <c r="B9" s="421">
        <f>REGINFO!B6</f>
        <v>366</v>
      </c>
      <c r="C9" s="229" t="s">
        <v>127</v>
      </c>
      <c r="D9" s="212"/>
      <c r="E9" s="136"/>
      <c r="F9" s="218"/>
      <c r="G9" s="182" t="s">
        <v>90</v>
      </c>
      <c r="H9" s="215"/>
    </row>
    <row r="10" spans="1:8" ht="12.75">
      <c r="A10" s="209" t="s">
        <v>253</v>
      </c>
      <c r="B10" s="421">
        <f>REGINFO!B7</f>
        <v>366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337</v>
      </c>
      <c r="B16" s="124">
        <v>1</v>
      </c>
      <c r="C16" s="257">
        <f>REGINFO!E54</f>
        <v>257844</v>
      </c>
      <c r="D16" s="17"/>
      <c r="E16" s="265">
        <f>G16-C16</f>
        <v>-342415</v>
      </c>
      <c r="F16" s="3"/>
      <c r="G16" s="265">
        <f>TAXREC!E50</f>
        <v>-84571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5">
        <v>172160</v>
      </c>
      <c r="D20" s="18"/>
      <c r="E20" s="265">
        <f>G20-C20</f>
        <v>63587</v>
      </c>
      <c r="F20" s="6"/>
      <c r="G20" s="265">
        <f>TAXREC!E61</f>
        <v>235747</v>
      </c>
      <c r="H20" s="150"/>
    </row>
    <row r="21" spans="1:8" ht="12.75">
      <c r="A21" s="157" t="s">
        <v>56</v>
      </c>
      <c r="B21" s="126">
        <v>3</v>
      </c>
      <c r="C21" s="259">
        <v>24478</v>
      </c>
      <c r="D21" s="18"/>
      <c r="E21" s="265">
        <f>G21-C21</f>
        <v>-24478</v>
      </c>
      <c r="F21" s="6"/>
      <c r="G21" s="265">
        <f>TAXREC!E62</f>
        <v>0</v>
      </c>
      <c r="H21" s="150"/>
    </row>
    <row r="22" spans="1:8" ht="12.75">
      <c r="A22" s="157" t="s">
        <v>261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260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262</v>
      </c>
      <c r="B24" s="126">
        <v>5</v>
      </c>
      <c r="C24" s="485">
        <v>66704</v>
      </c>
      <c r="D24" s="18"/>
      <c r="E24" s="265">
        <f>G24-C24</f>
        <v>-66704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1" t="s">
        <v>390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338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485">
        <v>269267</v>
      </c>
      <c r="D33" s="131"/>
      <c r="E33" s="265">
        <f aca="true" t="shared" si="0" ref="E33:E42">G33-C33</f>
        <v>-106350</v>
      </c>
      <c r="F33" s="6"/>
      <c r="G33" s="265">
        <f>TAXREC!E97+TAXREC!E98</f>
        <v>162917</v>
      </c>
      <c r="H33" s="150"/>
    </row>
    <row r="34" spans="1:8" ht="12.75">
      <c r="A34" s="157" t="s">
        <v>57</v>
      </c>
      <c r="B34" s="126">
        <v>8</v>
      </c>
      <c r="C34" s="259">
        <v>24478</v>
      </c>
      <c r="D34" s="131"/>
      <c r="E34" s="265">
        <f t="shared" si="0"/>
        <v>-24478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/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263</v>
      </c>
      <c r="B36" s="126">
        <v>10</v>
      </c>
      <c r="C36" s="485">
        <v>49756</v>
      </c>
      <c r="D36" s="131"/>
      <c r="E36" s="265">
        <f t="shared" si="0"/>
        <v>-27783</v>
      </c>
      <c r="F36" s="6"/>
      <c r="G36" s="265">
        <f>TAXREC!E102+TAXREC!E103</f>
        <v>21973</v>
      </c>
      <c r="H36" s="150"/>
    </row>
    <row r="37" spans="1:8" ht="12.75">
      <c r="A37" s="154" t="s">
        <v>86</v>
      </c>
      <c r="B37" s="124">
        <v>11</v>
      </c>
      <c r="C37" s="258">
        <f>REGINFO!D66</f>
        <v>109128.37127845883</v>
      </c>
      <c r="D37" s="131"/>
      <c r="E37" s="265">
        <f t="shared" si="0"/>
        <v>-109128.37127845883</v>
      </c>
      <c r="F37" s="6"/>
      <c r="G37" s="265">
        <f>TAXREC!E51</f>
        <v>0</v>
      </c>
      <c r="H37" s="150"/>
    </row>
    <row r="38" spans="1:8" ht="12.75">
      <c r="A38" s="154" t="s">
        <v>259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258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259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71" t="s">
        <v>390</v>
      </c>
      <c r="B48" s="126"/>
      <c r="C48" s="257"/>
      <c r="D48" s="131"/>
      <c r="E48" s="265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324</v>
      </c>
      <c r="B50" s="124"/>
      <c r="C50" s="261">
        <f>C16+SUM(C20:C30)-SUM(C33:C48)</f>
        <v>68556.62872154114</v>
      </c>
      <c r="D50" s="101"/>
      <c r="E50" s="261">
        <f>E16+SUM(E20:E30)-SUM(E33:E48)</f>
        <v>-102270.62872154114</v>
      </c>
      <c r="F50" s="517" t="s">
        <v>102</v>
      </c>
      <c r="G50" s="261">
        <f>G16+SUM(G20:G30)-SUM(G33:G48)</f>
        <v>-33714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332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336</v>
      </c>
      <c r="B53" s="126">
        <v>13</v>
      </c>
      <c r="C53" s="260">
        <f>'Tax Rates'!C16</f>
        <v>0.1912</v>
      </c>
      <c r="D53" s="101"/>
      <c r="E53" s="266">
        <f>+G53-C53</f>
        <v>-0.0050000000000000044</v>
      </c>
      <c r="F53" s="113"/>
      <c r="G53" s="465">
        <f>TAXREC!E151</f>
        <v>0.1862</v>
      </c>
      <c r="H53" s="150"/>
      <c r="I53" s="462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13108.027411558667</v>
      </c>
      <c r="D55" s="101"/>
      <c r="E55" s="265">
        <f>G55-C55</f>
        <v>-13108.027411558667</v>
      </c>
      <c r="F55" s="423" t="s">
        <v>363</v>
      </c>
      <c r="G55" s="262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23" t="s">
        <v>363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13108.027411558667</v>
      </c>
      <c r="D60" s="132"/>
      <c r="E60" s="267">
        <f>+E55-E58</f>
        <v>-13108.027411558667</v>
      </c>
      <c r="F60" s="423" t="s">
        <v>363</v>
      </c>
      <c r="G60" s="267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v>3010436</v>
      </c>
      <c r="D66" s="101"/>
      <c r="E66" s="265">
        <f>G66-C66</f>
        <v>71991925</v>
      </c>
      <c r="F66" s="6"/>
      <c r="G66" s="486">
        <v>75002361</v>
      </c>
      <c r="H66" s="150"/>
      <c r="I66" s="467" t="s">
        <v>469</v>
      </c>
    </row>
    <row r="67" spans="1:10" ht="12.75">
      <c r="A67" s="151" t="s">
        <v>356</v>
      </c>
      <c r="B67" s="124">
        <v>16</v>
      </c>
      <c r="C67" s="258">
        <f>IF(C66&gt;0,'Tax Rates'!C21,0)</f>
        <v>5000000</v>
      </c>
      <c r="D67" s="101"/>
      <c r="E67" s="265">
        <f>G67-C67</f>
        <v>-461771</v>
      </c>
      <c r="F67" s="6"/>
      <c r="G67" s="265">
        <v>4538229</v>
      </c>
      <c r="H67" s="150"/>
      <c r="I67" s="467" t="s">
        <v>469</v>
      </c>
      <c r="J67" s="515" t="s">
        <v>102</v>
      </c>
    </row>
    <row r="68" spans="1:8" ht="12.75">
      <c r="A68" s="151" t="s">
        <v>42</v>
      </c>
      <c r="B68" s="124"/>
      <c r="C68" s="262">
        <f>IF((C66-C67)&gt;0,C66-C67,0)</f>
        <v>0</v>
      </c>
      <c r="D68" s="101"/>
      <c r="E68" s="265">
        <f>SUM(E66:E67)</f>
        <v>71530154</v>
      </c>
      <c r="F68" s="113"/>
      <c r="G68" s="262">
        <f>G66-G67</f>
        <v>70464132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314</v>
      </c>
      <c r="B72" s="124"/>
      <c r="C72" s="262">
        <f>IF(C68&gt;0,C68*C70,0)*REGINFO!$B$6/REGINFO!$B$7</f>
        <v>0</v>
      </c>
      <c r="D72" s="100"/>
      <c r="E72" s="265">
        <f>+G72-C72</f>
        <v>211392.396</v>
      </c>
      <c r="F72" s="468"/>
      <c r="G72" s="262">
        <f>IF(G68&gt;0,G68*G70,0)*REGINFO!$B$6/REGINFO!$B$7</f>
        <v>211392.396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v>3010436</v>
      </c>
      <c r="D75" s="101"/>
      <c r="E75" s="265">
        <f>+G75-C75</f>
        <v>73321782</v>
      </c>
      <c r="F75" s="6"/>
      <c r="G75" s="486">
        <v>76332218</v>
      </c>
      <c r="H75" s="150"/>
      <c r="I75" s="467" t="s">
        <v>469</v>
      </c>
    </row>
    <row r="76" spans="1:9" ht="12.75">
      <c r="A76" s="151" t="s">
        <v>356</v>
      </c>
      <c r="B76" s="124">
        <v>19</v>
      </c>
      <c r="C76" s="258">
        <f>IF(C75&gt;0,'Tax Rates'!C22,0)</f>
        <v>10000000</v>
      </c>
      <c r="D76" s="18"/>
      <c r="E76" s="265">
        <f>+G76-C76</f>
        <v>34109004</v>
      </c>
      <c r="F76" s="6"/>
      <c r="G76" s="265">
        <v>44109004</v>
      </c>
      <c r="H76" s="150"/>
      <c r="I76" s="467" t="s">
        <v>469</v>
      </c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107430786</v>
      </c>
      <c r="F77" s="113"/>
      <c r="G77" s="262">
        <f>IF(G76&gt;G75,0,G75-G76)</f>
        <v>32223214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299">
        <f>'Tax Rates'!C19</f>
        <v>0.00225</v>
      </c>
      <c r="D79" s="101"/>
      <c r="E79" s="266">
        <f>G79-C79</f>
        <v>-0.0002499999999999998</v>
      </c>
      <c r="F79" s="6"/>
      <c r="G79" s="266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315</v>
      </c>
      <c r="B81" s="124"/>
      <c r="C81" s="262">
        <f>IF(C77&gt;0,C77*C79,0)*REGINFO!$B$6/REGINFO!$B$7</f>
        <v>0</v>
      </c>
      <c r="D81" s="101"/>
      <c r="E81" s="265">
        <f>+G81-C81</f>
        <v>64446.42799999999</v>
      </c>
      <c r="F81" s="6"/>
      <c r="G81" s="262">
        <f>G77*G79*B9/B10</f>
        <v>64446.42799999999</v>
      </c>
      <c r="H81" s="150"/>
    </row>
    <row r="82" spans="1:8" ht="12.75">
      <c r="A82" s="151" t="s">
        <v>316</v>
      </c>
      <c r="B82" s="124">
        <v>21</v>
      </c>
      <c r="C82" s="298">
        <f>IF(C77&gt;0,IF(C60&gt;0,C50*'Tax Rates'!C20,0),0)</f>
        <v>0</v>
      </c>
      <c r="D82" s="101"/>
      <c r="E82" s="265">
        <f>+G82-C82</f>
        <v>0</v>
      </c>
      <c r="F82" s="6"/>
      <c r="G82" s="298">
        <f>IF(G77&gt;0,IF(G60&gt;0,G50*'Tax Rates'!C20,0),0)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f>C81-C82</f>
        <v>0</v>
      </c>
      <c r="D84" s="16"/>
      <c r="E84" s="265">
        <f>E81-E82</f>
        <v>64446.42799999999</v>
      </c>
      <c r="F84" s="102"/>
      <c r="G84" s="262">
        <f>G81-G82</f>
        <v>64446.42799999999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226</v>
      </c>
      <c r="B88" s="124"/>
      <c r="C88" s="260">
        <f>C53</f>
        <v>0.1912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364</v>
      </c>
      <c r="B90" s="126">
        <v>22</v>
      </c>
      <c r="C90" s="262">
        <f>C60/(1-C88)</f>
        <v>16206.759905487967</v>
      </c>
      <c r="D90" s="20"/>
      <c r="E90" s="138"/>
      <c r="F90" s="422" t="s">
        <v>480</v>
      </c>
      <c r="G90" s="268">
        <f>TAXREC!E156</f>
        <v>0</v>
      </c>
      <c r="H90" s="150"/>
    </row>
    <row r="91" spans="1:8" ht="12.75">
      <c r="A91" s="157" t="s">
        <v>365</v>
      </c>
      <c r="B91" s="126">
        <v>23</v>
      </c>
      <c r="C91" s="262">
        <f>C84/(1-C88)</f>
        <v>0</v>
      </c>
      <c r="D91" s="20"/>
      <c r="E91" s="138"/>
      <c r="F91" s="422" t="s">
        <v>480</v>
      </c>
      <c r="G91" s="268">
        <f>TAXREC!E158</f>
        <v>0</v>
      </c>
      <c r="H91" s="150"/>
    </row>
    <row r="92" spans="1:8" ht="12.75">
      <c r="A92" s="157" t="s">
        <v>344</v>
      </c>
      <c r="B92" s="126">
        <v>24</v>
      </c>
      <c r="C92" s="262">
        <f>C72</f>
        <v>0</v>
      </c>
      <c r="D92" s="20"/>
      <c r="E92" s="138"/>
      <c r="F92" s="422" t="s">
        <v>480</v>
      </c>
      <c r="G92" s="268">
        <f>TAXREC!E157</f>
        <v>0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9" ht="13.5" thickBot="1">
      <c r="A95" s="155" t="s">
        <v>473</v>
      </c>
      <c r="B95" s="124">
        <v>25</v>
      </c>
      <c r="C95" s="267">
        <f>SUM(C90:C93)</f>
        <v>16206.759905487967</v>
      </c>
      <c r="D95" s="6"/>
      <c r="E95" s="138"/>
      <c r="F95" s="422" t="s">
        <v>480</v>
      </c>
      <c r="G95" s="411">
        <f>SUM(G90:G94)</f>
        <v>0</v>
      </c>
      <c r="H95" s="163"/>
      <c r="I95" s="2" t="s">
        <v>516</v>
      </c>
    </row>
    <row r="96" spans="1:9" ht="12.75">
      <c r="A96" s="402" t="s">
        <v>305</v>
      </c>
      <c r="B96" s="124"/>
      <c r="C96" s="104"/>
      <c r="D96" s="6"/>
      <c r="E96" s="108"/>
      <c r="F96" s="6"/>
      <c r="G96" s="138"/>
      <c r="H96" s="163"/>
      <c r="I96" s="2" t="s">
        <v>517</v>
      </c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302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8"/>
      <c r="H100" s="163"/>
    </row>
    <row r="101" spans="1:8" ht="12.75">
      <c r="A101" s="155" t="s">
        <v>342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-24478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-66704</v>
      </c>
      <c r="F105" s="37"/>
      <c r="G105" s="199"/>
      <c r="H105" s="163"/>
    </row>
    <row r="106" spans="1:8" ht="12.75">
      <c r="A106" s="157" t="s">
        <v>359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360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-24478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-27783</v>
      </c>
      <c r="F111" s="37"/>
      <c r="G111" s="199"/>
      <c r="H111" s="163"/>
    </row>
    <row r="112" spans="1:8" ht="12.75">
      <c r="A112" s="509" t="s">
        <v>507</v>
      </c>
      <c r="B112" s="126">
        <v>11</v>
      </c>
      <c r="C112" s="111"/>
      <c r="D112" s="3"/>
      <c r="E112" s="464">
        <f>E206</f>
        <v>0</v>
      </c>
      <c r="F112" s="186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361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362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2">
        <f>SUM(E102:E107)-SUM(E109:E118)</f>
        <v>-38921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156" t="s">
        <v>479</v>
      </c>
      <c r="B122" s="126"/>
      <c r="C122" s="111"/>
      <c r="D122" s="3" t="s">
        <v>230</v>
      </c>
      <c r="E122" s="461">
        <f>IF((E120+G50)&gt;'Tax Rates'!$E$47,'Tax Rates'!$F$52-1.12%,IF((E120+G50)&gt;'Tax Rates'!$D$47,'Tax Rates'!$E$52-1.12%,IF((E120+G50)&gt;'Tax Rates'!$C$47,'Tax Rates'!$D$52-1.12%,'Tax Rates'!$C$52-1.12%)))</f>
        <v>0.175</v>
      </c>
      <c r="F122" s="462" t="s">
        <v>513</v>
      </c>
      <c r="G122" s="199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2">
        <f>E120*E122</f>
        <v>-6811.174999999999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2">
        <f>E124-E126</f>
        <v>-6811.174999999999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195</v>
      </c>
      <c r="B130" s="126"/>
      <c r="C130" s="111"/>
      <c r="D130" s="3"/>
      <c r="E130" s="310">
        <f>IF((E120+C50)&gt;'Tax Rates'!$E$47,'Tax Rates'!$F$52-1.12%,IF((E120+C50)&gt;'Tax Rates'!$D$47,'Tax Rates'!$E$52-1.12%,IF((E120+C50)&gt;'Tax Rates'!$C$47,'Tax Rates'!$D$52-1.12%,'Tax Rates'!$C$52-1.12%)))</f>
        <v>0.175</v>
      </c>
      <c r="F130" s="513" t="s">
        <v>514</v>
      </c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8" ht="12.75">
      <c r="A132" s="167" t="s">
        <v>348</v>
      </c>
      <c r="B132" s="129"/>
      <c r="C132" s="111"/>
      <c r="D132" s="3"/>
      <c r="E132" s="475">
        <f>E128/(1-E130)</f>
        <v>-8255.969696969696</v>
      </c>
      <c r="F132" s="37"/>
      <c r="G132" s="199"/>
      <c r="H132" s="163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351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0">
        <f>C50</f>
        <v>68556.62872154114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0">
        <f>IF((E120+E136)&gt;'Tax Rates'!E47,'Tax Rates'!F52,IF((E120+E136)&gt;'Tax Rates'!D47,'Tax Rates'!E52,IF((E120+E136)&gt;'Tax Rates'!C47,'Tax Rates'!D52,'Tax Rates'!C52)))</f>
        <v>0.1862</v>
      </c>
      <c r="F138" s="514" t="s">
        <v>514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1">
        <f>IF(E136&gt;0,E136*E138,0)</f>
        <v>12765.24426795096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0">
        <f>E140-E142</f>
        <v>12765.24426795096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12.75">
      <c r="A146" s="170" t="s">
        <v>238</v>
      </c>
      <c r="B146" s="129"/>
      <c r="C146" s="111"/>
      <c r="D146" s="117" t="s">
        <v>187</v>
      </c>
      <c r="E146" s="300">
        <f>C60</f>
        <v>13108.027411558667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0">
        <f>E144-E146</f>
        <v>-342.78314360770673</v>
      </c>
      <c r="F148" s="37"/>
      <c r="G148" s="199"/>
      <c r="H148" s="163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85" t="s">
        <v>20</v>
      </c>
      <c r="B150" s="129"/>
      <c r="C150" s="111"/>
      <c r="D150" s="118"/>
      <c r="E150" s="470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0">
        <f>C66</f>
        <v>3010436</v>
      </c>
      <c r="F151" s="37"/>
      <c r="G151" s="199"/>
      <c r="H151" s="163"/>
    </row>
    <row r="152" spans="1:8" ht="12.75">
      <c r="A152" s="170" t="s">
        <v>354</v>
      </c>
      <c r="B152" s="129"/>
      <c r="C152" s="111"/>
      <c r="D152" s="117" t="s">
        <v>187</v>
      </c>
      <c r="E152" s="303">
        <f>IF(E151&gt;0,'Tax Rates'!C39,0)</f>
        <v>5000000</v>
      </c>
      <c r="F152" s="37"/>
      <c r="G152" s="199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0">
        <f>E151-E152</f>
        <v>-1989564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355</v>
      </c>
      <c r="B155" s="129"/>
      <c r="C155" s="111"/>
      <c r="D155" s="118" t="s">
        <v>230</v>
      </c>
      <c r="E155" s="304">
        <f>'Tax Rates'!C54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0">
        <f>IF(E153&gt;0,E153*E155*B9/B10,0)</f>
        <v>0</v>
      </c>
      <c r="F157" s="37"/>
      <c r="G157" s="199"/>
      <c r="H157" s="163"/>
    </row>
    <row r="158" spans="1:8" ht="12.75">
      <c r="A158" s="170" t="s">
        <v>306</v>
      </c>
      <c r="B158" s="129"/>
      <c r="C158" s="111"/>
      <c r="D158" s="117" t="s">
        <v>187</v>
      </c>
      <c r="E158" s="303">
        <f>C72</f>
        <v>0</v>
      </c>
      <c r="F158" s="37"/>
      <c r="G158" s="199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66">
        <f>E157-E158</f>
        <v>0</v>
      </c>
      <c r="F159" s="37"/>
      <c r="G159" s="199"/>
      <c r="H159" s="163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85" t="s">
        <v>235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3010436</v>
      </c>
      <c r="F162" s="37"/>
      <c r="G162" s="199"/>
      <c r="H162" s="163"/>
    </row>
    <row r="163" spans="1:8" ht="12.75">
      <c r="A163" s="170" t="s">
        <v>353</v>
      </c>
      <c r="B163" s="129"/>
      <c r="C163" s="111"/>
      <c r="D163" s="117" t="s">
        <v>187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0">
        <f>E162-E163</f>
        <v>-46989564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10" ht="12.75">
      <c r="A166" s="170" t="s">
        <v>307</v>
      </c>
      <c r="B166" s="129"/>
      <c r="C166" s="111"/>
      <c r="D166" s="118"/>
      <c r="E166" s="304">
        <f>'Tax Rates'!C55</f>
        <v>0.002</v>
      </c>
      <c r="F166" s="37"/>
      <c r="G166" s="199"/>
      <c r="H166" s="163"/>
      <c r="J166" s="511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10" ht="12.75">
      <c r="A168" s="170" t="s">
        <v>240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  <c r="J168" s="511"/>
    </row>
    <row r="169" spans="1:10" ht="12.75">
      <c r="A169" s="170" t="s">
        <v>317</v>
      </c>
      <c r="B169" s="129"/>
      <c r="C169" s="111"/>
      <c r="D169" s="117" t="s">
        <v>187</v>
      </c>
      <c r="E169" s="305">
        <f>IF(E164&gt;0,IF(E144&gt;0,E136*'Tax Rates'!C56,0),0)</f>
        <v>0</v>
      </c>
      <c r="F169" s="37"/>
      <c r="G169" s="199"/>
      <c r="H169" s="163"/>
      <c r="J169" s="511"/>
    </row>
    <row r="170" spans="1:8" ht="12.75">
      <c r="A170" s="170" t="s">
        <v>241</v>
      </c>
      <c r="B170" s="129"/>
      <c r="C170" s="111"/>
      <c r="D170" s="118" t="s">
        <v>188</v>
      </c>
      <c r="E170" s="300">
        <f>E168-E169</f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412" t="s">
        <v>343</v>
      </c>
      <c r="B172" s="129"/>
      <c r="C172" s="111"/>
      <c r="D172" s="117" t="s">
        <v>187</v>
      </c>
      <c r="E172" s="303">
        <f>C84</f>
        <v>0</v>
      </c>
      <c r="F172" s="37"/>
      <c r="G172" s="199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66">
        <f>E170-E172</f>
        <v>0</v>
      </c>
      <c r="F173" s="37"/>
      <c r="G173" s="199"/>
      <c r="H173" s="163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341</v>
      </c>
      <c r="B175" s="129"/>
      <c r="C175" s="111"/>
      <c r="D175" s="118"/>
      <c r="E175" s="461">
        <f>IF((E120+G50)&gt;'Tax Rates'!E47,'Tax Rates'!F52-1.12%,IF((E120+G50)&gt;'Tax Rates'!D47,'Tax Rates'!E52-1.12%,IF((E120+G50)&gt;'Tax Rates'!C47,'Tax Rates'!D52,'Tax Rates'!C52-1.12%)))</f>
        <v>0.175</v>
      </c>
      <c r="F175" s="462" t="s">
        <v>514</v>
      </c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0">
        <f>E148/(1-E175)</f>
        <v>-415.494719524493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349</v>
      </c>
      <c r="B181" s="129"/>
      <c r="C181" s="111"/>
      <c r="D181" s="118" t="s">
        <v>188</v>
      </c>
      <c r="E181" s="474">
        <f>SUM(E177:E179)</f>
        <v>-415.494719524493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476</v>
      </c>
      <c r="B183" s="129"/>
      <c r="C183" s="111"/>
      <c r="D183" s="118" t="s">
        <v>186</v>
      </c>
      <c r="E183" s="474">
        <f>E132</f>
        <v>-8255.969696969696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172" t="s">
        <v>350</v>
      </c>
      <c r="B185" s="129"/>
      <c r="C185" s="111"/>
      <c r="D185" s="118" t="s">
        <v>188</v>
      </c>
      <c r="E185" s="474">
        <f>E181+E183</f>
        <v>-8671.46441649419</v>
      </c>
      <c r="F185" s="37"/>
      <c r="G185" s="199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6">
        <f>REGINFO!D62</f>
        <v>109128.305</v>
      </c>
      <c r="F193" s="3"/>
      <c r="G193" s="122"/>
      <c r="H193" s="163"/>
    </row>
    <row r="194" spans="1:8" ht="12.75">
      <c r="A194" s="509" t="s">
        <v>504</v>
      </c>
      <c r="B194" s="126"/>
      <c r="C194" s="111"/>
      <c r="D194" s="119"/>
      <c r="E194" s="306">
        <f>C37</f>
        <v>109128.37127845883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339</v>
      </c>
      <c r="B196" s="126"/>
      <c r="C196" s="111"/>
      <c r="D196" s="119"/>
      <c r="E196" s="306">
        <f>E193-E194</f>
        <v>-0.06627845883485861</v>
      </c>
      <c r="F196" s="3"/>
      <c r="G196" s="122"/>
      <c r="H196" s="163"/>
    </row>
    <row r="197" spans="1:8" ht="12.75">
      <c r="A197" s="154" t="s">
        <v>340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254</v>
      </c>
      <c r="B199" s="126"/>
      <c r="C199" s="111"/>
      <c r="D199" s="119"/>
      <c r="E199" s="146"/>
      <c r="F199" s="3"/>
      <c r="G199" s="478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509" t="s">
        <v>505</v>
      </c>
      <c r="B201" s="126"/>
      <c r="C201" s="111"/>
      <c r="D201" s="119"/>
      <c r="E201" s="306">
        <f>G37+G42</f>
        <v>0</v>
      </c>
      <c r="F201" s="3"/>
      <c r="G201" s="478"/>
      <c r="H201" s="163"/>
    </row>
    <row r="202" spans="1:8" ht="12.75">
      <c r="A202" s="154" t="s">
        <v>497</v>
      </c>
      <c r="B202" s="126"/>
      <c r="C202" s="111"/>
      <c r="D202" s="119"/>
      <c r="E202" s="501">
        <f>REGINFO!D62</f>
        <v>109128.305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508</v>
      </c>
      <c r="B206" s="126"/>
      <c r="C206" s="111"/>
      <c r="D206" s="119"/>
      <c r="E206" s="463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7">
        <f>+E196-E204</f>
        <v>-0.06627845883485861</v>
      </c>
      <c r="F208" s="73"/>
      <c r="G208" s="200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  <pageSetUpPr fitToPage="1"/>
  </sheetPr>
  <dimension ref="A1:K163"/>
  <sheetViews>
    <sheetView zoomScalePageLayoutView="0" workbookViewId="0" topLeftCell="A103">
      <selection activeCell="C13" sqref="C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Nipissing Energy Services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7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510">
        <f>Ratebase*REGINFO!D33*0.0025</f>
        <v>3763.045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4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322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256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222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320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321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271</v>
      </c>
      <c r="B31" s="23" t="s">
        <v>186</v>
      </c>
      <c r="C31" s="487">
        <v>3085779</v>
      </c>
      <c r="D31" s="284"/>
      <c r="E31" s="282">
        <f>C31-D31</f>
        <v>3085779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7">
        <f>960492</f>
        <v>960492</v>
      </c>
      <c r="D32" s="284"/>
      <c r="E32" s="282">
        <f>C32-D32</f>
        <v>960492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7">
        <v>0</v>
      </c>
      <c r="D33" s="488"/>
      <c r="E33" s="282">
        <f>C33-D33</f>
        <v>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3">
        <v>75148</v>
      </c>
      <c r="D34" s="284"/>
      <c r="E34" s="282">
        <f>C34-D34</f>
        <v>75148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7">
        <v>3085779</v>
      </c>
      <c r="D39" s="284"/>
      <c r="E39" s="282">
        <f>C39-D39</f>
        <v>3085779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7">
        <v>416076</v>
      </c>
      <c r="D40" s="488"/>
      <c r="E40" s="282">
        <f aca="true" t="shared" si="0" ref="E40:E48">C40-D40</f>
        <v>416076</v>
      </c>
      <c r="F40" s="11"/>
      <c r="G40" s="11"/>
      <c r="H40" s="6"/>
      <c r="I40" s="6"/>
    </row>
    <row r="41" spans="1:9" ht="12.75">
      <c r="A41" s="4" t="s">
        <v>272</v>
      </c>
      <c r="B41" s="23" t="s">
        <v>187</v>
      </c>
      <c r="C41" s="283">
        <v>168057</v>
      </c>
      <c r="D41" s="284"/>
      <c r="E41" s="282">
        <f t="shared" si="0"/>
        <v>168057</v>
      </c>
      <c r="F41" s="11"/>
      <c r="G41" s="11"/>
      <c r="H41" s="6"/>
      <c r="I41" s="6"/>
    </row>
    <row r="42" spans="1:9" ht="12.75">
      <c r="A42" s="4" t="s">
        <v>273</v>
      </c>
      <c r="B42" s="23" t="s">
        <v>187</v>
      </c>
      <c r="C42" s="283">
        <v>300331</v>
      </c>
      <c r="D42" s="284"/>
      <c r="E42" s="282">
        <f t="shared" si="0"/>
        <v>300331</v>
      </c>
      <c r="F42" s="11"/>
      <c r="G42" s="11"/>
      <c r="H42" s="6"/>
      <c r="I42" s="6"/>
    </row>
    <row r="43" spans="1:9" ht="12.75">
      <c r="A43" s="4" t="s">
        <v>274</v>
      </c>
      <c r="B43" s="23" t="s">
        <v>187</v>
      </c>
      <c r="C43" s="487">
        <v>235747</v>
      </c>
      <c r="D43" s="488"/>
      <c r="E43" s="282">
        <f t="shared" si="0"/>
        <v>235747</v>
      </c>
      <c r="F43" s="11"/>
      <c r="G43" s="11"/>
      <c r="H43" s="6"/>
      <c r="I43" s="6"/>
    </row>
    <row r="44" spans="1:9" ht="12.75">
      <c r="A44" s="4" t="s">
        <v>275</v>
      </c>
      <c r="B44" s="23" t="s">
        <v>187</v>
      </c>
      <c r="C44" s="487">
        <v>0</v>
      </c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488</v>
      </c>
      <c r="B45" s="23" t="s">
        <v>187</v>
      </c>
      <c r="C45" s="487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1" t="s">
        <v>511</v>
      </c>
      <c r="B46" s="23" t="s">
        <v>187</v>
      </c>
      <c r="C46" s="283">
        <v>0</v>
      </c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-84571</v>
      </c>
      <c r="D50" s="279">
        <f>SUM(D31:D36)-SUM(D39:D49)</f>
        <v>0</v>
      </c>
      <c r="E50" s="279">
        <f>SUM(E31:E35)-SUM(E39:E48)</f>
        <v>-84571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487">
        <v>0</v>
      </c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7">
        <v>-17800</v>
      </c>
      <c r="D52" s="283"/>
      <c r="E52" s="281">
        <f>+C52-D52</f>
        <v>-17800</v>
      </c>
      <c r="F52" s="8"/>
      <c r="G52" s="413"/>
    </row>
    <row r="53" spans="1:7" ht="12.75">
      <c r="A53" s="2" t="s">
        <v>130</v>
      </c>
      <c r="B53" s="8" t="s">
        <v>188</v>
      </c>
      <c r="C53" s="279">
        <f>C50-C51-C52</f>
        <v>-66771</v>
      </c>
      <c r="D53" s="279">
        <f>D50-D51-D52</f>
        <v>0</v>
      </c>
      <c r="E53" s="279">
        <f>E50-E51-E52</f>
        <v>-66771</v>
      </c>
      <c r="F53" s="8"/>
      <c r="G53" s="22"/>
    </row>
    <row r="54" spans="1:6" ht="24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5">
        <f>C52</f>
        <v>-17800</v>
      </c>
      <c r="D59" s="285">
        <f>D52</f>
        <v>0</v>
      </c>
      <c r="E59" s="270">
        <f>+C59-D59</f>
        <v>-17800</v>
      </c>
      <c r="F59" s="8"/>
      <c r="G59" s="413"/>
    </row>
    <row r="60" spans="1:6" ht="12.75">
      <c r="A60" s="4" t="s">
        <v>323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235747</v>
      </c>
      <c r="D61" s="285">
        <f>D43</f>
        <v>0</v>
      </c>
      <c r="E61" s="270">
        <f>+C61-D61</f>
        <v>235747</v>
      </c>
      <c r="F61" s="8"/>
      <c r="G61" s="413"/>
    </row>
    <row r="62" spans="1:7" ht="12.75">
      <c r="A62" t="s">
        <v>6</v>
      </c>
      <c r="B62" s="8" t="s">
        <v>186</v>
      </c>
      <c r="C62" s="489">
        <v>0</v>
      </c>
      <c r="D62" s="285">
        <v>0</v>
      </c>
      <c r="E62" s="270">
        <f>+C62-D62</f>
        <v>0</v>
      </c>
      <c r="F62" s="8"/>
      <c r="G62" s="511"/>
    </row>
    <row r="63" spans="1:7" ht="12.75">
      <c r="A63" s="31" t="s">
        <v>276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  <c r="G63" s="511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7" ht="12.75">
      <c r="A65" t="s">
        <v>439</v>
      </c>
      <c r="B65" s="8" t="s">
        <v>186</v>
      </c>
      <c r="C65" s="284">
        <v>0</v>
      </c>
      <c r="D65" s="284"/>
      <c r="E65" s="270">
        <f>+C65-D65</f>
        <v>0</v>
      </c>
      <c r="F65" s="8"/>
      <c r="G65" s="511"/>
    </row>
    <row r="66" spans="1:6" ht="15">
      <c r="A66" s="459" t="s">
        <v>390</v>
      </c>
      <c r="B66" s="8"/>
      <c r="C66" s="438">
        <f>'TAXREC 3 No True-up'!C50</f>
        <v>0</v>
      </c>
      <c r="D66" s="438">
        <f>'TAXREC 3 No True-up'!D50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217947</v>
      </c>
      <c r="D70" s="270">
        <f>SUM(D59:D68)</f>
        <v>0</v>
      </c>
      <c r="E70" s="270">
        <f>SUM(E59:E68)</f>
        <v>217947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>
        <v>0</v>
      </c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" t="s">
        <v>494</v>
      </c>
      <c r="B75" s="8" t="s">
        <v>186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 t="s">
        <v>512</v>
      </c>
      <c r="B76" s="8" t="s">
        <v>186</v>
      </c>
      <c r="C76" s="472">
        <v>0</v>
      </c>
      <c r="D76" s="292"/>
      <c r="E76" s="469">
        <f t="shared" si="1"/>
        <v>0</v>
      </c>
      <c r="F76" s="8"/>
      <c r="G76" s="512" t="s">
        <v>102</v>
      </c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9">
        <f>C70+C80</f>
        <v>217947</v>
      </c>
      <c r="D82" s="249">
        <f>D70+D80</f>
        <v>0</v>
      </c>
      <c r="E82" s="249">
        <f>E70+E80</f>
        <v>217947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508" t="s">
        <v>102</v>
      </c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490">
        <f>162917+21973-21973</f>
        <v>162917</v>
      </c>
      <c r="D97" s="292"/>
      <c r="E97" s="270">
        <f>+C97-D97</f>
        <v>162917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0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>
        <v>21973</v>
      </c>
      <c r="D102" s="292"/>
      <c r="E102" s="270">
        <f aca="true" t="shared" si="5" ref="E102:E109">+C102-D102</f>
        <v>21973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9" t="s">
        <v>390</v>
      </c>
      <c r="B108" s="8"/>
      <c r="C108" s="252">
        <f>'TAXREC 3 No True-up'!C76</f>
        <v>0</v>
      </c>
      <c r="D108" s="252">
        <f>'TAXREC 3 No True-up'!D76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184890</v>
      </c>
      <c r="D113" s="249">
        <f>SUM(D97:D111)</f>
        <v>0</v>
      </c>
      <c r="E113" s="249">
        <f>SUM(E97:E111)</f>
        <v>184890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2">
        <v>0</v>
      </c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9">
        <f>C113+C120</f>
        <v>184890</v>
      </c>
      <c r="D122" s="249">
        <f>D113+D120</f>
        <v>0</v>
      </c>
      <c r="E122" s="249">
        <f>+E113+E120</f>
        <v>184890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06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9">
        <f>+C53+C82-C122</f>
        <v>-33714</v>
      </c>
      <c r="D134" s="249">
        <f>D53+D82-D122</f>
        <v>0</v>
      </c>
      <c r="E134" s="249">
        <f>E53+E82-E122</f>
        <v>-33714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06"/>
      <c r="H135" s="45"/>
      <c r="I135" s="45"/>
      <c r="J135" s="45"/>
      <c r="K135" s="45"/>
    </row>
    <row r="136" spans="1:11" ht="12.75">
      <c r="A136" s="12" t="s">
        <v>370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506"/>
      <c r="H136" s="45"/>
      <c r="I136" s="45"/>
      <c r="J136" s="45"/>
      <c r="K136" s="45"/>
    </row>
    <row r="137" spans="1:11" ht="12.75">
      <c r="A137" s="46" t="s">
        <v>371</v>
      </c>
      <c r="B137" s="8" t="s">
        <v>187</v>
      </c>
      <c r="C137" s="308"/>
      <c r="D137" s="308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8" t="s">
        <v>501</v>
      </c>
      <c r="B138" s="8"/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0">
        <f>C134-C136-C137-C138</f>
        <v>-33714</v>
      </c>
      <c r="D139" s="250">
        <f>D134-D136-D137-D138</f>
        <v>0</v>
      </c>
      <c r="E139" s="250">
        <f>E134-E136-E137-E138</f>
        <v>-33714</v>
      </c>
      <c r="F139" s="8"/>
      <c r="G139" s="507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492">
        <v>0</v>
      </c>
      <c r="D142" s="476">
        <f>D139*C149</f>
        <v>0</v>
      </c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492"/>
      <c r="D143" s="476">
        <f>D139*C150</f>
        <v>0</v>
      </c>
      <c r="E143" s="290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6"/>
      <c r="D145" s="47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91">
        <v>0.1312</v>
      </c>
      <c r="D149" s="5"/>
      <c r="E149" s="403">
        <f>C149</f>
        <v>0.1312</v>
      </c>
      <c r="F149" s="8"/>
      <c r="G149" s="473" t="s">
        <v>464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91">
        <v>0.055</v>
      </c>
      <c r="D150" s="5"/>
      <c r="E150" s="403">
        <f>C150</f>
        <v>0.055</v>
      </c>
      <c r="F150" s="8"/>
      <c r="G150" s="473" t="s">
        <v>465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3">
        <f>SUM(C149:C150)</f>
        <v>0.1862</v>
      </c>
      <c r="D151" s="5"/>
      <c r="E151" s="403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186</v>
      </c>
      <c r="C157" s="493"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93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300</v>
      </c>
      <c r="B160" s="65" t="s">
        <v>188</v>
      </c>
      <c r="C160" s="249">
        <f>C156+C157+C158</f>
        <v>0</v>
      </c>
      <c r="D160" s="249">
        <f>D156+D157+D158</f>
        <v>0</v>
      </c>
      <c r="E160" s="249">
        <f>E156+E157+E158</f>
        <v>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F63"/>
  <sheetViews>
    <sheetView zoomScalePageLayoutView="0" workbookViewId="0" topLeftCell="A31">
      <selection activeCell="L67" sqref="L6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Nipissing Energy Services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270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278</v>
      </c>
      <c r="B14" s="60"/>
      <c r="C14" s="292"/>
      <c r="D14" s="292"/>
      <c r="E14" s="249">
        <f aca="true" t="shared" si="0" ref="E14:E21">C14-D14</f>
        <v>0</v>
      </c>
    </row>
    <row r="15" spans="1:5" ht="12.75">
      <c r="A15" s="60" t="s">
        <v>279</v>
      </c>
      <c r="B15" s="60"/>
      <c r="C15" s="292"/>
      <c r="D15" s="292"/>
      <c r="E15" s="249">
        <f t="shared" si="0"/>
        <v>0</v>
      </c>
    </row>
    <row r="16" spans="1:5" ht="12.75">
      <c r="A16" s="60" t="s">
        <v>280</v>
      </c>
      <c r="B16" s="60"/>
      <c r="C16" s="292"/>
      <c r="D16" s="292"/>
      <c r="E16" s="249">
        <f t="shared" si="0"/>
        <v>0</v>
      </c>
    </row>
    <row r="17" spans="1:5" ht="12.75">
      <c r="A17" s="60" t="s">
        <v>281</v>
      </c>
      <c r="B17" s="60"/>
      <c r="C17" s="292"/>
      <c r="D17" s="292"/>
      <c r="E17" s="249">
        <f t="shared" si="0"/>
        <v>0</v>
      </c>
    </row>
    <row r="18" spans="1:5" ht="12.75">
      <c r="A18" s="60" t="s">
        <v>444</v>
      </c>
      <c r="B18" s="60"/>
      <c r="C18" s="292"/>
      <c r="D18" s="292"/>
      <c r="E18" s="249">
        <f t="shared" si="0"/>
        <v>0</v>
      </c>
    </row>
    <row r="19" spans="1:5" ht="12.75">
      <c r="A19" s="60" t="s">
        <v>444</v>
      </c>
      <c r="B19" s="60"/>
      <c r="C19" s="292">
        <v>0</v>
      </c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269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278</v>
      </c>
      <c r="B26" s="60"/>
      <c r="C26" s="292"/>
      <c r="D26" s="292"/>
      <c r="E26" s="249">
        <f aca="true" t="shared" si="1" ref="E26:E33">C26-D26</f>
        <v>0</v>
      </c>
    </row>
    <row r="27" spans="1:5" ht="12.75">
      <c r="A27" s="60" t="s">
        <v>279</v>
      </c>
      <c r="B27" s="60"/>
      <c r="C27" s="292"/>
      <c r="D27" s="292"/>
      <c r="E27" s="249">
        <f t="shared" si="1"/>
        <v>0</v>
      </c>
    </row>
    <row r="28" spans="1:5" ht="12.75">
      <c r="A28" s="60" t="s">
        <v>280</v>
      </c>
      <c r="B28" s="60"/>
      <c r="C28" s="292"/>
      <c r="D28" s="292"/>
      <c r="E28" s="249">
        <f t="shared" si="1"/>
        <v>0</v>
      </c>
    </row>
    <row r="29" spans="1:5" ht="12.75">
      <c r="A29" s="60" t="s">
        <v>281</v>
      </c>
      <c r="B29" s="60"/>
      <c r="C29" s="292"/>
      <c r="D29" s="292"/>
      <c r="E29" s="249">
        <f t="shared" si="1"/>
        <v>0</v>
      </c>
    </row>
    <row r="30" spans="1:5" ht="12.75">
      <c r="A30" s="60" t="s">
        <v>444</v>
      </c>
      <c r="B30" s="60"/>
      <c r="C30" s="292"/>
      <c r="D30" s="292"/>
      <c r="E30" s="249">
        <f t="shared" si="1"/>
        <v>0</v>
      </c>
    </row>
    <row r="31" spans="1:5" ht="12.75">
      <c r="A31" s="60" t="s">
        <v>444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270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264</v>
      </c>
      <c r="B43" s="60"/>
      <c r="C43" s="292"/>
      <c r="D43" s="292"/>
      <c r="E43" s="249">
        <f t="shared" si="2"/>
        <v>0</v>
      </c>
    </row>
    <row r="44" spans="1:5" ht="12.75">
      <c r="A44" s="60" t="s">
        <v>265</v>
      </c>
      <c r="B44" s="60"/>
      <c r="C44" s="292"/>
      <c r="D44" s="292"/>
      <c r="E44" s="249">
        <f t="shared" si="2"/>
        <v>0</v>
      </c>
    </row>
    <row r="45" spans="1:5" ht="12.75">
      <c r="A45" s="60" t="s">
        <v>266</v>
      </c>
      <c r="B45" s="60"/>
      <c r="C45" s="292"/>
      <c r="D45" s="292"/>
      <c r="E45" s="249">
        <f t="shared" si="2"/>
        <v>0</v>
      </c>
    </row>
    <row r="46" spans="1:5" ht="12.75">
      <c r="A46" s="60" t="s">
        <v>267</v>
      </c>
      <c r="B46" s="60"/>
      <c r="C46" s="292"/>
      <c r="D46" s="292"/>
      <c r="E46" s="249">
        <f t="shared" si="2"/>
        <v>0</v>
      </c>
    </row>
    <row r="47" spans="1:5" ht="12.75">
      <c r="A47" s="60" t="s">
        <v>444</v>
      </c>
      <c r="B47" s="60"/>
      <c r="C47" s="292"/>
      <c r="D47" s="292"/>
      <c r="E47" s="249">
        <f t="shared" si="2"/>
        <v>0</v>
      </c>
    </row>
    <row r="48" spans="1:5" ht="12.75">
      <c r="A48" s="60" t="s">
        <v>444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269</v>
      </c>
      <c r="B52" s="60"/>
      <c r="C52" s="90"/>
      <c r="D52" s="90"/>
      <c r="E52" s="90"/>
    </row>
    <row r="53" spans="1:5" ht="12.75">
      <c r="A53" s="499"/>
      <c r="B53" s="60"/>
      <c r="C53" s="292"/>
      <c r="D53" s="292"/>
      <c r="E53" s="249">
        <f>C53-D53</f>
        <v>0</v>
      </c>
    </row>
    <row r="54" spans="1:5" ht="12.75">
      <c r="A54" s="244" t="s">
        <v>491</v>
      </c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264</v>
      </c>
      <c r="B55" s="60"/>
      <c r="C55" s="292"/>
      <c r="D55" s="292"/>
      <c r="E55" s="249">
        <f t="shared" si="3"/>
        <v>0</v>
      </c>
    </row>
    <row r="56" spans="1:5" ht="12.75">
      <c r="A56" s="244" t="s">
        <v>265</v>
      </c>
      <c r="B56" s="60"/>
      <c r="C56" s="292"/>
      <c r="D56" s="292"/>
      <c r="E56" s="249">
        <f t="shared" si="3"/>
        <v>0</v>
      </c>
    </row>
    <row r="57" spans="1:5" ht="12.75">
      <c r="A57" s="244" t="s">
        <v>266</v>
      </c>
      <c r="B57" s="60"/>
      <c r="C57" s="292"/>
      <c r="D57" s="292"/>
      <c r="E57" s="249">
        <f t="shared" si="3"/>
        <v>0</v>
      </c>
    </row>
    <row r="58" spans="1:5" ht="12.75">
      <c r="A58" s="244" t="s">
        <v>267</v>
      </c>
      <c r="B58" s="60"/>
      <c r="C58" s="292"/>
      <c r="D58" s="292"/>
      <c r="E58" s="249">
        <f t="shared" si="3"/>
        <v>0</v>
      </c>
    </row>
    <row r="59" spans="1:5" ht="12.75">
      <c r="A59" s="60" t="s">
        <v>444</v>
      </c>
      <c r="B59" s="60"/>
      <c r="C59" s="292"/>
      <c r="D59" s="292"/>
      <c r="E59" s="249">
        <f t="shared" si="3"/>
        <v>0</v>
      </c>
    </row>
    <row r="60" spans="1:5" ht="12.75">
      <c r="A60" s="60" t="s">
        <v>444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11" sqref="C1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461</v>
      </c>
      <c r="B5" s="8"/>
      <c r="C5" s="8" t="s">
        <v>2</v>
      </c>
      <c r="D5" s="8"/>
      <c r="E5" s="8"/>
      <c r="F5" s="8"/>
    </row>
    <row r="6" spans="1:6" ht="12.75">
      <c r="A6" s="413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Nipissing Energy Services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366</v>
      </c>
      <c r="D10" s="59"/>
      <c r="E10" s="25"/>
      <c r="F10" s="20"/>
    </row>
    <row r="11" spans="1:6" ht="12.75">
      <c r="A11" s="2" t="s">
        <v>119</v>
      </c>
      <c r="B11" s="20"/>
      <c r="C11" s="477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250</v>
      </c>
      <c r="B18" t="s">
        <v>186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445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470</v>
      </c>
      <c r="B36" t="s">
        <v>186</v>
      </c>
      <c r="C36" s="494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0"/>
      <c r="B41" t="s">
        <v>186</v>
      </c>
      <c r="C41" s="292"/>
      <c r="D41" s="292"/>
      <c r="E41" s="249">
        <f t="shared" si="0"/>
        <v>0</v>
      </c>
    </row>
    <row r="42" spans="1:5" ht="12.75">
      <c r="A42" s="500"/>
      <c r="B42" t="s">
        <v>186</v>
      </c>
      <c r="C42" s="292"/>
      <c r="D42" s="292"/>
      <c r="E42" s="249">
        <f t="shared" si="0"/>
        <v>0</v>
      </c>
    </row>
    <row r="43" spans="1:5" ht="12.75">
      <c r="A43" s="502"/>
      <c r="B43" t="s">
        <v>186</v>
      </c>
      <c r="C43" s="292"/>
      <c r="D43" s="292"/>
      <c r="E43" s="249">
        <f t="shared" si="0"/>
        <v>0</v>
      </c>
    </row>
    <row r="44" spans="1:5" ht="12.75">
      <c r="A44" s="502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252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372</v>
      </c>
      <c r="B87" s="8" t="s">
        <v>187</v>
      </c>
      <c r="C87" s="490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66" t="s">
        <v>471</v>
      </c>
      <c r="B96" s="8" t="s">
        <v>187</v>
      </c>
      <c r="C96" s="292">
        <v>0</v>
      </c>
      <c r="D96" s="292"/>
      <c r="E96" s="249">
        <f t="shared" si="5"/>
        <v>0</v>
      </c>
    </row>
    <row r="97" spans="1:5" ht="12.75">
      <c r="A97" s="505" t="s">
        <v>500</v>
      </c>
      <c r="B97" s="8" t="s">
        <v>187</v>
      </c>
      <c r="C97" s="292"/>
      <c r="D97" s="292"/>
      <c r="E97" s="249">
        <f t="shared" si="5"/>
        <v>0</v>
      </c>
    </row>
    <row r="98" spans="1:5" ht="12.75">
      <c r="A98" s="502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5"/>
  <sheetViews>
    <sheetView zoomScale="90" zoomScaleNormal="90" zoomScalePageLayoutView="0" workbookViewId="0" topLeftCell="A1">
      <pane xSplit="1" ySplit="8" topLeftCell="B54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O27" sqref="O2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380</v>
      </c>
      <c r="E3" s="91"/>
    </row>
    <row r="4" spans="1:6" ht="15.75">
      <c r="A4" s="456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8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Nipissing Energy Services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366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5">C19-D19</f>
        <v>0</v>
      </c>
    </row>
    <row r="20" spans="1:5" ht="12.75">
      <c r="A20" t="s">
        <v>383</v>
      </c>
      <c r="B20" t="s">
        <v>186</v>
      </c>
      <c r="C20" s="292"/>
      <c r="D20" s="293"/>
      <c r="E20" s="311">
        <f t="shared" si="0"/>
        <v>0</v>
      </c>
    </row>
    <row r="21" spans="1:5" ht="12.75">
      <c r="A21" t="s">
        <v>449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386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387</v>
      </c>
      <c r="B23" t="s">
        <v>186</v>
      </c>
      <c r="C23" s="292"/>
      <c r="D23" s="293"/>
      <c r="E23" s="311">
        <f t="shared" si="0"/>
        <v>0</v>
      </c>
    </row>
    <row r="24" spans="1:5" ht="12.75">
      <c r="A24" s="66" t="s">
        <v>450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433</v>
      </c>
      <c r="B27" t="s">
        <v>186</v>
      </c>
      <c r="C27" s="494"/>
      <c r="D27" s="494"/>
      <c r="E27" s="311">
        <f t="shared" si="0"/>
        <v>0</v>
      </c>
    </row>
    <row r="28" spans="1:5" ht="12.75">
      <c r="A28" s="66" t="s">
        <v>385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384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428</v>
      </c>
      <c r="B32" t="s">
        <v>186</v>
      </c>
      <c r="C32" s="494"/>
      <c r="D32" s="293"/>
      <c r="E32" s="311">
        <f t="shared" si="0"/>
        <v>0</v>
      </c>
    </row>
    <row r="33" spans="1:5" ht="12.75">
      <c r="A33" s="66" t="s">
        <v>429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446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447</v>
      </c>
      <c r="C35" s="494"/>
      <c r="D35" s="293"/>
      <c r="E35" s="311">
        <f t="shared" si="0"/>
        <v>0</v>
      </c>
    </row>
    <row r="36" spans="1:5" ht="12.75">
      <c r="A36" s="66" t="s">
        <v>430</v>
      </c>
      <c r="C36" s="293"/>
      <c r="D36" s="293"/>
      <c r="E36" s="311">
        <f t="shared" si="0"/>
        <v>0</v>
      </c>
    </row>
    <row r="37" spans="1:5" ht="12.75">
      <c r="A37" s="66" t="s">
        <v>431</v>
      </c>
      <c r="C37" s="293"/>
      <c r="D37" s="293"/>
      <c r="E37" s="311">
        <f t="shared" si="0"/>
        <v>0</v>
      </c>
    </row>
    <row r="38" spans="1:5" ht="12.75">
      <c r="A38" s="80" t="s">
        <v>388</v>
      </c>
      <c r="C38" s="293"/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382</v>
      </c>
      <c r="B40" t="s">
        <v>186</v>
      </c>
      <c r="C40" s="494"/>
      <c r="D40" s="293"/>
      <c r="E40" s="311">
        <f t="shared" si="0"/>
        <v>0</v>
      </c>
    </row>
    <row r="41" spans="1:5" ht="12.75">
      <c r="A41" s="66" t="s">
        <v>453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0" t="s">
        <v>492</v>
      </c>
      <c r="B44" t="s">
        <v>186</v>
      </c>
      <c r="C44" s="292"/>
      <c r="D44" s="292"/>
      <c r="E44" s="249">
        <f t="shared" si="0"/>
        <v>0</v>
      </c>
    </row>
    <row r="45" spans="1:5" ht="12.75">
      <c r="A45" s="500" t="s">
        <v>493</v>
      </c>
      <c r="B45" t="s">
        <v>186</v>
      </c>
      <c r="C45" s="292"/>
      <c r="D45" s="292"/>
      <c r="E45" s="249">
        <f t="shared" si="0"/>
        <v>0</v>
      </c>
    </row>
    <row r="46" spans="1:5" ht="12.75">
      <c r="A46" s="505" t="s">
        <v>499</v>
      </c>
      <c r="C46" s="284">
        <v>0</v>
      </c>
      <c r="D46" s="292"/>
      <c r="E46" s="277"/>
    </row>
    <row r="47" spans="1:5" ht="12.75">
      <c r="A47" s="500" t="s">
        <v>506</v>
      </c>
      <c r="C47" s="292"/>
      <c r="D47" s="292"/>
      <c r="E47" s="277"/>
    </row>
    <row r="48" spans="1:5" ht="12.75">
      <c r="A48" s="505" t="s">
        <v>503</v>
      </c>
      <c r="C48" s="292"/>
      <c r="D48" s="292"/>
      <c r="E48" s="277"/>
    </row>
    <row r="49" spans="1:5" ht="12.75">
      <c r="A49" s="505" t="s">
        <v>495</v>
      </c>
      <c r="B49" t="s">
        <v>186</v>
      </c>
      <c r="C49" s="292"/>
      <c r="D49" s="292"/>
      <c r="E49" s="277"/>
    </row>
    <row r="50" spans="1:5" ht="12.75">
      <c r="A50" s="441" t="s">
        <v>392</v>
      </c>
      <c r="B50" t="s">
        <v>188</v>
      </c>
      <c r="C50" s="249">
        <f>SUM(C19:C49)</f>
        <v>0</v>
      </c>
      <c r="D50" s="249">
        <f>SUM(D19:D49)</f>
        <v>0</v>
      </c>
      <c r="E50" s="249">
        <f>SUM(E19:E49)</f>
        <v>0</v>
      </c>
    </row>
    <row r="51" ht="12.75">
      <c r="A51" s="66"/>
    </row>
    <row r="52" ht="12.75">
      <c r="A52" s="80" t="s">
        <v>144</v>
      </c>
    </row>
    <row r="54" spans="1:5" ht="12.75">
      <c r="A54" s="70" t="s">
        <v>383</v>
      </c>
      <c r="B54" s="8" t="s">
        <v>187</v>
      </c>
      <c r="C54" s="292"/>
      <c r="D54" s="292"/>
      <c r="E54" s="249">
        <f aca="true" t="shared" si="1" ref="E54:E64">C54-D54</f>
        <v>0</v>
      </c>
    </row>
    <row r="55" spans="1:5" ht="12.75">
      <c r="A55" s="66" t="s">
        <v>449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t="s">
        <v>384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t="s">
        <v>432</v>
      </c>
      <c r="B57" s="8" t="s">
        <v>187</v>
      </c>
      <c r="C57" s="490"/>
      <c r="D57" s="292"/>
      <c r="E57" s="249">
        <f t="shared" si="1"/>
        <v>0</v>
      </c>
    </row>
    <row r="58" spans="1:5" ht="12.75">
      <c r="A58" s="66" t="s">
        <v>440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 t="s">
        <v>452</v>
      </c>
      <c r="B59" s="8" t="s">
        <v>187</v>
      </c>
      <c r="C59" s="292"/>
      <c r="D59" s="292"/>
      <c r="E59" s="249">
        <f t="shared" si="1"/>
        <v>0</v>
      </c>
    </row>
    <row r="60" spans="1:5" ht="12.75">
      <c r="A60" s="2" t="s">
        <v>448</v>
      </c>
      <c r="B60" s="8" t="s">
        <v>187</v>
      </c>
      <c r="C60" s="490"/>
      <c r="D60" s="292"/>
      <c r="E60" s="249">
        <f t="shared" si="1"/>
        <v>0</v>
      </c>
    </row>
    <row r="61" spans="1:5" ht="12.75">
      <c r="A61" s="66" t="s">
        <v>451</v>
      </c>
      <c r="B61" s="8" t="s">
        <v>187</v>
      </c>
      <c r="C61" s="292"/>
      <c r="D61" s="292"/>
      <c r="E61" s="249">
        <f t="shared" si="1"/>
        <v>0</v>
      </c>
    </row>
    <row r="62" spans="1:5" ht="12.75">
      <c r="A62" s="66"/>
      <c r="B62" s="8" t="s">
        <v>187</v>
      </c>
      <c r="C62" s="292"/>
      <c r="D62" s="292"/>
      <c r="E62" s="249">
        <f t="shared" si="1"/>
        <v>0</v>
      </c>
    </row>
    <row r="63" spans="1:5" ht="12.75">
      <c r="A63" s="460" t="s">
        <v>389</v>
      </c>
      <c r="B63" s="8" t="s">
        <v>187</v>
      </c>
      <c r="C63" s="490"/>
      <c r="D63" s="292"/>
      <c r="E63" s="249">
        <f t="shared" si="1"/>
        <v>0</v>
      </c>
    </row>
    <row r="64" spans="2:5" ht="12.75">
      <c r="B64" s="8" t="s">
        <v>187</v>
      </c>
      <c r="C64" s="292"/>
      <c r="D64" s="292"/>
      <c r="E64" s="249">
        <f t="shared" si="1"/>
        <v>0</v>
      </c>
    </row>
    <row r="65" spans="1:5" ht="12.75">
      <c r="A65" s="460" t="s">
        <v>382</v>
      </c>
      <c r="B65" s="8" t="s">
        <v>187</v>
      </c>
      <c r="C65" s="490"/>
      <c r="D65" s="292"/>
      <c r="E65" s="249">
        <f aca="true" t="shared" si="2" ref="E65:E75">C65-D65</f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t="s">
        <v>489</v>
      </c>
      <c r="B67" s="8" t="s">
        <v>187</v>
      </c>
      <c r="C67" s="490"/>
      <c r="D67" s="292"/>
      <c r="E67" s="249">
        <f t="shared" si="2"/>
        <v>0</v>
      </c>
    </row>
    <row r="68" spans="2:5" ht="12.75">
      <c r="B68" s="8" t="s">
        <v>187</v>
      </c>
      <c r="C68" s="292"/>
      <c r="D68" s="292"/>
      <c r="E68" s="249">
        <f t="shared" si="2"/>
        <v>0</v>
      </c>
    </row>
    <row r="69" spans="2:5" ht="12.75">
      <c r="B69" s="8" t="s">
        <v>187</v>
      </c>
      <c r="C69" s="292"/>
      <c r="D69" s="292"/>
      <c r="E69" s="249">
        <f t="shared" si="2"/>
        <v>0</v>
      </c>
    </row>
    <row r="70" spans="1:5" ht="12.75">
      <c r="A70" s="66"/>
      <c r="B70" s="8" t="s">
        <v>187</v>
      </c>
      <c r="C70" s="292"/>
      <c r="D70" s="292"/>
      <c r="E70" s="249">
        <f t="shared" si="2"/>
        <v>0</v>
      </c>
    </row>
    <row r="71" spans="1:5" ht="12.75">
      <c r="A71" s="67" t="s">
        <v>204</v>
      </c>
      <c r="B71" s="8" t="s">
        <v>187</v>
      </c>
      <c r="C71" s="292"/>
      <c r="D71" s="292"/>
      <c r="E71" s="249">
        <f t="shared" si="2"/>
        <v>0</v>
      </c>
    </row>
    <row r="72" spans="1:5" ht="12.75">
      <c r="A72" s="503" t="s">
        <v>496</v>
      </c>
      <c r="B72" s="8" t="s">
        <v>187</v>
      </c>
      <c r="C72" s="292"/>
      <c r="D72" s="292"/>
      <c r="E72" s="249">
        <f t="shared" si="2"/>
        <v>0</v>
      </c>
    </row>
    <row r="73" spans="1:5" ht="12.75">
      <c r="A73" s="504" t="s">
        <v>498</v>
      </c>
      <c r="B73" s="8" t="s">
        <v>187</v>
      </c>
      <c r="C73" s="292"/>
      <c r="D73" s="292"/>
      <c r="E73" s="249">
        <f t="shared" si="2"/>
        <v>0</v>
      </c>
    </row>
    <row r="74" spans="1:5" ht="12.75">
      <c r="A74" s="505" t="s">
        <v>499</v>
      </c>
      <c r="B74" s="8" t="s">
        <v>187</v>
      </c>
      <c r="C74" s="292"/>
      <c r="D74" s="292"/>
      <c r="E74" s="249">
        <f t="shared" si="2"/>
        <v>0</v>
      </c>
    </row>
    <row r="75" spans="1:5" ht="12.75">
      <c r="A75" s="505" t="s">
        <v>502</v>
      </c>
      <c r="B75" s="8" t="s">
        <v>187</v>
      </c>
      <c r="C75" s="292"/>
      <c r="D75" s="292"/>
      <c r="E75" s="277">
        <f t="shared" si="2"/>
        <v>0</v>
      </c>
    </row>
    <row r="76" spans="1:5" ht="12.75">
      <c r="A76" s="440" t="s">
        <v>391</v>
      </c>
      <c r="B76" s="8" t="s">
        <v>188</v>
      </c>
      <c r="C76" s="249">
        <f>SUM(C54:C75)</f>
        <v>0</v>
      </c>
      <c r="D76" s="249">
        <f>SUM(D54:D75)</f>
        <v>0</v>
      </c>
      <c r="E76" s="249">
        <f>SUM(E54:E75)</f>
        <v>0</v>
      </c>
    </row>
    <row r="77" ht="12.75">
      <c r="A77" s="66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zoomScalePageLayoutView="0" workbookViewId="0" topLeftCell="A28">
      <selection activeCell="L59" sqref="L5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2.75">
      <c r="A3" s="342" t="s">
        <v>304</v>
      </c>
      <c r="B3" s="341"/>
      <c r="C3" s="341"/>
      <c r="D3" s="341"/>
      <c r="E3" s="341"/>
      <c r="F3" s="343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2.75">
      <c r="A4" s="237" t="str">
        <f>REGINFO!A3</f>
        <v>Utility Name: West Nipissing Energy Services Ltd</v>
      </c>
      <c r="B4" s="341"/>
      <c r="C4" s="341"/>
      <c r="D4" s="341"/>
      <c r="E4" s="341"/>
      <c r="F4" s="341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2.75">
      <c r="A5" s="237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333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30" t="s">
        <v>474</v>
      </c>
      <c r="B8" s="531"/>
      <c r="C8" s="531"/>
      <c r="D8" s="531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463</v>
      </c>
      <c r="B10" s="325"/>
      <c r="C10" s="374" t="s">
        <v>111</v>
      </c>
      <c r="D10" s="374"/>
      <c r="E10" s="374" t="s">
        <v>111</v>
      </c>
      <c r="F10" s="375" t="s">
        <v>475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297</v>
      </c>
      <c r="B13" s="407">
        <v>2002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296</v>
      </c>
      <c r="B14" s="243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301</v>
      </c>
      <c r="B15" s="243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257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3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328</v>
      </c>
      <c r="B21" s="404" t="s">
        <v>467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329</v>
      </c>
      <c r="B22" s="405" t="s">
        <v>468</v>
      </c>
      <c r="C22" s="361">
        <f>10000000*REGINFO!D22</f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4" t="s">
        <v>487</v>
      </c>
      <c r="B23" s="525"/>
      <c r="C23" s="525"/>
      <c r="D23" s="525"/>
      <c r="E23" s="525"/>
      <c r="F23" s="525"/>
      <c r="G23" s="430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8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30" t="s">
        <v>483</v>
      </c>
      <c r="B26" s="531"/>
      <c r="C26" s="531"/>
      <c r="D26" s="531"/>
      <c r="E26" s="531"/>
      <c r="F26" s="53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436</v>
      </c>
      <c r="B28" s="325"/>
      <c r="C28" s="368" t="s">
        <v>111</v>
      </c>
      <c r="D28" s="368" t="s">
        <v>111</v>
      </c>
      <c r="E28" s="368" t="s">
        <v>111</v>
      </c>
      <c r="F28" s="369" t="s">
        <v>486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7">
        <v>2004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296</v>
      </c>
      <c r="B32" s="407">
        <v>2004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2004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257</v>
      </c>
      <c r="B34" s="407">
        <v>2004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3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7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7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7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484</v>
      </c>
      <c r="B39" s="404" t="s">
        <v>467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485</v>
      </c>
      <c r="B40" s="405" t="s">
        <v>482</v>
      </c>
      <c r="C40" s="361">
        <f>50000000*REGINFO!D22</f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6" t="s">
        <v>331</v>
      </c>
      <c r="B41" s="525"/>
      <c r="C41" s="525"/>
      <c r="D41" s="525"/>
      <c r="E41" s="525"/>
      <c r="F41" s="52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7"/>
      <c r="B42" s="527"/>
      <c r="C42" s="527"/>
      <c r="D42" s="527"/>
      <c r="E42" s="527"/>
      <c r="F42" s="52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8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481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486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3"/>
      <c r="C48" s="234"/>
      <c r="D48" s="234"/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7">
        <v>2004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296</v>
      </c>
      <c r="B50" s="243"/>
      <c r="C50" s="350">
        <v>0.1312</v>
      </c>
      <c r="D50" s="350">
        <v>0.2212</v>
      </c>
      <c r="E50" s="351">
        <v>0.2229</v>
      </c>
      <c r="F50" s="495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3"/>
      <c r="C51" s="352">
        <v>0.055</v>
      </c>
      <c r="D51" s="352">
        <v>0.055</v>
      </c>
      <c r="E51" s="353">
        <v>0.1377</v>
      </c>
      <c r="F51" s="496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257</v>
      </c>
      <c r="B52" s="243"/>
      <c r="C52" s="330">
        <f>SUM(C50:C51)</f>
        <v>0.1862</v>
      </c>
      <c r="D52" s="330">
        <f>SUM(D50:D51)</f>
        <v>0.2762</v>
      </c>
      <c r="E52" s="331">
        <f>SUM(E50:E51)</f>
        <v>0.3606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3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2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6"/>
      <c r="C55" s="355">
        <v>0.002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6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345</v>
      </c>
      <c r="B57" s="404" t="s">
        <v>467</v>
      </c>
      <c r="C57" s="497">
        <v>5000000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346</v>
      </c>
      <c r="B58" s="405" t="s">
        <v>482</v>
      </c>
      <c r="C58" s="498">
        <v>50000000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4" t="s">
        <v>347</v>
      </c>
      <c r="B59" s="528"/>
      <c r="C59" s="528"/>
      <c r="D59" s="528"/>
      <c r="E59" s="528"/>
      <c r="F59" s="52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9"/>
      <c r="B60" s="529"/>
      <c r="C60" s="529"/>
      <c r="D60" s="529"/>
      <c r="E60" s="529"/>
      <c r="F60" s="52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zoomScalePageLayoutView="0" workbookViewId="0" topLeftCell="A10">
      <selection activeCell="A47" sqref="A4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West Nipissing Energy Services Ltd</v>
      </c>
      <c r="O3" s="414" t="str">
        <f>REGINFO!E1</f>
        <v>Version 2009.1</v>
      </c>
    </row>
    <row r="4" spans="1:15" ht="12.75">
      <c r="A4" s="2" t="str">
        <f>REGINFO!A4</f>
        <v>Reporting period:  2004</v>
      </c>
      <c r="E4" s="415" t="s">
        <v>518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0</v>
      </c>
      <c r="F11" s="417"/>
      <c r="G11" s="395">
        <f>E22</f>
        <v>0</v>
      </c>
      <c r="H11" s="417"/>
      <c r="I11" s="395">
        <f>G22</f>
        <v>0</v>
      </c>
      <c r="J11" s="389"/>
      <c r="K11" s="395">
        <f>I22</f>
        <v>0</v>
      </c>
      <c r="L11" s="389"/>
      <c r="M11" s="520" t="s">
        <v>102</v>
      </c>
      <c r="N11" s="389"/>
      <c r="O11" s="395">
        <f>C11</f>
        <v>0</v>
      </c>
    </row>
    <row r="12" spans="1:15" ht="27" customHeight="1">
      <c r="A12" s="80" t="s">
        <v>393</v>
      </c>
      <c r="B12" s="65" t="s">
        <v>189</v>
      </c>
      <c r="C12" s="394"/>
      <c r="D12" s="390"/>
      <c r="E12" s="518" t="s">
        <v>102</v>
      </c>
      <c r="F12" s="94"/>
      <c r="G12" s="519" t="s">
        <v>102</v>
      </c>
      <c r="H12" s="94"/>
      <c r="I12" s="519" t="s">
        <v>102</v>
      </c>
      <c r="J12" s="390"/>
      <c r="K12" s="519" t="s">
        <v>102</v>
      </c>
      <c r="L12" s="390"/>
      <c r="M12" s="416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0" t="s">
        <v>435</v>
      </c>
      <c r="B13" s="65"/>
      <c r="C13" s="416"/>
      <c r="D13" s="390"/>
      <c r="E13" s="416"/>
      <c r="F13" s="94"/>
      <c r="G13" s="416"/>
      <c r="H13" s="94"/>
      <c r="I13" s="416"/>
      <c r="J13" s="390"/>
      <c r="K13" s="394"/>
      <c r="L13" s="390"/>
      <c r="M13" s="416"/>
      <c r="N13" s="390"/>
      <c r="O13" s="395">
        <f t="shared" si="0"/>
        <v>0</v>
      </c>
    </row>
    <row r="14" spans="1:15" ht="25.5">
      <c r="A14" s="80" t="s">
        <v>394</v>
      </c>
      <c r="B14" s="65" t="s">
        <v>189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395</v>
      </c>
      <c r="B15" s="65" t="s">
        <v>189</v>
      </c>
      <c r="C15" s="394"/>
      <c r="D15" s="390"/>
      <c r="E15" s="518" t="s">
        <v>102</v>
      </c>
      <c r="F15" s="94"/>
      <c r="G15" s="394"/>
      <c r="H15" s="94"/>
      <c r="I15" s="518" t="s">
        <v>102</v>
      </c>
      <c r="J15" s="394"/>
      <c r="K15" s="394"/>
      <c r="L15" s="394"/>
      <c r="M15" s="518" t="s">
        <v>102</v>
      </c>
      <c r="N15" s="390"/>
      <c r="O15" s="395">
        <f t="shared" si="0"/>
        <v>0</v>
      </c>
    </row>
    <row r="16" spans="1:15" ht="27" customHeight="1">
      <c r="A16" s="80" t="s">
        <v>396</v>
      </c>
      <c r="B16" s="65"/>
      <c r="C16" s="394"/>
      <c r="D16" s="390"/>
      <c r="E16" s="394"/>
      <c r="F16" s="94"/>
      <c r="G16" s="394"/>
      <c r="H16" s="94"/>
      <c r="I16" s="394"/>
      <c r="J16" s="394"/>
      <c r="K16" s="394"/>
      <c r="L16" s="394"/>
      <c r="M16" s="394"/>
      <c r="N16" s="390"/>
      <c r="O16" s="395">
        <f t="shared" si="0"/>
        <v>0</v>
      </c>
    </row>
    <row r="17" spans="1:15" ht="27.75" customHeight="1">
      <c r="A17" s="80" t="s">
        <v>397</v>
      </c>
      <c r="B17" s="65" t="s">
        <v>189</v>
      </c>
      <c r="C17" s="394"/>
      <c r="D17" s="390"/>
      <c r="E17" s="394"/>
      <c r="F17" s="94"/>
      <c r="G17" s="394"/>
      <c r="H17" s="94"/>
      <c r="I17" s="518" t="s">
        <v>102</v>
      </c>
      <c r="J17" s="394"/>
      <c r="K17" s="394"/>
      <c r="L17" s="394"/>
      <c r="M17" s="518" t="s">
        <v>102</v>
      </c>
      <c r="N17" s="390"/>
      <c r="O17" s="395">
        <f t="shared" si="0"/>
        <v>0</v>
      </c>
    </row>
    <row r="18" spans="1:15" ht="25.5">
      <c r="A18" s="80" t="s">
        <v>398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4" t="s">
        <v>399</v>
      </c>
      <c r="B19" s="65" t="s">
        <v>189</v>
      </c>
      <c r="C19" s="394"/>
      <c r="D19" s="390"/>
      <c r="E19" s="518" t="s">
        <v>102</v>
      </c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0" t="s">
        <v>466</v>
      </c>
      <c r="B20" s="65" t="s">
        <v>187</v>
      </c>
      <c r="C20" s="416">
        <v>0</v>
      </c>
      <c r="D20" s="390"/>
      <c r="E20" s="518" t="s">
        <v>102</v>
      </c>
      <c r="F20" s="94"/>
      <c r="G20" s="518" t="s">
        <v>102</v>
      </c>
      <c r="H20" s="94"/>
      <c r="I20" s="518" t="s">
        <v>102</v>
      </c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7"/>
    </row>
    <row r="22" spans="1:15" ht="13.5" thickBot="1">
      <c r="A22" s="80" t="s">
        <v>369</v>
      </c>
      <c r="B22" s="34"/>
      <c r="C22" s="396">
        <f>SUM(C11:C20)</f>
        <v>0</v>
      </c>
      <c r="D22" s="417"/>
      <c r="E22" s="396">
        <f>SUM(E11:E20)</f>
        <v>0</v>
      </c>
      <c r="F22" s="417"/>
      <c r="G22" s="396">
        <f>SUM(G11:G20)</f>
        <v>0</v>
      </c>
      <c r="H22" s="417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0</v>
      </c>
      <c r="N22" s="389"/>
      <c r="O22" s="442">
        <f>SUM(O11:O20)</f>
        <v>0</v>
      </c>
    </row>
    <row r="23" spans="1:15" ht="13.5" thickTop="1">
      <c r="A23" s="425"/>
      <c r="B23" s="426"/>
      <c r="C23" s="432"/>
      <c r="D23" s="433"/>
      <c r="E23" s="432"/>
      <c r="F23" s="433"/>
      <c r="G23" s="432"/>
      <c r="H23" s="433"/>
      <c r="I23" s="432"/>
      <c r="J23" s="426"/>
      <c r="K23" s="432"/>
      <c r="L23" s="187"/>
      <c r="M23" s="434"/>
      <c r="N23" s="187"/>
      <c r="O23" s="434"/>
    </row>
    <row r="24" spans="1:15" ht="12.75">
      <c r="A24" s="448"/>
      <c r="B24" s="449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1"/>
    </row>
    <row r="25" spans="1:15" ht="12.75">
      <c r="A25" s="425"/>
      <c r="B25" s="426"/>
      <c r="C25" s="452"/>
      <c r="D25" s="452"/>
      <c r="E25" s="452"/>
      <c r="F25" s="452"/>
      <c r="G25" s="452"/>
      <c r="H25" s="452"/>
      <c r="I25" s="452"/>
      <c r="J25" s="453"/>
      <c r="K25" s="452"/>
      <c r="L25" s="454"/>
      <c r="M25" s="455"/>
      <c r="N25" s="454"/>
      <c r="O25" s="455"/>
    </row>
    <row r="26" spans="1:15" ht="12.75">
      <c r="A26" s="425" t="s">
        <v>400</v>
      </c>
      <c r="B26" s="426"/>
      <c r="C26" s="452"/>
      <c r="D26" s="452"/>
      <c r="E26" s="452"/>
      <c r="F26" s="452"/>
      <c r="G26" s="452"/>
      <c r="H26" s="452"/>
      <c r="I26" s="452"/>
      <c r="J26" s="453"/>
      <c r="K26" s="452"/>
      <c r="L26" s="454"/>
      <c r="M26" s="455"/>
      <c r="N26" s="454"/>
      <c r="O26" s="455"/>
    </row>
    <row r="27" spans="1:15" ht="9" customHeight="1">
      <c r="A27" s="425"/>
      <c r="B27" s="426"/>
      <c r="C27" s="426"/>
      <c r="D27" s="426"/>
      <c r="E27" s="426"/>
      <c r="F27" s="426"/>
      <c r="G27" s="426"/>
      <c r="H27" s="426"/>
      <c r="I27" s="426"/>
      <c r="J27" s="426"/>
      <c r="K27" s="427"/>
      <c r="L27" s="187"/>
      <c r="M27" s="187"/>
      <c r="N27" s="187"/>
      <c r="O27" s="187"/>
    </row>
    <row r="28" spans="1:15" ht="12.75">
      <c r="A28" s="425" t="s">
        <v>401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187"/>
      <c r="M28" s="187"/>
      <c r="N28" s="187"/>
      <c r="O28" s="187"/>
    </row>
    <row r="29" spans="1:15" ht="12.75">
      <c r="A29" s="428" t="s">
        <v>402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187"/>
      <c r="M29" s="187"/>
      <c r="N29" s="187"/>
      <c r="O29" s="187"/>
    </row>
    <row r="30" spans="1:15" ht="9" customHeight="1">
      <c r="A30" s="187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187"/>
      <c r="M30" s="187"/>
      <c r="N30" s="187"/>
      <c r="O30" s="187"/>
    </row>
    <row r="31" spans="1:15" ht="12.75">
      <c r="A31" s="443" t="s">
        <v>403</v>
      </c>
      <c r="B31" s="79"/>
      <c r="C31" s="79"/>
      <c r="D31" s="79"/>
      <c r="E31" s="79"/>
      <c r="F31" s="79"/>
      <c r="G31" s="79"/>
      <c r="H31" s="79"/>
      <c r="I31" s="439"/>
      <c r="J31" s="439"/>
      <c r="K31" s="521" t="s">
        <v>519</v>
      </c>
      <c r="L31" s="439"/>
      <c r="M31" s="439"/>
      <c r="N31" s="439"/>
      <c r="O31" s="439"/>
    </row>
    <row r="32" spans="1:15" ht="9" customHeight="1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</row>
    <row r="33" spans="1:19" ht="12.75">
      <c r="A33" s="533" t="s">
        <v>404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418"/>
      <c r="Q33" s="418"/>
      <c r="R33" s="418"/>
      <c r="S33" s="418"/>
    </row>
    <row r="34" spans="1:19" ht="12.75">
      <c r="A34" s="532" t="s">
        <v>405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18"/>
      <c r="Q34" s="418"/>
      <c r="R34" s="418"/>
      <c r="S34" s="418"/>
    </row>
    <row r="35" spans="1:19" ht="12.75">
      <c r="A35" s="532" t="s">
        <v>426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418"/>
      <c r="Q35" s="418"/>
      <c r="R35" s="418"/>
      <c r="S35" s="418"/>
    </row>
    <row r="36" spans="1:19" ht="12.75">
      <c r="A36" s="532" t="s">
        <v>406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418"/>
      <c r="Q36" s="418"/>
      <c r="R36" s="418"/>
      <c r="S36" s="418"/>
    </row>
    <row r="37" spans="1:19" ht="12.75">
      <c r="A37" s="429" t="s">
        <v>366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18"/>
      <c r="Q37" s="418"/>
      <c r="R37" s="418"/>
      <c r="S37" s="418"/>
    </row>
    <row r="38" spans="1:19" ht="12.75">
      <c r="A38" s="429" t="s">
        <v>367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18"/>
      <c r="Q38" s="418"/>
      <c r="R38" s="418"/>
      <c r="S38" s="418"/>
    </row>
    <row r="39" spans="1:19" ht="12.75">
      <c r="A39" s="429" t="s">
        <v>407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18"/>
      <c r="Q39" s="418"/>
      <c r="R39" s="418"/>
      <c r="S39" s="418"/>
    </row>
    <row r="40" spans="1:19" ht="12.75">
      <c r="A40" s="429" t="s">
        <v>408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18"/>
      <c r="Q40" s="418"/>
      <c r="R40" s="418"/>
      <c r="S40" s="418"/>
    </row>
    <row r="41" spans="2:19" ht="9" customHeight="1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18"/>
      <c r="Q41" s="418"/>
      <c r="R41" s="418"/>
      <c r="S41" s="418"/>
    </row>
    <row r="42" spans="1:15" ht="12.75">
      <c r="A42" s="431" t="s">
        <v>409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187"/>
      <c r="M42" s="187"/>
      <c r="N42" s="187"/>
      <c r="O42" s="187"/>
    </row>
    <row r="43" spans="1:15" ht="12.75">
      <c r="A43" s="426" t="s">
        <v>410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187"/>
      <c r="M43" s="187"/>
      <c r="N43" s="187"/>
      <c r="O43" s="187"/>
    </row>
    <row r="44" spans="1:15" ht="9" customHeight="1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187"/>
      <c r="M44" s="187"/>
      <c r="N44" s="187"/>
      <c r="O44" s="187"/>
    </row>
    <row r="45" spans="1:15" ht="12.75">
      <c r="A45" s="431" t="s">
        <v>411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187"/>
      <c r="M45" s="187"/>
      <c r="N45" s="187"/>
      <c r="O45" s="187"/>
    </row>
    <row r="46" spans="1:15" ht="12.75">
      <c r="A46" s="426" t="s">
        <v>412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187"/>
      <c r="M46" s="187"/>
      <c r="N46" s="187"/>
      <c r="O46" s="187"/>
    </row>
    <row r="47" spans="1:15" ht="9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187"/>
      <c r="M47" s="187"/>
      <c r="N47" s="187"/>
      <c r="O47" s="187"/>
    </row>
    <row r="48" spans="1:15" ht="12.75">
      <c r="A48" s="431" t="s">
        <v>413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187"/>
      <c r="M48" s="187"/>
      <c r="N48" s="187"/>
      <c r="O48" s="187"/>
    </row>
    <row r="49" spans="1:15" ht="12.75">
      <c r="A49" s="426" t="s">
        <v>414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187"/>
      <c r="M49" s="187"/>
      <c r="N49" s="187"/>
      <c r="O49" s="187"/>
    </row>
    <row r="50" spans="1:15" ht="9" customHeight="1">
      <c r="A50" s="426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187"/>
      <c r="M50" s="187"/>
      <c r="N50" s="187"/>
      <c r="O50" s="187"/>
    </row>
    <row r="51" spans="1:15" ht="12.75">
      <c r="A51" s="431" t="s">
        <v>415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187"/>
      <c r="M51" s="187"/>
      <c r="N51" s="187"/>
      <c r="O51" s="187"/>
    </row>
    <row r="52" spans="1:15" ht="12.75">
      <c r="A52" s="426" t="s">
        <v>412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187"/>
      <c r="M52" s="187"/>
      <c r="N52" s="187"/>
      <c r="O52" s="187"/>
    </row>
    <row r="53" spans="1:15" ht="9" customHeight="1">
      <c r="A53" s="431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187"/>
      <c r="M53" s="187"/>
      <c r="N53" s="187"/>
      <c r="O53" s="187"/>
    </row>
    <row r="54" spans="1:15" ht="12.75">
      <c r="A54" s="426" t="s">
        <v>416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187"/>
      <c r="M54" s="187"/>
      <c r="N54" s="187"/>
      <c r="O54" s="187"/>
    </row>
    <row r="55" spans="1:15" ht="9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187"/>
      <c r="M55" s="187"/>
      <c r="N55" s="187"/>
      <c r="O55" s="187"/>
    </row>
    <row r="56" spans="1:15" ht="12.75" customHeight="1">
      <c r="A56" s="431" t="s">
        <v>417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187"/>
      <c r="M56" s="187"/>
      <c r="N56" s="187"/>
      <c r="O56" s="187"/>
    </row>
    <row r="57" spans="1:15" ht="9" customHeight="1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187"/>
      <c r="M57" s="187"/>
      <c r="N57" s="187"/>
      <c r="O57" s="187"/>
    </row>
    <row r="58" spans="1:15" ht="12.75">
      <c r="A58" s="426" t="s">
        <v>418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187"/>
      <c r="M58" s="187"/>
      <c r="N58" s="187"/>
      <c r="O58" s="187"/>
    </row>
    <row r="59" spans="1:15" ht="12.75">
      <c r="A59" s="426" t="s">
        <v>419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187"/>
      <c r="M59" s="187"/>
      <c r="N59" s="187"/>
      <c r="O59" s="187"/>
    </row>
    <row r="60" spans="1:15" ht="12.75">
      <c r="A60" s="426" t="s">
        <v>420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187"/>
      <c r="M60" s="187"/>
      <c r="N60" s="187"/>
      <c r="O60" s="187"/>
    </row>
    <row r="61" spans="1:15" ht="12.75">
      <c r="A61" s="426" t="s">
        <v>376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187"/>
      <c r="M61" s="187"/>
      <c r="N61" s="187"/>
      <c r="O61" s="187"/>
    </row>
    <row r="62" spans="1:15" ht="9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187"/>
      <c r="M62" s="187"/>
      <c r="N62" s="187"/>
      <c r="O62" s="187"/>
    </row>
    <row r="63" spans="1:15" ht="12.75">
      <c r="A63" s="426" t="s">
        <v>421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187"/>
      <c r="M63" s="187"/>
      <c r="N63" s="187"/>
      <c r="O63" s="187"/>
    </row>
    <row r="64" spans="1:15" ht="12.75">
      <c r="A64" s="426" t="s">
        <v>422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187"/>
      <c r="M64" s="187"/>
      <c r="N64" s="187"/>
      <c r="O64" s="187"/>
    </row>
    <row r="65" spans="1:15" ht="12.75">
      <c r="A65" s="426" t="s">
        <v>378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187"/>
      <c r="M65" s="187"/>
      <c r="N65" s="187"/>
      <c r="O65" s="187"/>
    </row>
    <row r="66" spans="1:15" ht="3.75" customHeight="1">
      <c r="A66" s="426"/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187"/>
      <c r="M66" s="187"/>
      <c r="N66" s="187"/>
      <c r="O66" s="187"/>
    </row>
    <row r="67" spans="1:15" ht="12.75">
      <c r="A67" s="426" t="s">
        <v>377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187"/>
      <c r="M67" s="187"/>
      <c r="N67" s="187"/>
      <c r="O67" s="187"/>
    </row>
    <row r="68" spans="1:15" ht="12.75">
      <c r="A68" s="426" t="s">
        <v>379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187"/>
      <c r="M68" s="187"/>
      <c r="N68" s="187"/>
      <c r="O68" s="187"/>
    </row>
    <row r="69" spans="1:15" ht="3.7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187"/>
      <c r="M69" s="187"/>
      <c r="N69" s="187"/>
      <c r="O69" s="187"/>
    </row>
    <row r="70" spans="1:15" ht="12.75">
      <c r="A70" s="426" t="s">
        <v>423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187"/>
      <c r="M70" s="187"/>
      <c r="N70" s="187"/>
      <c r="O70" s="187"/>
    </row>
    <row r="71" spans="1:15" ht="12.75">
      <c r="A71" s="426" t="s">
        <v>424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187"/>
      <c r="M71" s="187"/>
      <c r="N71" s="187"/>
      <c r="O71" s="187"/>
    </row>
    <row r="72" spans="1:15" ht="12.75">
      <c r="A72" s="426" t="s">
        <v>425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187"/>
      <c r="M72" s="187"/>
      <c r="N72" s="187"/>
      <c r="O72" s="187"/>
    </row>
    <row r="73" spans="1:15" ht="9" customHeight="1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187"/>
      <c r="M73" s="187"/>
      <c r="N73" s="187"/>
      <c r="O73" s="187"/>
    </row>
    <row r="74" spans="1:15" ht="12.75" customHeight="1">
      <c r="A74" s="532" t="s">
        <v>455</v>
      </c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</row>
    <row r="75" spans="1:15" ht="12.75">
      <c r="A75" s="426" t="s">
        <v>368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187"/>
      <c r="M75" s="187"/>
      <c r="N75" s="187"/>
      <c r="O75" s="187"/>
    </row>
    <row r="76" spans="1:15" ht="12.75">
      <c r="A76" s="187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187"/>
      <c r="M76" s="187"/>
      <c r="N76" s="187"/>
      <c r="O76" s="187"/>
    </row>
    <row r="77" spans="1:15" ht="12.75">
      <c r="A77" s="187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187"/>
      <c r="M77" s="187"/>
      <c r="N77" s="187"/>
      <c r="O77" s="187"/>
    </row>
    <row r="78" spans="1:17" ht="12.75">
      <c r="A78" s="187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187"/>
      <c r="O78" s="187"/>
      <c r="P78" s="187"/>
      <c r="Q78" s="187"/>
    </row>
    <row r="79" spans="1:17" ht="12.75">
      <c r="A79" s="187"/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187"/>
      <c r="O79" s="187"/>
      <c r="P79" s="187"/>
      <c r="Q79" s="187"/>
    </row>
    <row r="80" spans="1:17" ht="12.75">
      <c r="A80" s="187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187"/>
      <c r="O80" s="187"/>
      <c r="P80" s="187"/>
      <c r="Q80" s="187"/>
    </row>
    <row r="81" spans="1:17" ht="12.75">
      <c r="A81" s="426"/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187"/>
      <c r="O81" s="187"/>
      <c r="P81" s="187"/>
      <c r="Q81" s="187"/>
    </row>
    <row r="82" spans="1:17" ht="12.75">
      <c r="A82" s="187"/>
      <c r="B82" s="187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187"/>
      <c r="O82" s="187"/>
      <c r="P82" s="187"/>
      <c r="Q82" s="187"/>
    </row>
    <row r="83" spans="1:17" ht="12.75">
      <c r="A83" s="187"/>
      <c r="B83" s="187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187"/>
      <c r="O83" s="187"/>
      <c r="P83" s="187"/>
      <c r="Q83" s="187"/>
    </row>
    <row r="84" spans="1:17" ht="12.75">
      <c r="A84" s="426"/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187"/>
      <c r="O84" s="187"/>
      <c r="P84" s="187"/>
      <c r="Q84" s="187"/>
    </row>
    <row r="85" spans="1:17" ht="12.75">
      <c r="A85" s="187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187"/>
      <c r="O85" s="187"/>
      <c r="P85" s="187"/>
      <c r="Q85" s="187"/>
    </row>
    <row r="86" spans="1:17" ht="12.75">
      <c r="A86" s="187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187"/>
      <c r="O86" s="187"/>
      <c r="P86" s="187"/>
      <c r="Q86" s="187"/>
    </row>
    <row r="87" spans="1:17" ht="12.75">
      <c r="A87" s="187"/>
      <c r="B87" s="187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187"/>
      <c r="O87" s="187"/>
      <c r="P87" s="187"/>
      <c r="Q87" s="187"/>
    </row>
    <row r="88" spans="1:17" ht="12.75">
      <c r="A88" s="187"/>
      <c r="B88" s="187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187"/>
      <c r="O88" s="187"/>
      <c r="P88" s="187"/>
      <c r="Q88" s="187"/>
    </row>
    <row r="89" spans="1:17" ht="12.75">
      <c r="A89" s="187"/>
      <c r="B89" s="187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187"/>
      <c r="O89" s="187"/>
      <c r="P89" s="187"/>
      <c r="Q89" s="187"/>
    </row>
    <row r="90" spans="1:17" ht="12.75">
      <c r="A90" s="187"/>
      <c r="B90" s="187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187"/>
      <c r="O90" s="187"/>
      <c r="P90" s="187"/>
      <c r="Q90" s="187"/>
    </row>
    <row r="91" spans="1:17" ht="12.75">
      <c r="A91" s="187"/>
      <c r="B91" s="187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187"/>
      <c r="O91" s="187"/>
      <c r="P91" s="187"/>
      <c r="Q91" s="187"/>
    </row>
    <row r="92" spans="1:17" ht="12.75">
      <c r="A92" s="187"/>
      <c r="B92" s="187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</row>
    <row r="93" spans="1:17" ht="12.75">
      <c r="A93" s="187"/>
      <c r="B93" s="187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2010-09-13T15:02:08Z</cp:lastPrinted>
  <dcterms:created xsi:type="dcterms:W3CDTF">2001-11-07T16:15:53Z</dcterms:created>
  <dcterms:modified xsi:type="dcterms:W3CDTF">2012-04-24T20:30:45Z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