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<sst xmlns="http://schemas.openxmlformats.org/spreadsheetml/2006/main" count="897" uniqueCount="513">
  <si>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</si>
  <si>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</si>
  <si>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</si>
  <si>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</si>
  <si>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</si>
  <si>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</si>
  <si>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</si>
  <si>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</si>
  <si>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</si>
  <si>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</si>
  <si>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</si>
  <si>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</si>
  <si>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</si>
  <si>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</si>
  <si>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</si>
  <si>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</si>
  <si>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</si>
  <si>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</si>
  <si>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</si>
  <si>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</si>
  <si>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</si>
  <si>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</si>
  <si>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</si>
  <si>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</si>
  <si>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</si>
  <si>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</si>
  <si>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</si>
  <si>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</si>
  <si>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</si>
  <si>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</si>
  <si>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</si>
  <si>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</si>
  <si>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</si>
  <si>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</si>
  <si>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</si>
  <si>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</si>
  <si>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</si>
  <si>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</si>
  <si>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</si>
  <si>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</si>
  <si>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</si>
  <si>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</si>
  <si>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</si>
  <si>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</si>
  <si>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</si>
  <si>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</si>
  <si>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</si>
  <si>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</si>
  <si>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</si>
  <si>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</si>
  <si>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</si>
  <si>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</si>
  <si>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</si>
  <si>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</si>
  <si>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</si>
  <si>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</si>
  <si>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</si>
  <si>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</si>
  <si>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</si>
  <si>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</si>
  <si>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</si>
  <si>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</si>
  <si>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</si>
  <si>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</si>
  <si>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</si>
  <si>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</si>
  <si>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</si>
  <si>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</si>
  <si>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</si>
  <si>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</si>
  <si>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</si>
  <si>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</si>
  <si>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</si>
  <si>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</si>
  <si>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</si>
  <si>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</si>
  <si>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</si>
  <si>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</si>
  <si>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</si>
  <si>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</si>
  <si>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</si>
  <si>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</si>
  <si>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</si>
  <si>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</si>
  <si>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</si>
  <si>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</si>
  <si>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</si>
  <si>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</si>
  <si>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</si>
  <si>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</si>
  <si>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</si>
  <si>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</si>
  <si>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</si>
  <si>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</si>
  <si>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</si>
  <si>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</si>
  <si>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</si>
  <si>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</si>
  <si>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</si>
  <si>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</si>
  <si>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</si>
  <si>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</si>
  <si>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</si>
  <si>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</si>
  <si>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</si>
  <si>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</si>
  <si>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</si>
  <si>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</si>
  <si>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</si>
  <si>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</si>
  <si>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</si>
  <si>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</si>
  <si>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</si>
  <si>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</si>
  <si>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</si>
  <si>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</si>
  <si>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</si>
  <si>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</si>
  <si>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</si>
  <si>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</si>
  <si>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</si>
  <si>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</si>
  <si>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</si>
  <si>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</si>
  <si>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</si>
  <si>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</si>
  <si>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</si>
  <si>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</si>
  <si>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</si>
  <si>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</si>
  <si>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</si>
  <si>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</si>
  <si>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</si>
  <si>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</si>
  <si>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</si>
  <si>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</si>
  <si>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</si>
  <si>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</si>
  <si>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</si>
  <si>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</si>
  <si>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</si>
  <si>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</si>
  <si>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</si>
  <si>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</si>
  <si>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</si>
  <si>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</si>
  <si>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</si>
  <si>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</si>
  <si>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</si>
  <si>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</si>
  <si>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</si>
  <si>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</si>
  <si>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</si>
  <si>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</si>
  <si>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</si>
  <si>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</si>
  <si>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</si>
  <si>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</si>
  <si>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</si>
  <si>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</si>
  <si>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</si>
  <si>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</si>
  <si>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</si>
  <si>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</si>
  <si>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</si>
  <si>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</si>
  <si>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</si>
  <si>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</si>
  <si>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</si>
  <si>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</si>
  <si>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</si>
  <si>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</si>
  <si>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</si>
  <si>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</si>
  <si>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</si>
  <si>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</si>
  <si>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</si>
  <si>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</si>
  <si>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</si>
  <si>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</si>
  <si>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</si>
  <si>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</si>
  <si>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</si>
  <si>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</si>
  <si>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</si>
  <si>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</si>
  <si>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</si>
  <si>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</si>
  <si>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</si>
  <si>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</si>
  <si>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</si>
  <si>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</si>
  <si>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</si>
  <si>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</si>
  <si>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</si>
  <si>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</si>
  <si>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</si>
  <si>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</si>
  <si>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</si>
  <si>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</si>
  <si>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</si>
  <si>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</si>
  <si>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</si>
  <si>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</si>
  <si>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</si>
  <si>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</si>
  <si>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</si>
  <si>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</si>
  <si>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</si>
  <si>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</si>
  <si>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</si>
  <si>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</si>
  <si>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</si>
  <si>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</si>
  <si>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</si>
  <si>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</si>
  <si>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</si>
  <si>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</si>
  <si>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</si>
  <si>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</si>
  <si>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</si>
  <si>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</si>
  <si>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</si>
  <si>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</si>
  <si>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</si>
  <si>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</si>
  <si>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</si>
  <si>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</si>
  <si>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</si>
  <si>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</si>
  <si>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</si>
  <si>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</si>
  <si>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</si>
  <si>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</si>
  <si>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</si>
  <si>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</si>
  <si>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</si>
  <si>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</si>
  <si>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</si>
  <si>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</si>
  <si>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</si>
  <si>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</si>
  <si>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</si>
  <si>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</si>
  <si>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</si>
  <si>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</si>
  <si>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</si>
  <si>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</si>
  <si>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</si>
  <si>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</si>
  <si>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</si>
  <si>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</si>
  <si>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</si>
  <si>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</si>
  <si>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</si>
  <si>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</si>
  <si>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</si>
  <si>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</si>
  <si>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</si>
  <si>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</si>
  <si>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</si>
  <si>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</si>
  <si>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</si>
  <si>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</si>
  <si>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</si>
  <si>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</si>
  <si>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</si>
  <si>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</si>
  <si>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</si>
  <si>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</si>
  <si>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</si>
  <si>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</si>
  <si>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</si>
  <si>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</si>
  <si>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</si>
  <si>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</si>
  <si>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</si>
  <si>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</si>
  <si>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</si>
  <si>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</si>
  <si>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</si>
  <si>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</si>
  <si>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</si>
  <si>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</si>
  <si>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</si>
  <si>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</si>
  <si>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</si>
  <si>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</si>
  <si>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</si>
  <si>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</si>
  <si>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</si>
  <si>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</si>
  <si>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</si>
  <si>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</si>
  <si>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</si>
  <si>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</si>
  <si>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</si>
  <si>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</si>
  <si>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</si>
  <si>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</si>
  <si>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</si>
  <si>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</si>
  <si>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</si>
  <si>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</si>
  <si>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</si>
  <si>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</si>
  <si>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</si>
  <si>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</si>
  <si>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</si>
  <si>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</si>
  <si>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</si>
  <si>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</si>
  <si>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</si>
  <si>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</si>
  <si>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</si>
  <si>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</si>
  <si>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</si>
  <si>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</si>
  <si>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</si>
  <si>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</si>
  <si>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</si>
  <si>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</si>
  <si>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</si>
  <si>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</si>
  <si>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</si>
  <si>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</si>
  <si>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</si>
  <si>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</si>
  <si>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</si>
  <si>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</si>
  <si>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</si>
  <si>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</si>
  <si>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</si>
  <si>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</si>
  <si>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</si>
  <si>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</si>
  <si>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</si>
  <si>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</si>
  <si>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</si>
  <si>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</si>
  <si>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</si>
  <si>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</si>
  <si>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</si>
  <si>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</si>
  <si>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</si>
  <si>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</si>
  <si>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</si>
  <si>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</si>
  <si>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</si>
  <si>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</si>
  <si>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</si>
  <si>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</si>
  <si>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</si>
  <si>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</si>
  <si>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</si>
  <si>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</si>
  <si>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</si>
  <si>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</si>
  <si>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</si>
  <si>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</si>
  <si>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</si>
  <si>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</si>
  <si>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</si>
  <si>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</si>
  <si>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</si>
  <si>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</si>
  <si>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</si>
  <si>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</si>
  <si>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</si>
  <si>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</si>
  <si>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</si>
  <si>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</si>
  <si>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</si>
  <si>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</si>
  <si>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</si>
  <si>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</si>
  <si>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</si>
  <si>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</si>
  <si>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</si>
  <si>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</si>
  <si>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</si>
  <si>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</si>
  <si>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</si>
  <si>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</si>
  <si>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</si>
  <si>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</si>
  <si>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</si>
  <si>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</si>
  <si>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</si>
  <si>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</si>
  <si>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</si>
  <si>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</si>
  <si>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</si>
  <si>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</si>
  <si>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</si>
  <si>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</si>
  <si>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</si>
  <si>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</si>
  <si>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</si>
  <si>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</si>
  <si>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</si>
  <si>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</si>
  <si>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</si>
  <si>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</si>
  <si>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</si>
  <si>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</si>
  <si>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</si>
  <si>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</si>
  <si>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</si>
  <si>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</si>
  <si>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</si>
  <si>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</si>
  <si>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</si>
  <si>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</si>
  <si>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</si>
  <si>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</si>
  <si>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</si>
  <si>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</si>
  <si>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</si>
  <si>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</si>
  <si>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</si>
  <si>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</si>
  <si>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</si>
  <si>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</si>
  <si>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</si>
  <si>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</si>
  <si>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</si>
  <si>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</si>
  <si>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</si>
  <si>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</si>
  <si>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</si>
  <si>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</si>
  <si>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</si>
  <si>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</si>
  <si>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</si>
  <si>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</si>
  <si>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</si>
  <si>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</si>
  <si>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</si>
  <si>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</si>
  <si>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</si>
  <si>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</si>
  <si>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</si>
  <si>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</si>
  <si>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</si>
  <si>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</si>
  <si>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</si>
  <si>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</si>
  <si>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</si>
  <si>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</si>
  <si>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</si>
  <si>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</si>
  <si>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</si>
  <si>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</si>
  <si>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</si>
  <si>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</si>
  <si>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</si>
  <si>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</si>
  <si>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</si>
  <si>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</si>
  <si>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</si>
  <si>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</si>
  <si>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</si>
  <si>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</si>
  <si>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</si>
  <si>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</si>
  <si>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</si>
  <si>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</si>
  <si>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</si>
  <si>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</si>
  <si>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</si>
  <si>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</si>
  <si>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</si>
  <si>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</si>
  <si>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</si>
  <si>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</si>
  <si>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</si>
  <si>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</si>
  <si>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</si>
  <si>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</si>
  <si>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</si>
  <si>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</si>
  <si>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</si>
  <si>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</si>
  <si>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</si>
  <si>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</si>
  <si>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</si>
  <si>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</si>
  <si>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</si>
  <si>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</si>
  <si>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</si>
  <si>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</si>
  <si>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</si>
  <si>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</si>
  <si>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</si>
  <si>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</si>
  <si>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</si>
  <si>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</si>
  <si>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</si>
  <si>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</si>
  <si>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</si>
  <si>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</si>
  <si>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</si>
  <si>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</si>
  <si>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Y</t>
  </si>
  <si>
    <t>N</t>
  </si>
  <si>
    <t xml:space="preserve">check this </t>
  </si>
  <si>
    <t>Utility Name: West Nipissing Energy Services Ltd</t>
  </si>
  <si>
    <t>Financially Distressed</t>
  </si>
  <si>
    <t>did not exclude surtax</t>
  </si>
  <si>
    <t>agrees to decision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</si>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</sst>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63" applyNumberFormat="1" applyFont="1" applyFill="1" applyBorder="1" applyAlignment="1" applyProtection="1" quotePrefix="1">
      <alignment vertical="top"/>
      <protection/>
    </xf>
    <xf numFmtId="3" fontId="0" fillId="35" borderId="47" xfId="63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63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3" borderId="14" xfId="0" applyNumberFormat="1" applyFill="1" applyBorder="1" applyAlignment="1">
      <alignment vertical="top"/>
    </xf>
    <xf numFmtId="10" fontId="0" fillId="43" borderId="0" xfId="0" applyNumberFormat="1" applyFill="1" applyAlignment="1">
      <alignment vertical="top"/>
    </xf>
    <xf numFmtId="37" fontId="0" fillId="43" borderId="0" xfId="0" applyNumberFormat="1" applyFill="1" applyAlignment="1">
      <alignment vertical="top"/>
    </xf>
    <xf numFmtId="3" fontId="0" fillId="44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horizontal="right" vertical="top"/>
    </xf>
    <xf numFmtId="3" fontId="0" fillId="43" borderId="14" xfId="0" applyNumberFormat="1" applyFill="1" applyBorder="1" applyAlignment="1" applyProtection="1">
      <alignment horizontal="right" vertical="top"/>
      <protection locked="0"/>
    </xf>
    <xf numFmtId="37" fontId="0" fillId="43" borderId="14" xfId="0" applyNumberFormat="1" applyFill="1" applyBorder="1" applyAlignment="1">
      <alignment vertical="top"/>
    </xf>
    <xf numFmtId="10" fontId="0" fillId="43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3" borderId="14" xfId="0" applyNumberFormat="1" applyFill="1" applyBorder="1" applyAlignment="1">
      <alignment/>
    </xf>
    <xf numFmtId="9" fontId="0" fillId="43" borderId="0" xfId="0" applyNumberFormat="1" applyFill="1" applyAlignment="1">
      <alignment horizontal="center" vertical="top"/>
    </xf>
    <xf numFmtId="3" fontId="0" fillId="43" borderId="14" xfId="0" applyNumberFormat="1" applyFill="1" applyBorder="1" applyAlignment="1" applyProtection="1">
      <alignment horizontal="center" vertical="center"/>
      <protection locked="0"/>
    </xf>
    <xf numFmtId="3" fontId="0" fillId="43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4" borderId="0" xfId="0" applyFont="1" applyFill="1" applyAlignment="1">
      <alignment vertical="top"/>
    </xf>
    <xf numFmtId="0" fontId="0" fillId="44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10" fontId="0" fillId="41" borderId="14" xfId="70" applyNumberFormat="1" applyFont="1" applyFill="1" applyBorder="1" applyAlignment="1" applyProtection="1" quotePrefix="1">
      <alignment horizontal="right" vertical="top"/>
      <protection/>
    </xf>
    <xf numFmtId="0" fontId="0" fillId="0" borderId="0" xfId="0" applyFont="1" applyAlignment="1">
      <alignment vertical="top"/>
    </xf>
    <xf numFmtId="3" fontId="0" fillId="35" borderId="17" xfId="42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39" borderId="0" xfId="0" applyNumberFormat="1" applyFont="1" applyFill="1" applyAlignment="1">
      <alignment/>
    </xf>
    <xf numFmtId="0" fontId="0" fillId="39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Alignment="1">
      <alignment vertical="top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 2" xfId="49"/>
    <cellStyle name="Currency0" xfId="50"/>
    <cellStyle name="Currency0 2" xfId="51"/>
    <cellStyle name="Date" xfId="52"/>
    <cellStyle name="Date 2" xfId="53"/>
    <cellStyle name="Explanatory Text" xfId="54"/>
    <cellStyle name="Fixed" xfId="55"/>
    <cellStyle name="Fixed 2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Total 2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workbookViewId="0" topLeftCell="A1">
      <selection activeCell="H67" sqref="H67"/>
    </sheetView>
  </sheetViews>
  <sheetFormatPr defaultColWidth="9.140625" defaultRowHeight="12.75"/>
  <cols>
    <col min="1" max="1" width="57.7109375" style="0" customWidth="1"/>
    <col min="2" max="2" width="19.57421875" style="0" bestFit="1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488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507</v>
      </c>
      <c r="C3" s="8"/>
      <c r="D3" s="450" t="s">
        <v>442</v>
      </c>
      <c r="E3" s="8"/>
      <c r="F3" s="8"/>
      <c r="G3" s="8"/>
      <c r="H3" s="8"/>
    </row>
    <row r="4" spans="1:8" ht="12.75">
      <c r="A4" s="2" t="s">
        <v>474</v>
      </c>
      <c r="C4" s="8"/>
      <c r="D4" s="449" t="s">
        <v>437</v>
      </c>
      <c r="E4" s="423"/>
      <c r="H4" s="8"/>
    </row>
    <row r="5" spans="1:8" ht="12.75">
      <c r="A5" s="51"/>
      <c r="C5" s="8"/>
      <c r="D5" s="448" t="s">
        <v>438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1" t="s">
        <v>253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 t="s">
        <v>505</v>
      </c>
    </row>
    <row r="18" spans="1:4" ht="15" customHeight="1">
      <c r="A18" s="389" t="s">
        <v>311</v>
      </c>
      <c r="C18" s="8"/>
      <c r="D18" s="8"/>
    </row>
    <row r="19" spans="1:4" ht="15" customHeight="1">
      <c r="A19" s="510" t="s">
        <v>312</v>
      </c>
      <c r="B19" s="8" t="s">
        <v>309</v>
      </c>
      <c r="C19" s="8" t="s">
        <v>64</v>
      </c>
      <c r="D19" s="388" t="s">
        <v>504</v>
      </c>
    </row>
    <row r="20" spans="1:4" ht="13.5" thickBot="1">
      <c r="A20" s="511"/>
      <c r="B20" s="8" t="s">
        <v>310</v>
      </c>
      <c r="C20" s="8" t="s">
        <v>64</v>
      </c>
      <c r="D20" s="257" t="s">
        <v>504</v>
      </c>
    </row>
    <row r="21" spans="1:4" ht="12.75">
      <c r="A21" s="510" t="s">
        <v>308</v>
      </c>
      <c r="B21" s="8" t="s">
        <v>309</v>
      </c>
      <c r="C21" s="8"/>
      <c r="D21" s="493"/>
    </row>
    <row r="22" spans="1:4" ht="12.75">
      <c r="A22" s="510"/>
      <c r="B22" s="8" t="s">
        <v>310</v>
      </c>
      <c r="C22" s="8"/>
      <c r="D22" s="493"/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1" t="s">
        <v>475</v>
      </c>
    </row>
    <row r="25" ht="6.75" customHeight="1" thickBot="1">
      <c r="A25" s="12"/>
    </row>
    <row r="26" spans="1:5" ht="12.75">
      <c r="A26" s="254" t="s">
        <v>67</v>
      </c>
      <c r="C26" s="8"/>
      <c r="E26" s="438" t="s">
        <v>293</v>
      </c>
    </row>
    <row r="27" spans="1:5" ht="12.75">
      <c r="A27" s="255" t="s">
        <v>68</v>
      </c>
      <c r="C27" s="8"/>
      <c r="E27" s="439" t="s">
        <v>294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283</v>
      </c>
      <c r="D31" s="482">
        <v>3010436</v>
      </c>
      <c r="H31" s="5"/>
    </row>
    <row r="32" ht="6" customHeight="1"/>
    <row r="33" spans="1:8" ht="12.75">
      <c r="A33" t="s">
        <v>71</v>
      </c>
      <c r="D33" s="48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1">
        <v>0.0988</v>
      </c>
      <c r="H37" s="41"/>
    </row>
    <row r="38" ht="4.5" customHeight="1">
      <c r="H38" s="34"/>
    </row>
    <row r="39" spans="1:8" ht="12.75">
      <c r="A39" t="s">
        <v>74</v>
      </c>
      <c r="D39" s="481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257843.8434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257843.8434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B47" s="504" t="s">
        <v>508</v>
      </c>
      <c r="D47" s="483">
        <v>257844</v>
      </c>
      <c r="E47" s="387">
        <f aca="true" t="shared" si="0" ref="E47:E53">D47</f>
        <v>257844</v>
      </c>
      <c r="H47" s="40"/>
      <c r="J47" s="5"/>
      <c r="K47" s="5"/>
    </row>
    <row r="48" spans="1:11" ht="12.75">
      <c r="A48" t="s">
        <v>286</v>
      </c>
      <c r="D48" s="483">
        <v>0</v>
      </c>
      <c r="E48" s="387">
        <f>D48</f>
        <v>0</v>
      </c>
      <c r="F48" s="22"/>
      <c r="H48" s="40"/>
      <c r="J48" s="5"/>
      <c r="K48" s="5"/>
    </row>
    <row r="49" spans="1:11" ht="12.75">
      <c r="A49" t="s">
        <v>287</v>
      </c>
      <c r="D49" s="484"/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434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457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3">
        <f>SUM(E43:E53)</f>
        <v>257844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2">
        <f>IF(D41&gt;0,(((D43+D47)/D41)*D62),0)</f>
        <v>109128.37127845883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2">
        <f>IF(D41&gt;0,(((D43+D47+D48)/D41)*D62),0)</f>
        <v>109128.37127845883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2">
        <f>IF(D41&gt;0,(((D43+D47+D48)/D41)*D62),0)</f>
        <v>109128.37127845883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2">
        <f>D62</f>
        <v>109128.305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0"/>
  <sheetViews>
    <sheetView tabSelected="1" zoomScale="90" zoomScaleNormal="90" workbookViewId="0" topLeftCell="A169">
      <selection activeCell="I79" sqref="I7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459</v>
      </c>
      <c r="H1" s="209"/>
    </row>
    <row r="2" spans="1:8" ht="12.75">
      <c r="A2" s="210" t="s">
        <v>458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460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West Nipissing Energy Services Ltd</v>
      </c>
      <c r="B6" s="114"/>
      <c r="D6" s="136"/>
      <c r="E6" s="114"/>
      <c r="G6" s="114"/>
      <c r="H6" s="460"/>
    </row>
    <row r="7" spans="1:12" ht="12.75">
      <c r="A7" s="210" t="str">
        <f>REGINFO!A4</f>
        <v>Reporting period:  2003</v>
      </c>
      <c r="B7" s="114"/>
      <c r="D7" s="136"/>
      <c r="E7" s="114"/>
      <c r="G7" s="114"/>
      <c r="H7" s="460"/>
      <c r="J7" s="34"/>
      <c r="K7" s="34"/>
      <c r="L7" s="34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34"/>
      <c r="K8" s="34"/>
      <c r="L8" s="34"/>
    </row>
    <row r="9" spans="1:8" ht="12.75">
      <c r="A9" s="210" t="s">
        <v>126</v>
      </c>
      <c r="B9" s="424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253</v>
      </c>
      <c r="B10" s="424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336</v>
      </c>
      <c r="B16" s="124">
        <v>1</v>
      </c>
      <c r="C16" s="258">
        <f>REGINFO!E54</f>
        <v>257844</v>
      </c>
      <c r="D16" s="17"/>
      <c r="E16" s="266">
        <f>G16-C16</f>
        <v>-244743</v>
      </c>
      <c r="F16" s="3"/>
      <c r="G16" s="266">
        <f>TAXREC!E50</f>
        <v>13101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5">
        <v>172160</v>
      </c>
      <c r="D20" s="18"/>
      <c r="E20" s="266">
        <f>G20-C20</f>
        <v>35450</v>
      </c>
      <c r="F20" s="6"/>
      <c r="G20" s="266">
        <f>TAXREC!E61</f>
        <v>207610</v>
      </c>
      <c r="H20" s="150"/>
    </row>
    <row r="21" spans="1:8" ht="12.75">
      <c r="A21" s="157" t="s">
        <v>56</v>
      </c>
      <c r="B21" s="126">
        <v>3</v>
      </c>
      <c r="C21" s="260">
        <v>24478</v>
      </c>
      <c r="D21" s="18"/>
      <c r="E21" s="266">
        <f>G21-C21</f>
        <v>-24478</v>
      </c>
      <c r="F21" s="6"/>
      <c r="G21" s="266">
        <f>TAXREC!E62</f>
        <v>0</v>
      </c>
      <c r="H21" s="150"/>
    </row>
    <row r="22" spans="1:8" ht="12.75">
      <c r="A22" s="157" t="s">
        <v>261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260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262</v>
      </c>
      <c r="B24" s="126">
        <v>5</v>
      </c>
      <c r="C24" s="485">
        <v>66704</v>
      </c>
      <c r="D24" s="18"/>
      <c r="E24" s="266">
        <f>G24-C24</f>
        <v>-66704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74" t="s">
        <v>390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337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485">
        <v>269267</v>
      </c>
      <c r="D33" s="131"/>
      <c r="E33" s="266">
        <f aca="true" t="shared" si="0" ref="E33:E42">G33-C33</f>
        <v>-49490</v>
      </c>
      <c r="F33" s="6"/>
      <c r="G33" s="266">
        <f>TAXREC!E97+TAXREC!E98</f>
        <v>219777</v>
      </c>
      <c r="H33" s="150"/>
    </row>
    <row r="34" spans="1:8" ht="12.75">
      <c r="A34" s="157" t="s">
        <v>57</v>
      </c>
      <c r="B34" s="126">
        <v>8</v>
      </c>
      <c r="C34" s="260">
        <v>24478</v>
      </c>
      <c r="D34" s="131"/>
      <c r="E34" s="266">
        <f t="shared" si="0"/>
        <v>-24478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263</v>
      </c>
      <c r="B36" s="126">
        <v>10</v>
      </c>
      <c r="C36" s="485">
        <v>49756</v>
      </c>
      <c r="D36" s="131"/>
      <c r="E36" s="266">
        <f t="shared" si="0"/>
        <v>-49756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109128.37127845883</v>
      </c>
      <c r="D37" s="131"/>
      <c r="E37" s="266">
        <f t="shared" si="0"/>
        <v>-109128.37127845883</v>
      </c>
      <c r="F37" s="6"/>
      <c r="G37" s="266">
        <f>TAXREC!E51</f>
        <v>0</v>
      </c>
      <c r="H37" s="150"/>
    </row>
    <row r="38" spans="1:8" ht="12.75">
      <c r="A38" s="154" t="s">
        <v>259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258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0"/>
      <c r="D45" s="131"/>
      <c r="E45" s="266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0"/>
      <c r="D46" s="131"/>
      <c r="E46" s="266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TAXREC!E111</f>
        <v>0</v>
      </c>
      <c r="H47" s="150"/>
    </row>
    <row r="48" spans="1:8" ht="15.75">
      <c r="A48" s="474" t="s">
        <v>390</v>
      </c>
      <c r="B48" s="126"/>
      <c r="C48" s="258"/>
      <c r="D48" s="131"/>
      <c r="E48" s="266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2">
        <f>C16+SUM(C20:C30)-SUM(C33:C48)</f>
        <v>68556.62872154114</v>
      </c>
      <c r="D50" s="101"/>
      <c r="E50" s="262">
        <f>E16+SUM(E20:E30)-SUM(E33:E48)</f>
        <v>-67622.62872154117</v>
      </c>
      <c r="F50" s="426" t="s">
        <v>362</v>
      </c>
      <c r="G50" s="262">
        <f>G16+SUM(G20:G30)-SUM(G33:G48)</f>
        <v>934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331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335</v>
      </c>
      <c r="B53" s="126">
        <v>13</v>
      </c>
      <c r="C53" s="261">
        <f>IF($C$50&gt;'Tax Rates'!$E$11,'Tax Rates'!$F$16,IF($C$50&gt;'Tax Rates'!$C$11,'Tax Rates'!$E$16,'Tax Rates'!$C$16))</f>
        <v>0.1912</v>
      </c>
      <c r="D53" s="101"/>
      <c r="E53" s="267">
        <f>+G53-C53</f>
        <v>-0.1912</v>
      </c>
      <c r="F53" s="113"/>
      <c r="G53" s="468">
        <f>TAXREC!E151</f>
        <v>0</v>
      </c>
      <c r="H53" s="150"/>
      <c r="I53" s="465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13108.027411558667</v>
      </c>
      <c r="D55" s="101"/>
      <c r="E55" s="266">
        <f>G55-C55</f>
        <v>-13108.027411558667</v>
      </c>
      <c r="F55" s="426" t="s">
        <v>363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26" t="s">
        <v>363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13108.027411558667</v>
      </c>
      <c r="D60" s="132"/>
      <c r="E60" s="268">
        <f>+E55-E58</f>
        <v>-13108.027411558667</v>
      </c>
      <c r="F60" s="426" t="s">
        <v>363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v>3010436</v>
      </c>
      <c r="D66" s="101"/>
      <c r="E66" s="266">
        <f>G66-C66</f>
        <v>72370945</v>
      </c>
      <c r="F66" s="6"/>
      <c r="G66" s="486">
        <v>75381381</v>
      </c>
      <c r="H66" s="150"/>
      <c r="I66" s="470" t="s">
        <v>470</v>
      </c>
    </row>
    <row r="67" spans="1:10" ht="12.75">
      <c r="A67" s="151" t="s">
        <v>355</v>
      </c>
      <c r="B67" s="124">
        <v>16</v>
      </c>
      <c r="C67" s="259">
        <v>5000000</v>
      </c>
      <c r="D67" s="101"/>
      <c r="E67" s="266">
        <f>G67-C67</f>
        <v>-494421</v>
      </c>
      <c r="F67" s="6"/>
      <c r="G67" s="266">
        <v>4505579</v>
      </c>
      <c r="H67" s="150"/>
      <c r="I67" s="470" t="s">
        <v>470</v>
      </c>
      <c r="J67" s="526" t="s">
        <v>102</v>
      </c>
    </row>
    <row r="68" spans="1:8" ht="12.75">
      <c r="A68" s="151" t="s">
        <v>42</v>
      </c>
      <c r="B68" s="124"/>
      <c r="C68" s="263">
        <f>IF((C66-C67)&gt;0,C66-C67,0)</f>
        <v>0</v>
      </c>
      <c r="D68" s="101"/>
      <c r="E68" s="266">
        <f>SUM(E66:E67)</f>
        <v>71876524</v>
      </c>
      <c r="F68" s="113"/>
      <c r="G68" s="263">
        <f>G66-G67</f>
        <v>70875802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356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313</v>
      </c>
      <c r="B72" s="124"/>
      <c r="C72" s="263">
        <f>IF(C68&gt;0,C68*C70,0)*REGINFO!$B$6/REGINFO!$B$7</f>
        <v>0</v>
      </c>
      <c r="D72" s="100"/>
      <c r="E72" s="266">
        <f>+G72-C72</f>
        <v>212627.40600000005</v>
      </c>
      <c r="F72" s="471"/>
      <c r="G72" s="263">
        <f>IF(G68&gt;0,G68*G70,0)*REGINFO!$B$6/REGINFO!$B$7</f>
        <v>212627.40600000005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v>3010406</v>
      </c>
      <c r="D75" s="101"/>
      <c r="E75" s="266">
        <f>+G75-C75</f>
        <v>72693029</v>
      </c>
      <c r="F75" s="6"/>
      <c r="G75" s="486">
        <v>75703435</v>
      </c>
      <c r="H75" s="150"/>
      <c r="I75" s="470" t="s">
        <v>470</v>
      </c>
    </row>
    <row r="76" spans="1:9" ht="12.75">
      <c r="A76" s="151" t="s">
        <v>355</v>
      </c>
      <c r="B76" s="124">
        <v>19</v>
      </c>
      <c r="C76" s="259">
        <v>10000000</v>
      </c>
      <c r="D76" s="18"/>
      <c r="E76" s="266">
        <f>+G76-C76</f>
        <v>0</v>
      </c>
      <c r="F76" s="6"/>
      <c r="G76" s="266">
        <v>10000000</v>
      </c>
      <c r="H76" s="150"/>
      <c r="I76" s="470" t="s">
        <v>470</v>
      </c>
    </row>
    <row r="77" spans="1:8" ht="12.75">
      <c r="A77" s="151" t="s">
        <v>42</v>
      </c>
      <c r="B77" s="124"/>
      <c r="C77" s="263">
        <f>IF((C75-C76)&gt;0,C75-C76,0)</f>
        <v>0</v>
      </c>
      <c r="D77" s="19"/>
      <c r="E77" s="266">
        <f>SUM(E75:E76)</f>
        <v>72693029</v>
      </c>
      <c r="F77" s="113"/>
      <c r="G77" s="263">
        <f>G75-G76</f>
        <v>65703435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356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314</v>
      </c>
      <c r="B81" s="124"/>
      <c r="C81" s="263">
        <f>IF(C77&gt;0,C77*C79,0)*REGINFO!$B$6/REGINFO!$B$7</f>
        <v>0</v>
      </c>
      <c r="D81" s="101"/>
      <c r="E81" s="266">
        <f>+G81-C81</f>
        <v>147832.72874999998</v>
      </c>
      <c r="F81" s="6"/>
      <c r="G81" s="263">
        <f>G77*G79*B9/B10</f>
        <v>147832.72874999998</v>
      </c>
      <c r="H81" s="150"/>
    </row>
    <row r="82" spans="1:8" ht="12.75">
      <c r="A82" s="151" t="s">
        <v>315</v>
      </c>
      <c r="B82" s="124">
        <v>21</v>
      </c>
      <c r="C82" s="299">
        <f>IF(C77&gt;0,IF(C60&gt;0,C50*'Tax Rates'!C20,0),0)</f>
        <v>0</v>
      </c>
      <c r="D82" s="101"/>
      <c r="E82" s="266">
        <f>+G82-C82</f>
        <v>0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0</v>
      </c>
      <c r="D84" s="16"/>
      <c r="E84" s="266">
        <f>E81-E82</f>
        <v>147832.72874999998</v>
      </c>
      <c r="F84" s="102"/>
      <c r="G84" s="263">
        <f>G81-G82</f>
        <v>147832.72874999998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9" ht="12.75">
      <c r="A88" s="151" t="s">
        <v>226</v>
      </c>
      <c r="B88" s="124"/>
      <c r="C88" s="261">
        <f>IF($C$50&gt;'Tax Rates'!$E$11,'Tax Rates'!$F$16,IF(AND($C$50&gt;='Tax Rates'!$C$11,$C$50&lt;='Tax Rates'!E11),'Tax Rates'!$E$16,'Tax Rates'!$C$16))</f>
        <v>0.1912</v>
      </c>
      <c r="D88" s="11"/>
      <c r="E88" s="113"/>
      <c r="F88" s="6"/>
      <c r="G88" s="197"/>
      <c r="H88" s="150"/>
      <c r="I88" s="504" t="s">
        <v>509</v>
      </c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364</v>
      </c>
      <c r="B90" s="126">
        <v>22</v>
      </c>
      <c r="C90" s="263">
        <f>C60/(1-C88)</f>
        <v>16206.759905487967</v>
      </c>
      <c r="D90" s="20"/>
      <c r="E90" s="138"/>
      <c r="F90" s="425" t="s">
        <v>476</v>
      </c>
      <c r="G90" s="269">
        <f>TAXREC!E156</f>
        <v>0</v>
      </c>
      <c r="H90" s="150"/>
    </row>
    <row r="91" spans="1:8" ht="12.75">
      <c r="A91" s="157" t="s">
        <v>365</v>
      </c>
      <c r="B91" s="126">
        <v>23</v>
      </c>
      <c r="C91" s="263">
        <f>C84/(1-C88)</f>
        <v>0</v>
      </c>
      <c r="D91" s="20"/>
      <c r="E91" s="138"/>
      <c r="F91" s="425" t="s">
        <v>476</v>
      </c>
      <c r="G91" s="269">
        <f>TAXREC!E158</f>
        <v>0</v>
      </c>
      <c r="H91" s="150"/>
    </row>
    <row r="92" spans="1:8" ht="12.75">
      <c r="A92" s="157" t="s">
        <v>343</v>
      </c>
      <c r="B92" s="126">
        <v>24</v>
      </c>
      <c r="C92" s="263">
        <f>C72</f>
        <v>0</v>
      </c>
      <c r="D92" s="20"/>
      <c r="E92" s="138"/>
      <c r="F92" s="425" t="s">
        <v>476</v>
      </c>
      <c r="G92" s="269">
        <f>TAXREC!E157</f>
        <v>0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9" ht="13.5" thickBot="1">
      <c r="A95" s="155" t="s">
        <v>477</v>
      </c>
      <c r="B95" s="124">
        <v>25</v>
      </c>
      <c r="C95" s="268">
        <f>SUM(C90:C93)</f>
        <v>16206.759905487967</v>
      </c>
      <c r="D95" s="6"/>
      <c r="E95" s="138"/>
      <c r="F95" s="425" t="s">
        <v>476</v>
      </c>
      <c r="G95" s="413">
        <f>SUM(G90:G94)</f>
        <v>0</v>
      </c>
      <c r="H95" s="163"/>
      <c r="I95" s="504" t="s">
        <v>510</v>
      </c>
    </row>
    <row r="96" spans="1:8" ht="12.75">
      <c r="A96" s="403" t="s">
        <v>304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301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341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-24478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-66704</v>
      </c>
      <c r="F105" s="37"/>
      <c r="G105" s="200"/>
      <c r="H105" s="163"/>
    </row>
    <row r="106" spans="1:8" ht="12.75">
      <c r="A106" s="157" t="s">
        <v>358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359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357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-24478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-49756</v>
      </c>
      <c r="F111" s="37"/>
      <c r="G111" s="200"/>
      <c r="H111" s="163"/>
    </row>
    <row r="112" spans="1:8" ht="12.75">
      <c r="A112" s="502" t="s">
        <v>502</v>
      </c>
      <c r="B112" s="126">
        <v>11</v>
      </c>
      <c r="C112" s="111"/>
      <c r="D112" s="3"/>
      <c r="E112" s="467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360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361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3">
        <f>SUM(E102:E107)-SUM(E109:E118)</f>
        <v>-16948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478</v>
      </c>
      <c r="B122" s="126"/>
      <c r="C122" s="111"/>
      <c r="D122" s="3" t="s">
        <v>230</v>
      </c>
      <c r="E122" s="503">
        <v>0.1862</v>
      </c>
      <c r="F122" s="465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3">
        <f>E120*E122</f>
        <v>-3155.7176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-3155.7176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1">
        <v>0.175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347</v>
      </c>
      <c r="B132" s="129"/>
      <c r="C132" s="111"/>
      <c r="D132" s="3"/>
      <c r="E132" s="478">
        <f>E128/(1-E130)</f>
        <v>-3825.1122424242426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350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1">
        <f>C50</f>
        <v>68556.62872154114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1">
        <v>0.1862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2">
        <f>IF(E136&gt;0,E136*E138,0)</f>
        <v>12765.24426795096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3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1">
        <f>E140-E142</f>
        <v>12765.24426795096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1">
        <f>C60</f>
        <v>13108.027411558667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1">
        <f>E144-E146</f>
        <v>-342.78314360770673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6" t="s">
        <v>20</v>
      </c>
      <c r="B150" s="129"/>
      <c r="C150" s="111"/>
      <c r="D150" s="118"/>
      <c r="E150" s="473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1">
        <f>C66</f>
        <v>3010436</v>
      </c>
      <c r="F151" s="37"/>
      <c r="G151" s="200"/>
      <c r="H151" s="163"/>
    </row>
    <row r="152" spans="1:8" ht="12.75">
      <c r="A152" s="170" t="s">
        <v>353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1">
        <f>E151-E152</f>
        <v>-1989564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354</v>
      </c>
      <c r="B155" s="129"/>
      <c r="C155" s="111"/>
      <c r="D155" s="118" t="s">
        <v>230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1">
        <f>IF(E153&gt;0,E153*E155*B9/B10,0)</f>
        <v>0</v>
      </c>
      <c r="F157" s="37"/>
      <c r="G157" s="200"/>
      <c r="H157" s="163"/>
    </row>
    <row r="158" spans="1:8" ht="25.5">
      <c r="A158" s="170" t="s">
        <v>305</v>
      </c>
      <c r="B158" s="129"/>
      <c r="C158" s="111"/>
      <c r="D158" s="117" t="s">
        <v>187</v>
      </c>
      <c r="E158" s="304">
        <f>C72</f>
        <v>0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69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6" t="s">
        <v>235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3010406</v>
      </c>
      <c r="F162" s="37"/>
      <c r="G162" s="200"/>
      <c r="H162" s="163"/>
    </row>
    <row r="163" spans="1:8" ht="12.75">
      <c r="A163" s="170" t="s">
        <v>352</v>
      </c>
      <c r="B163" s="129"/>
      <c r="C163" s="111"/>
      <c r="D163" s="117" t="s">
        <v>187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1">
        <f>E162-E163</f>
        <v>-6989594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306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200"/>
      <c r="H168" s="163"/>
    </row>
    <row r="169" spans="1:8" ht="12.75">
      <c r="A169" s="170" t="s">
        <v>316</v>
      </c>
      <c r="B169" s="129"/>
      <c r="C169" s="111"/>
      <c r="D169" s="117" t="s">
        <v>187</v>
      </c>
      <c r="E169" s="306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1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4" t="s">
        <v>342</v>
      </c>
      <c r="B172" s="129"/>
      <c r="C172" s="111"/>
      <c r="D172" s="117" t="s">
        <v>187</v>
      </c>
      <c r="E172" s="304">
        <f>C84</f>
        <v>0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69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340</v>
      </c>
      <c r="B175" s="129"/>
      <c r="C175" s="111"/>
      <c r="D175" s="118"/>
      <c r="E175" s="464">
        <f>IF((E120+G50)&gt;'Tax Rates'!E47,'Tax Rates'!F52-1.12%,IF((E120+G50)&gt;'Tax Rates'!D47,'Tax Rates'!E52-1.12%,IF((E120+G50)&gt;'Tax Rates'!C47,'Tax Rates'!D52,'Tax Rates'!C52-1.12%)))</f>
        <v>0.175</v>
      </c>
      <c r="F175" s="465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1">
        <f>E148/(1-E175)</f>
        <v>-415.494719524493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348</v>
      </c>
      <c r="B181" s="129"/>
      <c r="C181" s="111"/>
      <c r="D181" s="118" t="s">
        <v>188</v>
      </c>
      <c r="E181" s="477">
        <f>SUM(E177:E179)</f>
        <v>-415.494719524493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485</v>
      </c>
      <c r="B183" s="129"/>
      <c r="C183" s="111"/>
      <c r="D183" s="118" t="s">
        <v>186</v>
      </c>
      <c r="E183" s="477">
        <f>E132</f>
        <v>-3825.1122424242426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349</v>
      </c>
      <c r="B185" s="129"/>
      <c r="C185" s="111"/>
      <c r="D185" s="118" t="s">
        <v>188</v>
      </c>
      <c r="E185" s="477">
        <f>E181+E183</f>
        <v>-4240.606961948735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7">
        <f>REGINFO!D62</f>
        <v>109128.305</v>
      </c>
      <c r="F193" s="3"/>
      <c r="G193" s="122"/>
      <c r="H193" s="163"/>
    </row>
    <row r="194" spans="1:8" ht="12.75">
      <c r="A194" s="502" t="s">
        <v>500</v>
      </c>
      <c r="B194" s="126"/>
      <c r="C194" s="111"/>
      <c r="D194" s="119"/>
      <c r="E194" s="307">
        <f>C37</f>
        <v>109128.37127845883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338</v>
      </c>
      <c r="B196" s="126"/>
      <c r="C196" s="111"/>
      <c r="D196" s="119"/>
      <c r="E196" s="307">
        <f>E193-E194</f>
        <v>-0.06627845883485861</v>
      </c>
      <c r="F196" s="3"/>
      <c r="G196" s="122"/>
      <c r="H196" s="163"/>
    </row>
    <row r="197" spans="1:8" ht="12.75">
      <c r="A197" s="154" t="s">
        <v>339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254</v>
      </c>
      <c r="B199" s="126"/>
      <c r="C199" s="111"/>
      <c r="D199" s="119"/>
      <c r="E199" s="146"/>
      <c r="F199" s="3"/>
      <c r="G199" s="479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502" t="s">
        <v>501</v>
      </c>
      <c r="B201" s="126"/>
      <c r="C201" s="111"/>
      <c r="D201" s="119"/>
      <c r="E201" s="307">
        <f>G37+G42</f>
        <v>0</v>
      </c>
      <c r="F201" s="3"/>
      <c r="G201" s="479"/>
      <c r="H201" s="163"/>
    </row>
    <row r="202" spans="1:8" ht="12.75">
      <c r="A202" s="154" t="s">
        <v>489</v>
      </c>
      <c r="B202" s="126"/>
      <c r="C202" s="111"/>
      <c r="D202" s="119"/>
      <c r="E202" s="496">
        <f>REGINFO!D62</f>
        <v>109128.305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503</v>
      </c>
      <c r="B206" s="126"/>
      <c r="C206" s="111"/>
      <c r="D206" s="119"/>
      <c r="E206" s="466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8">
        <f>+E196-E204</f>
        <v>-0.06627845883485861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  <pageSetUpPr fitToPage="1"/>
  </sheetPr>
  <dimension ref="A1:K163"/>
  <sheetViews>
    <sheetView workbookViewId="0" topLeftCell="A37">
      <selection activeCell="C108" sqref="C10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Nipissing Energy Services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505">
        <f>Ratebase*REGINFO!D33*0.0025</f>
        <v>3763.045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4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321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256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319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320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270</v>
      </c>
      <c r="B31" s="23" t="s">
        <v>186</v>
      </c>
      <c r="C31" s="487">
        <v>2787534</v>
      </c>
      <c r="D31" s="285"/>
      <c r="E31" s="283">
        <f>C31-D31</f>
        <v>2787534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7">
        <f>3744678-2787534</f>
        <v>957144</v>
      </c>
      <c r="D32" s="285"/>
      <c r="E32" s="283">
        <f>C32-D32</f>
        <v>957144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0</v>
      </c>
      <c r="D33" s="285"/>
      <c r="E33" s="283">
        <f>C33-D33</f>
        <v>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v>53351</v>
      </c>
      <c r="D34" s="285"/>
      <c r="E34" s="283">
        <f>C34-D34</f>
        <v>53351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7">
        <v>2787534</v>
      </c>
      <c r="D39" s="285"/>
      <c r="E39" s="283">
        <f>C39-D39</f>
        <v>2787534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7">
        <v>342212</v>
      </c>
      <c r="D40" s="285"/>
      <c r="E40" s="283">
        <f aca="true" t="shared" si="0" ref="E40:E48">C40-D40</f>
        <v>342212</v>
      </c>
      <c r="F40" s="11"/>
      <c r="G40" s="11"/>
      <c r="H40" s="6"/>
      <c r="I40" s="6"/>
    </row>
    <row r="41" spans="1:9" ht="12.75">
      <c r="A41" s="4" t="s">
        <v>271</v>
      </c>
      <c r="B41" s="23" t="s">
        <v>187</v>
      </c>
      <c r="C41" s="284">
        <v>183238</v>
      </c>
      <c r="D41" s="285"/>
      <c r="E41" s="283">
        <f t="shared" si="0"/>
        <v>183238</v>
      </c>
      <c r="F41" s="11"/>
      <c r="G41" s="11"/>
      <c r="H41" s="6"/>
      <c r="I41" s="6"/>
    </row>
    <row r="42" spans="1:9" ht="12.75">
      <c r="A42" s="4" t="s">
        <v>272</v>
      </c>
      <c r="B42" s="23" t="s">
        <v>187</v>
      </c>
      <c r="C42" s="284">
        <v>264334</v>
      </c>
      <c r="D42" s="285"/>
      <c r="E42" s="283">
        <f t="shared" si="0"/>
        <v>264334</v>
      </c>
      <c r="F42" s="11"/>
      <c r="G42" s="11"/>
      <c r="H42" s="6"/>
      <c r="I42" s="6"/>
    </row>
    <row r="43" spans="1:9" ht="12.75">
      <c r="A43" s="4" t="s">
        <v>273</v>
      </c>
      <c r="B43" s="23" t="s">
        <v>187</v>
      </c>
      <c r="C43" s="487">
        <v>207610</v>
      </c>
      <c r="D43" s="285"/>
      <c r="E43" s="283">
        <f t="shared" si="0"/>
        <v>207610</v>
      </c>
      <c r="F43" s="11"/>
      <c r="G43" s="11"/>
      <c r="H43" s="6"/>
      <c r="I43" s="6"/>
    </row>
    <row r="44" spans="1:9" ht="12.75">
      <c r="A44" s="4" t="s">
        <v>274</v>
      </c>
      <c r="B44" s="23" t="s">
        <v>187</v>
      </c>
      <c r="C44" s="487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15" t="s">
        <v>487</v>
      </c>
      <c r="B45" s="23" t="s">
        <v>187</v>
      </c>
      <c r="C45" s="487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0">
        <f>SUM(C31:C36)-SUM(C39:C49)</f>
        <v>13101</v>
      </c>
      <c r="D50" s="280">
        <f>SUM(D31:D36)-SUM(D39:D49)</f>
        <v>0</v>
      </c>
      <c r="E50" s="280">
        <f>SUM(E31:E35)-SUM(E39:E48)</f>
        <v>13101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487">
        <v>0</v>
      </c>
      <c r="D51" s="284"/>
      <c r="E51" s="281">
        <f>+C51-D51</f>
        <v>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7">
        <v>-28900</v>
      </c>
      <c r="D52" s="284"/>
      <c r="E52" s="282">
        <f>+C52-D52</f>
        <v>-28900</v>
      </c>
      <c r="F52" s="8"/>
      <c r="G52" s="415"/>
    </row>
    <row r="53" spans="1:6" ht="12.75">
      <c r="A53" s="2" t="s">
        <v>130</v>
      </c>
      <c r="B53" s="8" t="s">
        <v>188</v>
      </c>
      <c r="C53" s="280">
        <f>C50-C51-C52</f>
        <v>42001</v>
      </c>
      <c r="D53" s="280">
        <f>D50-D51-D52</f>
        <v>0</v>
      </c>
      <c r="E53" s="280">
        <f>E50-E51-E52</f>
        <v>42001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6">
        <f>C52</f>
        <v>-28900</v>
      </c>
      <c r="D59" s="286">
        <f>D52</f>
        <v>0</v>
      </c>
      <c r="E59" s="271">
        <f>+C59-D59</f>
        <v>-28900</v>
      </c>
      <c r="F59" s="8"/>
      <c r="G59" s="415"/>
    </row>
    <row r="60" spans="1:6" ht="12.75">
      <c r="A60" s="4" t="s">
        <v>322</v>
      </c>
      <c r="B60" s="8" t="s">
        <v>186</v>
      </c>
      <c r="C60" s="488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207610</v>
      </c>
      <c r="D61" s="286">
        <f>D43</f>
        <v>0</v>
      </c>
      <c r="E61" s="271">
        <f>+C61-D61</f>
        <v>207610</v>
      </c>
      <c r="F61" s="8"/>
      <c r="G61" s="415"/>
    </row>
    <row r="62" spans="1:6" ht="12.75">
      <c r="A62" t="s">
        <v>6</v>
      </c>
      <c r="B62" s="8" t="s">
        <v>186</v>
      </c>
      <c r="C62" s="488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275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439</v>
      </c>
      <c r="B65" s="8" t="s">
        <v>186</v>
      </c>
      <c r="C65" s="285">
        <v>0</v>
      </c>
      <c r="D65" s="285"/>
      <c r="E65" s="271">
        <f>+C65-D65</f>
        <v>0</v>
      </c>
      <c r="F65" s="8"/>
    </row>
    <row r="66" spans="1:6" ht="15">
      <c r="A66" s="462" t="s">
        <v>390</v>
      </c>
      <c r="B66" s="8"/>
      <c r="C66" s="441">
        <f>'TAXREC 3 No True-up'!C48</f>
        <v>0</v>
      </c>
      <c r="D66" s="441">
        <f>'TAXREC 3 No True-up'!D48</f>
        <v>0</v>
      </c>
      <c r="E66" s="271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178710</v>
      </c>
      <c r="D70" s="271">
        <f>SUM(D59:D68)</f>
        <v>0</v>
      </c>
      <c r="E70" s="271">
        <f>SUM(E59:E68)</f>
        <v>178710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5">
        <v>0</v>
      </c>
      <c r="D76" s="293"/>
      <c r="E76" s="472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178710</v>
      </c>
      <c r="D82" s="250">
        <f>D70+D80</f>
        <v>0</v>
      </c>
      <c r="E82" s="250">
        <f>E70+E80</f>
        <v>178710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480">
        <v>219777</v>
      </c>
      <c r="D97" s="293"/>
      <c r="E97" s="271">
        <f>+C97-D97</f>
        <v>219777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80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>
        <v>0</v>
      </c>
      <c r="D100" s="293"/>
      <c r="E100" s="271">
        <f>+C100-D100</f>
        <v>0</v>
      </c>
      <c r="F100" s="8"/>
      <c r="G100" s="45" t="s">
        <v>506</v>
      </c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390</v>
      </c>
      <c r="B108" s="8"/>
      <c r="C108" s="253">
        <f>'TAXREC 3 No True-up'!C76</f>
        <v>0</v>
      </c>
      <c r="D108" s="253">
        <f>'TAXREC 3 No True-up'!D76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219777</v>
      </c>
      <c r="D113" s="250">
        <f>SUM(D97:D111)</f>
        <v>0</v>
      </c>
      <c r="E113" s="250">
        <f>SUM(E97:E111)</f>
        <v>219777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3">
        <v>0</v>
      </c>
      <c r="D116" s="293"/>
      <c r="E116" s="271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219777</v>
      </c>
      <c r="D122" s="250">
        <f>D113+D120</f>
        <v>0</v>
      </c>
      <c r="E122" s="250">
        <f>+E113+E120</f>
        <v>219777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934</v>
      </c>
      <c r="D134" s="250">
        <f>D53+D82-D122</f>
        <v>0</v>
      </c>
      <c r="E134" s="250">
        <f>E53+E82-E122</f>
        <v>934</v>
      </c>
      <c r="F134" s="8"/>
      <c r="G134" s="45"/>
      <c r="H134" s="45"/>
      <c r="I134" s="506" t="s">
        <v>102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507" t="s">
        <v>102</v>
      </c>
      <c r="J135" s="45"/>
      <c r="K135" s="45"/>
    </row>
    <row r="136" spans="1:11" ht="12.75">
      <c r="A136" s="12" t="s">
        <v>370</v>
      </c>
      <c r="B136" s="8" t="s">
        <v>187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506" t="s">
        <v>102</v>
      </c>
      <c r="J136" s="45"/>
      <c r="K136" s="45"/>
    </row>
    <row r="137" spans="1:11" ht="12.75">
      <c r="A137" s="46" t="s">
        <v>371</v>
      </c>
      <c r="B137" s="8" t="s">
        <v>187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934</v>
      </c>
      <c r="D139" s="251">
        <f>D134-D136-D137-D138</f>
        <v>0</v>
      </c>
      <c r="E139" s="251">
        <f>E134-E136-E137-E138</f>
        <v>934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489">
        <v>0</v>
      </c>
      <c r="D142" s="29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489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4">
        <f>C142/C139</f>
        <v>0</v>
      </c>
      <c r="D149" s="5"/>
      <c r="E149" s="405">
        <f>C149</f>
        <v>0</v>
      </c>
      <c r="F149" s="8"/>
      <c r="G149" s="476" t="s">
        <v>464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90">
        <f>C143/C139</f>
        <v>0</v>
      </c>
      <c r="D150" s="5"/>
      <c r="E150" s="405">
        <f>C150</f>
        <v>0</v>
      </c>
      <c r="F150" s="8"/>
      <c r="G150" s="476" t="s">
        <v>465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218</v>
      </c>
      <c r="B156" s="85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5" t="s">
        <v>186</v>
      </c>
      <c r="C157" s="491">
        <v>0</v>
      </c>
      <c r="D157" s="250"/>
      <c r="E157" s="250">
        <f>C157+D157</f>
        <v>0</v>
      </c>
    </row>
    <row r="158" spans="1:5" ht="12.75">
      <c r="A158" t="s">
        <v>217</v>
      </c>
      <c r="B158" s="85" t="s">
        <v>186</v>
      </c>
      <c r="C158" s="491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299</v>
      </c>
      <c r="B160" s="65" t="s">
        <v>188</v>
      </c>
      <c r="C160" s="250">
        <f>C156+C157+C158</f>
        <v>0</v>
      </c>
      <c r="D160" s="250">
        <f>D156+D157+D158</f>
        <v>0</v>
      </c>
      <c r="E160" s="250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F63"/>
  <sheetViews>
    <sheetView workbookViewId="0" topLeftCell="A33">
      <selection activeCell="C60" sqref="C60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Nipissing Energy Services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269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277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278</v>
      </c>
      <c r="B15" s="60"/>
      <c r="C15" s="293"/>
      <c r="D15" s="293"/>
      <c r="E15" s="250">
        <f t="shared" si="0"/>
        <v>0</v>
      </c>
    </row>
    <row r="16" spans="1:5" ht="12.75">
      <c r="A16" s="60" t="s">
        <v>279</v>
      </c>
      <c r="B16" s="60"/>
      <c r="C16" s="293"/>
      <c r="D16" s="293"/>
      <c r="E16" s="250">
        <f t="shared" si="0"/>
        <v>0</v>
      </c>
    </row>
    <row r="17" spans="1:5" ht="12.75">
      <c r="A17" s="60" t="s">
        <v>280</v>
      </c>
      <c r="B17" s="60"/>
      <c r="C17" s="293"/>
      <c r="D17" s="293"/>
      <c r="E17" s="250">
        <f t="shared" si="0"/>
        <v>0</v>
      </c>
    </row>
    <row r="18" spans="1:5" ht="12.75">
      <c r="A18" s="60" t="s">
        <v>444</v>
      </c>
      <c r="B18" s="60"/>
      <c r="C18" s="293"/>
      <c r="D18" s="293"/>
      <c r="E18" s="250">
        <f t="shared" si="0"/>
        <v>0</v>
      </c>
    </row>
    <row r="19" spans="1:5" ht="12.75">
      <c r="A19" s="60" t="s">
        <v>444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268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277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278</v>
      </c>
      <c r="B27" s="60"/>
      <c r="C27" s="293"/>
      <c r="D27" s="293"/>
      <c r="E27" s="250">
        <f t="shared" si="1"/>
        <v>0</v>
      </c>
    </row>
    <row r="28" spans="1:5" ht="12.75">
      <c r="A28" s="60" t="s">
        <v>279</v>
      </c>
      <c r="B28" s="60"/>
      <c r="C28" s="293"/>
      <c r="D28" s="293"/>
      <c r="E28" s="250">
        <f t="shared" si="1"/>
        <v>0</v>
      </c>
    </row>
    <row r="29" spans="1:5" ht="12.75">
      <c r="A29" s="60" t="s">
        <v>280</v>
      </c>
      <c r="B29" s="60"/>
      <c r="C29" s="293"/>
      <c r="D29" s="293"/>
      <c r="E29" s="250">
        <f t="shared" si="1"/>
        <v>0</v>
      </c>
    </row>
    <row r="30" spans="1:5" ht="12.75">
      <c r="A30" s="60" t="s">
        <v>444</v>
      </c>
      <c r="B30" s="60"/>
      <c r="C30" s="293"/>
      <c r="D30" s="293"/>
      <c r="E30" s="250">
        <f t="shared" si="1"/>
        <v>0</v>
      </c>
    </row>
    <row r="31" spans="1:5" ht="12.75">
      <c r="A31" s="60" t="s">
        <v>444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269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264</v>
      </c>
      <c r="B43" s="60"/>
      <c r="C43" s="293"/>
      <c r="D43" s="293"/>
      <c r="E43" s="250">
        <f t="shared" si="2"/>
        <v>0</v>
      </c>
    </row>
    <row r="44" spans="1:5" ht="12.75">
      <c r="A44" s="499" t="s">
        <v>498</v>
      </c>
      <c r="B44" s="60"/>
      <c r="C44" s="293"/>
      <c r="D44" s="293"/>
      <c r="E44" s="250">
        <f t="shared" si="2"/>
        <v>0</v>
      </c>
    </row>
    <row r="45" spans="1:5" ht="12.75">
      <c r="A45" s="60" t="s">
        <v>265</v>
      </c>
      <c r="B45" s="60"/>
      <c r="C45" s="293"/>
      <c r="D45" s="293"/>
      <c r="E45" s="250">
        <f t="shared" si="2"/>
        <v>0</v>
      </c>
    </row>
    <row r="46" spans="1:5" ht="12.75">
      <c r="A46" s="60" t="s">
        <v>266</v>
      </c>
      <c r="B46" s="60"/>
      <c r="C46" s="293"/>
      <c r="D46" s="293"/>
      <c r="E46" s="250">
        <f t="shared" si="2"/>
        <v>0</v>
      </c>
    </row>
    <row r="47" spans="1:5" ht="12.75">
      <c r="A47" s="60" t="s">
        <v>444</v>
      </c>
      <c r="B47" s="60"/>
      <c r="C47" s="293"/>
      <c r="D47" s="293"/>
      <c r="E47" s="250">
        <f t="shared" si="2"/>
        <v>0</v>
      </c>
    </row>
    <row r="48" spans="1:5" ht="12.75">
      <c r="A48" s="60" t="s">
        <v>444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268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264</v>
      </c>
      <c r="B55" s="60"/>
      <c r="C55" s="293"/>
      <c r="D55" s="293"/>
      <c r="E55" s="250">
        <f t="shared" si="3"/>
        <v>0</v>
      </c>
    </row>
    <row r="56" spans="1:5" ht="12.75">
      <c r="A56" s="499" t="s">
        <v>498</v>
      </c>
      <c r="B56" s="60"/>
      <c r="C56" s="293"/>
      <c r="D56" s="293"/>
      <c r="E56" s="250">
        <f t="shared" si="3"/>
        <v>0</v>
      </c>
    </row>
    <row r="57" spans="1:5" ht="12.75">
      <c r="A57" s="245" t="s">
        <v>265</v>
      </c>
      <c r="B57" s="60"/>
      <c r="C57" s="293"/>
      <c r="D57" s="293"/>
      <c r="E57" s="250">
        <f t="shared" si="3"/>
        <v>0</v>
      </c>
    </row>
    <row r="58" spans="1:5" ht="12.75">
      <c r="A58" s="245" t="s">
        <v>266</v>
      </c>
      <c r="B58" s="60"/>
      <c r="C58" s="293"/>
      <c r="D58" s="293"/>
      <c r="E58" s="250">
        <f t="shared" si="3"/>
        <v>0</v>
      </c>
    </row>
    <row r="59" spans="1:5" ht="12.75">
      <c r="A59" s="60" t="s">
        <v>444</v>
      </c>
      <c r="B59" s="60"/>
      <c r="C59" s="293">
        <v>0</v>
      </c>
      <c r="D59" s="293"/>
      <c r="E59" s="250">
        <f t="shared" si="3"/>
        <v>0</v>
      </c>
    </row>
    <row r="60" spans="1:5" ht="12.75">
      <c r="A60" s="60" t="s">
        <v>444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="110" zoomScaleNormal="110" zoomScalePageLayoutView="0" workbookViewId="0" topLeftCell="A1">
      <pane xSplit="1" ySplit="6" topLeftCell="B12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461</v>
      </c>
      <c r="B5" s="8"/>
      <c r="C5" s="8" t="s">
        <v>2</v>
      </c>
      <c r="D5" s="8"/>
      <c r="E5" s="8"/>
      <c r="F5" s="8"/>
    </row>
    <row r="6" spans="1:6" ht="12.75">
      <c r="A6" s="415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Nipissing Energy Services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2">
        <f>C17-D17</f>
        <v>0</v>
      </c>
    </row>
    <row r="18" spans="1:5" ht="12.75">
      <c r="A18" s="66" t="s">
        <v>250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6" t="s">
        <v>445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/>
      <c r="B22" t="s">
        <v>186</v>
      </c>
      <c r="C22" s="294"/>
      <c r="D22" s="294"/>
      <c r="E22" s="312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7</v>
      </c>
      <c r="B27" t="s">
        <v>186</v>
      </c>
      <c r="C27" s="294">
        <v>0</v>
      </c>
      <c r="D27" s="294"/>
      <c r="E27" s="312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251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6" t="s">
        <v>471</v>
      </c>
      <c r="B36" t="s">
        <v>186</v>
      </c>
      <c r="C36" s="492"/>
      <c r="D36" s="294"/>
      <c r="E36" s="312">
        <f t="shared" si="0"/>
        <v>0</v>
      </c>
    </row>
    <row r="37" spans="1:5" ht="12.75">
      <c r="A37" s="66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6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252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372</v>
      </c>
      <c r="B87" s="8" t="s">
        <v>187</v>
      </c>
      <c r="C87" s="480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6"/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472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497"/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5"/>
  <sheetViews>
    <sheetView zoomScale="90" zoomScaleNormal="90" zoomScalePageLayoutView="0" workbookViewId="0" topLeftCell="A1">
      <pane xSplit="1" ySplit="8" topLeftCell="B1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75" sqref="C7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380</v>
      </c>
      <c r="E3" s="91"/>
    </row>
    <row r="4" spans="1:6" ht="15.75">
      <c r="A4" s="459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Nipissing Energy Services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383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449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 t="s">
        <v>386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6" t="s">
        <v>387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450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433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385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384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428</v>
      </c>
      <c r="B32" t="s">
        <v>186</v>
      </c>
      <c r="C32" s="492"/>
      <c r="D32" s="294"/>
      <c r="E32" s="312">
        <f t="shared" si="0"/>
        <v>0</v>
      </c>
    </row>
    <row r="33" spans="1:5" ht="12.75">
      <c r="A33" s="66" t="s">
        <v>429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446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0" t="s">
        <v>447</v>
      </c>
      <c r="C35" s="294">
        <v>0</v>
      </c>
      <c r="D35" s="294"/>
      <c r="E35" s="312">
        <f t="shared" si="0"/>
        <v>0</v>
      </c>
    </row>
    <row r="36" spans="1:5" ht="12.75">
      <c r="A36" s="66" t="s">
        <v>430</v>
      </c>
      <c r="C36" s="492"/>
      <c r="D36" s="294"/>
      <c r="E36" s="312">
        <f t="shared" si="0"/>
        <v>0</v>
      </c>
    </row>
    <row r="37" spans="1:5" ht="12.75">
      <c r="A37" s="66" t="s">
        <v>431</v>
      </c>
      <c r="C37" s="294"/>
      <c r="D37" s="294"/>
      <c r="E37" s="312">
        <f t="shared" si="0"/>
        <v>0</v>
      </c>
    </row>
    <row r="38" spans="1:5" ht="12.75">
      <c r="A38" s="66" t="s">
        <v>453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0" t="s">
        <v>388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80" t="s">
        <v>382</v>
      </c>
      <c r="B41" t="s">
        <v>186</v>
      </c>
      <c r="C41" s="492"/>
      <c r="D41" s="294"/>
      <c r="E41" s="312">
        <f t="shared" si="0"/>
        <v>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7" t="s">
        <v>203</v>
      </c>
      <c r="B43" t="s">
        <v>186</v>
      </c>
      <c r="C43" s="294"/>
      <c r="D43" s="294"/>
      <c r="E43" s="312">
        <f t="shared" si="0"/>
        <v>0</v>
      </c>
    </row>
    <row r="44" spans="1:5" ht="12.75">
      <c r="A44" s="497" t="s">
        <v>490</v>
      </c>
      <c r="B44" t="s">
        <v>186</v>
      </c>
      <c r="C44" s="480"/>
      <c r="D44" s="293"/>
      <c r="E44" s="250">
        <f t="shared" si="0"/>
        <v>0</v>
      </c>
    </row>
    <row r="45" spans="1:5" ht="12.75">
      <c r="A45" s="498" t="s">
        <v>491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498"/>
      <c r="C46" s="293"/>
      <c r="D46" s="293"/>
      <c r="E46" s="278"/>
    </row>
    <row r="47" spans="1:5" ht="12.75">
      <c r="A47" s="498" t="s">
        <v>499</v>
      </c>
      <c r="B47" t="s">
        <v>186</v>
      </c>
      <c r="C47" s="293"/>
      <c r="D47" s="293"/>
      <c r="E47" s="278"/>
    </row>
    <row r="48" spans="1:5" ht="12.75">
      <c r="A48" s="444" t="s">
        <v>392</v>
      </c>
      <c r="B48" t="s">
        <v>188</v>
      </c>
      <c r="C48" s="250">
        <f>SUM(C19:C47)</f>
        <v>0</v>
      </c>
      <c r="D48" s="250">
        <f>SUM(D19:D47)</f>
        <v>0</v>
      </c>
      <c r="E48" s="250">
        <f>SUM(E19:E47)</f>
        <v>0</v>
      </c>
    </row>
    <row r="49" ht="12.75">
      <c r="A49" s="66"/>
    </row>
    <row r="50" ht="12.75">
      <c r="A50" s="80" t="s">
        <v>144</v>
      </c>
    </row>
    <row r="52" spans="1:5" ht="12.75">
      <c r="A52" s="70" t="s">
        <v>383</v>
      </c>
      <c r="B52" s="8" t="s">
        <v>187</v>
      </c>
      <c r="C52" s="293"/>
      <c r="D52" s="293"/>
      <c r="E52" s="250">
        <f aca="true" t="shared" si="1" ref="E52:E62">C52-D52</f>
        <v>0</v>
      </c>
    </row>
    <row r="53" spans="1:5" ht="12.75">
      <c r="A53" s="66" t="s">
        <v>449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384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t="s">
        <v>432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6" t="s">
        <v>440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66" t="s">
        <v>452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2" t="s">
        <v>448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66" t="s">
        <v>451</v>
      </c>
      <c r="B59" s="8" t="s">
        <v>187</v>
      </c>
      <c r="C59" s="293"/>
      <c r="D59" s="293"/>
      <c r="E59" s="250">
        <f t="shared" si="1"/>
        <v>0</v>
      </c>
    </row>
    <row r="60" spans="1:5" ht="12.75">
      <c r="A60" s="66"/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2:5" ht="12.75">
      <c r="B62" s="8" t="s">
        <v>187</v>
      </c>
      <c r="C62" s="293"/>
      <c r="D62" s="293"/>
      <c r="E62" s="250">
        <f t="shared" si="1"/>
        <v>0</v>
      </c>
    </row>
    <row r="63" spans="2:5" ht="12.75">
      <c r="B63" s="8" t="s">
        <v>187</v>
      </c>
      <c r="C63" s="293"/>
      <c r="D63" s="293"/>
      <c r="E63" s="250">
        <f aca="true" t="shared" si="2" ref="E63:E74">C63-D63</f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1:5" ht="12.75">
      <c r="A65" s="463" t="s">
        <v>389</v>
      </c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463" t="s">
        <v>382</v>
      </c>
      <c r="B67" s="8" t="s">
        <v>187</v>
      </c>
      <c r="C67" s="293"/>
      <c r="D67" s="293"/>
      <c r="E67" s="250">
        <f t="shared" si="2"/>
        <v>0</v>
      </c>
    </row>
    <row r="68" spans="1:5" ht="12.75">
      <c r="A68" s="66"/>
      <c r="B68" s="8" t="s">
        <v>187</v>
      </c>
      <c r="C68" s="293"/>
      <c r="D68" s="293"/>
      <c r="E68" s="250">
        <f t="shared" si="2"/>
        <v>0</v>
      </c>
    </row>
    <row r="69" spans="1:5" ht="12.75">
      <c r="A69" s="67" t="s">
        <v>204</v>
      </c>
      <c r="B69" s="8" t="s">
        <v>187</v>
      </c>
      <c r="C69" s="293"/>
      <c r="D69" s="293"/>
      <c r="E69" s="250">
        <f t="shared" si="2"/>
        <v>0</v>
      </c>
    </row>
    <row r="70" spans="1:5" ht="12.75">
      <c r="A70" s="498" t="s">
        <v>492</v>
      </c>
      <c r="B70" s="8" t="s">
        <v>187</v>
      </c>
      <c r="C70" s="293"/>
      <c r="D70" s="293"/>
      <c r="E70" s="250">
        <f t="shared" si="2"/>
        <v>0</v>
      </c>
    </row>
    <row r="71" spans="1:5" ht="12.75">
      <c r="A71" s="498" t="s">
        <v>493</v>
      </c>
      <c r="B71" s="8" t="s">
        <v>187</v>
      </c>
      <c r="C71" s="293"/>
      <c r="D71" s="293"/>
      <c r="E71" s="250">
        <f t="shared" si="2"/>
        <v>0</v>
      </c>
    </row>
    <row r="72" spans="1:5" ht="12.75">
      <c r="A72" s="498" t="s">
        <v>494</v>
      </c>
      <c r="B72" s="8" t="s">
        <v>187</v>
      </c>
      <c r="C72" s="293"/>
      <c r="D72" s="293"/>
      <c r="E72" s="250">
        <f t="shared" si="2"/>
        <v>0</v>
      </c>
    </row>
    <row r="73" spans="1:5" ht="12.75">
      <c r="A73" s="498" t="s">
        <v>495</v>
      </c>
      <c r="B73" s="8" t="s">
        <v>187</v>
      </c>
      <c r="C73" s="293"/>
      <c r="D73" s="293"/>
      <c r="E73" s="278">
        <f t="shared" si="2"/>
        <v>0</v>
      </c>
    </row>
    <row r="74" spans="1:5" ht="12.75">
      <c r="A74" s="498" t="s">
        <v>496</v>
      </c>
      <c r="B74" s="8"/>
      <c r="C74" s="293">
        <v>0</v>
      </c>
      <c r="D74" s="293"/>
      <c r="E74" s="278">
        <f t="shared" si="2"/>
        <v>0</v>
      </c>
    </row>
    <row r="75" spans="1:5" ht="12.75">
      <c r="A75" s="498" t="s">
        <v>497</v>
      </c>
      <c r="B75" s="8"/>
      <c r="C75" s="293"/>
      <c r="D75" s="293"/>
      <c r="E75" s="278"/>
    </row>
    <row r="76" spans="1:5" ht="12.75">
      <c r="A76" s="443" t="s">
        <v>391</v>
      </c>
      <c r="B76" s="8" t="s">
        <v>188</v>
      </c>
      <c r="C76" s="250">
        <f>SUM(C52:C75)</f>
        <v>0</v>
      </c>
      <c r="D76" s="250">
        <f>SUM(D52:D75)</f>
        <v>0</v>
      </c>
      <c r="E76" s="250">
        <f>SUM(E52:E75)</f>
        <v>0</v>
      </c>
    </row>
    <row r="77" ht="12.75">
      <c r="A77" s="66"/>
    </row>
    <row r="78" ht="12.75">
      <c r="A78" s="4"/>
    </row>
    <row r="79" ht="12.75">
      <c r="A79" s="500"/>
    </row>
    <row r="80" ht="12.75">
      <c r="A80" s="501"/>
    </row>
    <row r="81" ht="12.75">
      <c r="A81" s="501"/>
    </row>
    <row r="82" ht="12.75">
      <c r="A82" s="501"/>
    </row>
    <row r="83" ht="12.75">
      <c r="A83" s="501"/>
    </row>
    <row r="84" ht="12.75">
      <c r="A84" s="31"/>
    </row>
    <row r="85" ht="12.75">
      <c r="A85" s="501"/>
    </row>
    <row r="86" ht="12.75">
      <c r="A86" s="501"/>
    </row>
    <row r="87" ht="12.75">
      <c r="A87" s="501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zoomScalePageLayoutView="0" workbookViewId="0" topLeftCell="A37">
      <selection activeCell="C51" sqref="C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West Nipissing Energy Services Ltd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10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18" t="s">
        <v>479</v>
      </c>
      <c r="B8" s="519"/>
      <c r="C8" s="519"/>
      <c r="D8" s="519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463</v>
      </c>
      <c r="B10" s="326"/>
      <c r="C10" s="375" t="s">
        <v>111</v>
      </c>
      <c r="D10" s="375"/>
      <c r="E10" s="375" t="s">
        <v>111</v>
      </c>
      <c r="F10" s="376" t="s">
        <v>484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296</v>
      </c>
      <c r="B13" s="409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295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300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257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327</v>
      </c>
      <c r="B21" s="406" t="s">
        <v>468</v>
      </c>
      <c r="C21" s="494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328</v>
      </c>
      <c r="B22" s="407" t="s">
        <v>469</v>
      </c>
      <c r="C22" s="495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2" t="s">
        <v>486</v>
      </c>
      <c r="B23" s="513"/>
      <c r="C23" s="513"/>
      <c r="D23" s="513"/>
      <c r="E23" s="513"/>
      <c r="F23" s="513"/>
      <c r="G23" s="433"/>
      <c r="H23" s="42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1"/>
      <c r="B24" s="412"/>
      <c r="C24" s="412"/>
      <c r="D24" s="412"/>
      <c r="E24" s="412"/>
      <c r="F24" s="41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10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0" t="s">
        <v>480</v>
      </c>
      <c r="B26" s="521"/>
      <c r="C26" s="521"/>
      <c r="D26" s="521"/>
      <c r="E26" s="521"/>
      <c r="F26" s="52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436</v>
      </c>
      <c r="B28" s="326"/>
      <c r="C28" s="369" t="s">
        <v>111</v>
      </c>
      <c r="D28" s="369"/>
      <c r="E28" s="369" t="s">
        <v>111</v>
      </c>
      <c r="F28" s="370" t="s">
        <v>484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9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295</v>
      </c>
      <c r="B32" s="409">
        <v>2003</v>
      </c>
      <c r="C32" s="327">
        <v>0.1312</v>
      </c>
      <c r="D32" s="327"/>
      <c r="E32" s="328"/>
      <c r="F32" s="328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257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481</v>
      </c>
      <c r="B39" s="406" t="s">
        <v>468</v>
      </c>
      <c r="C39" s="361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482</v>
      </c>
      <c r="B40" s="407" t="s">
        <v>469</v>
      </c>
      <c r="C40" s="362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4" t="s">
        <v>330</v>
      </c>
      <c r="B41" s="513"/>
      <c r="C41" s="513"/>
      <c r="D41" s="513"/>
      <c r="E41" s="513"/>
      <c r="F41" s="51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5"/>
      <c r="B42" s="515"/>
      <c r="C42" s="515"/>
      <c r="D42" s="515"/>
      <c r="E42" s="515"/>
      <c r="F42" s="51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10" t="s">
        <v>334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8" t="s">
        <v>483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467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9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295</v>
      </c>
      <c r="B50" s="244"/>
      <c r="C50" s="351">
        <v>0.1312</v>
      </c>
      <c r="D50" s="351"/>
      <c r="E50" s="352">
        <v>0</v>
      </c>
      <c r="F50" s="352">
        <v>0.2412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0.055</v>
      </c>
      <c r="D51" s="353"/>
      <c r="E51" s="354">
        <v>0</v>
      </c>
      <c r="F51" s="354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257</v>
      </c>
      <c r="B52" s="244"/>
      <c r="C52" s="331">
        <f>SUM(C50:C51)</f>
        <v>0.1862</v>
      </c>
      <c r="D52" s="331"/>
      <c r="E52" s="332">
        <f>SUM(E50:E51)</f>
        <v>0</v>
      </c>
      <c r="F52" s="332">
        <f>SUM(F50:F51)</f>
        <v>0.36619999999999997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344</v>
      </c>
      <c r="B57" s="406" t="s">
        <v>468</v>
      </c>
      <c r="C57" s="361">
        <v>5000000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345</v>
      </c>
      <c r="B58" s="407" t="s">
        <v>469</v>
      </c>
      <c r="C58" s="362">
        <v>10000000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2" t="s">
        <v>346</v>
      </c>
      <c r="B59" s="516"/>
      <c r="C59" s="516"/>
      <c r="D59" s="516"/>
      <c r="E59" s="516"/>
      <c r="F59" s="516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7"/>
      <c r="B60" s="517"/>
      <c r="C60" s="517"/>
      <c r="D60" s="517"/>
      <c r="E60" s="517"/>
      <c r="F60" s="517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zoomScalePageLayoutView="0" workbookViewId="0" topLeftCell="A31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West Nipissing Energy Services Ltd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511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0" t="s">
        <v>393</v>
      </c>
      <c r="B12" s="65" t="s">
        <v>189</v>
      </c>
      <c r="C12" s="395"/>
      <c r="D12" s="391"/>
      <c r="E12" s="395">
        <v>0</v>
      </c>
      <c r="F12" s="94"/>
      <c r="G12" s="418">
        <f>C12+E12</f>
        <v>0</v>
      </c>
      <c r="H12" s="94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0" t="s">
        <v>435</v>
      </c>
      <c r="B13" s="65"/>
      <c r="C13" s="418"/>
      <c r="D13" s="391"/>
      <c r="E13" s="418"/>
      <c r="F13" s="94"/>
      <c r="G13" s="418"/>
      <c r="H13" s="94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0" t="s">
        <v>394</v>
      </c>
      <c r="B14" s="65" t="s">
        <v>189</v>
      </c>
      <c r="C14" s="395"/>
      <c r="D14" s="391"/>
      <c r="E14" s="395"/>
      <c r="F14" s="94"/>
      <c r="G14" s="395"/>
      <c r="H14" s="94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0" t="s">
        <v>395</v>
      </c>
      <c r="B15" s="65" t="s">
        <v>189</v>
      </c>
      <c r="C15" s="395"/>
      <c r="D15" s="391"/>
      <c r="E15" s="508" t="s">
        <v>102</v>
      </c>
      <c r="F15" s="94"/>
      <c r="G15" s="395"/>
      <c r="H15" s="94"/>
      <c r="I15" s="395"/>
      <c r="J15" s="391"/>
      <c r="K15" s="395"/>
      <c r="L15" s="391"/>
      <c r="M15" s="508" t="s">
        <v>102</v>
      </c>
      <c r="N15" s="391"/>
      <c r="O15" s="396">
        <f t="shared" si="0"/>
        <v>0</v>
      </c>
    </row>
    <row r="16" spans="1:15" ht="27" customHeight="1">
      <c r="A16" s="80" t="s">
        <v>396</v>
      </c>
      <c r="B16" s="65"/>
      <c r="C16" s="395"/>
      <c r="D16" s="391"/>
      <c r="E16" s="395"/>
      <c r="F16" s="94"/>
      <c r="G16" s="395"/>
      <c r="H16" s="94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0" t="s">
        <v>397</v>
      </c>
      <c r="B17" s="65" t="s">
        <v>189</v>
      </c>
      <c r="C17" s="395"/>
      <c r="D17" s="391"/>
      <c r="E17" s="395"/>
      <c r="F17" s="94"/>
      <c r="G17" s="395"/>
      <c r="H17" s="94"/>
      <c r="I17" s="395"/>
      <c r="J17" s="391"/>
      <c r="K17" s="395"/>
      <c r="L17" s="391"/>
      <c r="M17" s="508" t="s">
        <v>102</v>
      </c>
      <c r="N17" s="391"/>
      <c r="O17" s="396">
        <f t="shared" si="0"/>
        <v>0</v>
      </c>
    </row>
    <row r="18" spans="1:15" ht="25.5">
      <c r="A18" s="80" t="s">
        <v>398</v>
      </c>
      <c r="B18" s="65" t="s">
        <v>189</v>
      </c>
      <c r="C18" s="395"/>
      <c r="D18" s="391"/>
      <c r="E18" s="395"/>
      <c r="F18" s="94"/>
      <c r="G18" s="395"/>
      <c r="H18" s="94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399</v>
      </c>
      <c r="B19" s="65" t="s">
        <v>189</v>
      </c>
      <c r="C19" s="395"/>
      <c r="D19" s="391"/>
      <c r="E19" s="508" t="s">
        <v>102</v>
      </c>
      <c r="F19" s="94"/>
      <c r="G19" s="395"/>
      <c r="H19" s="94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0" t="s">
        <v>466</v>
      </c>
      <c r="B20" s="65" t="s">
        <v>187</v>
      </c>
      <c r="C20" s="418">
        <v>0</v>
      </c>
      <c r="D20" s="391"/>
      <c r="E20" s="508" t="s">
        <v>102</v>
      </c>
      <c r="F20" s="94"/>
      <c r="G20" s="508" t="s">
        <v>102</v>
      </c>
      <c r="H20" s="94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9"/>
    </row>
    <row r="22" spans="1:15" ht="13.5" thickBot="1">
      <c r="A22" s="80" t="s">
        <v>369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45">
        <f>SUM(O11:O20)</f>
        <v>0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7"/>
      <c r="M23" s="437"/>
      <c r="N23" s="187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400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7"/>
      <c r="M27" s="187"/>
      <c r="N27" s="187"/>
      <c r="O27" s="187"/>
    </row>
    <row r="28" spans="1:15" ht="12.75">
      <c r="A28" s="428" t="s">
        <v>401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7"/>
      <c r="M28" s="187"/>
      <c r="N28" s="187"/>
      <c r="O28" s="187"/>
    </row>
    <row r="29" spans="1:15" ht="12.75">
      <c r="A29" s="431" t="s">
        <v>402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7"/>
      <c r="M29" s="187"/>
      <c r="N29" s="187"/>
      <c r="O29" s="187"/>
    </row>
    <row r="30" spans="1:15" ht="9" customHeight="1">
      <c r="A30" s="187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7"/>
      <c r="M30" s="187"/>
      <c r="N30" s="187"/>
      <c r="O30" s="187"/>
    </row>
    <row r="31" spans="1:15" ht="12.75">
      <c r="A31" s="446" t="s">
        <v>403</v>
      </c>
      <c r="B31" s="79"/>
      <c r="C31" s="79"/>
      <c r="D31" s="79"/>
      <c r="E31" s="79"/>
      <c r="F31" s="79"/>
      <c r="G31" s="79"/>
      <c r="H31" s="79"/>
      <c r="I31" s="442"/>
      <c r="J31" s="442"/>
      <c r="K31" s="509" t="s">
        <v>512</v>
      </c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23" t="s">
        <v>404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420"/>
      <c r="Q33" s="420"/>
      <c r="R33" s="420"/>
      <c r="S33" s="420"/>
    </row>
    <row r="34" spans="1:19" ht="12.75">
      <c r="A34" s="522" t="s">
        <v>405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420"/>
      <c r="Q34" s="420"/>
      <c r="R34" s="420"/>
      <c r="S34" s="420"/>
    </row>
    <row r="35" spans="1:19" ht="12.75">
      <c r="A35" s="522" t="s">
        <v>426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420"/>
      <c r="Q35" s="420"/>
      <c r="R35" s="420"/>
      <c r="S35" s="420"/>
    </row>
    <row r="36" spans="1:19" ht="12.75">
      <c r="A36" s="522" t="s">
        <v>406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20"/>
      <c r="Q36" s="420"/>
      <c r="R36" s="420"/>
      <c r="S36" s="420"/>
    </row>
    <row r="37" spans="1:19" ht="12.75">
      <c r="A37" s="432" t="s">
        <v>366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367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407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408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409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7"/>
      <c r="M42" s="187"/>
      <c r="N42" s="187"/>
      <c r="O42" s="187"/>
    </row>
    <row r="43" spans="1:15" ht="12.75">
      <c r="A43" s="429" t="s">
        <v>410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7"/>
      <c r="M43" s="187"/>
      <c r="N43" s="187"/>
      <c r="O43" s="187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7"/>
      <c r="M44" s="187"/>
      <c r="N44" s="187"/>
      <c r="O44" s="187"/>
    </row>
    <row r="45" spans="1:15" ht="12.75">
      <c r="A45" s="434" t="s">
        <v>411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7"/>
      <c r="M45" s="187"/>
      <c r="N45" s="187"/>
      <c r="O45" s="187"/>
    </row>
    <row r="46" spans="1:15" ht="12.75">
      <c r="A46" s="429" t="s">
        <v>412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7"/>
      <c r="M46" s="187"/>
      <c r="N46" s="187"/>
      <c r="O46" s="187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7"/>
      <c r="M47" s="187"/>
      <c r="N47" s="187"/>
      <c r="O47" s="187"/>
    </row>
    <row r="48" spans="1:15" ht="12.75">
      <c r="A48" s="434" t="s">
        <v>413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7"/>
      <c r="M48" s="187"/>
      <c r="N48" s="187"/>
      <c r="O48" s="187"/>
    </row>
    <row r="49" spans="1:15" ht="12.75">
      <c r="A49" s="429" t="s">
        <v>414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7"/>
      <c r="M49" s="187"/>
      <c r="N49" s="187"/>
      <c r="O49" s="187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7"/>
      <c r="M50" s="187"/>
      <c r="N50" s="187"/>
      <c r="O50" s="187"/>
    </row>
    <row r="51" spans="1:15" ht="12.75">
      <c r="A51" s="434" t="s">
        <v>415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7"/>
      <c r="M51" s="187"/>
      <c r="N51" s="187"/>
      <c r="O51" s="187"/>
    </row>
    <row r="52" spans="1:15" ht="12.75">
      <c r="A52" s="429" t="s">
        <v>412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7"/>
      <c r="M52" s="187"/>
      <c r="N52" s="187"/>
      <c r="O52" s="187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7"/>
      <c r="M53" s="187"/>
      <c r="N53" s="187"/>
      <c r="O53" s="187"/>
    </row>
    <row r="54" spans="1:15" ht="12.75">
      <c r="A54" s="429" t="s">
        <v>416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7"/>
      <c r="M54" s="187"/>
      <c r="N54" s="187"/>
      <c r="O54" s="187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7"/>
      <c r="M55" s="187"/>
      <c r="N55" s="187"/>
      <c r="O55" s="187"/>
    </row>
    <row r="56" spans="1:15" ht="12.75" customHeight="1">
      <c r="A56" s="434" t="s">
        <v>417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7"/>
      <c r="M56" s="187"/>
      <c r="N56" s="187"/>
      <c r="O56" s="187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7"/>
      <c r="M57" s="187"/>
      <c r="N57" s="187"/>
      <c r="O57" s="187"/>
    </row>
    <row r="58" spans="1:15" ht="12.75">
      <c r="A58" s="429" t="s">
        <v>418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7"/>
      <c r="M58" s="187"/>
      <c r="N58" s="187"/>
      <c r="O58" s="187"/>
    </row>
    <row r="59" spans="1:15" ht="12.75">
      <c r="A59" s="429" t="s">
        <v>419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7"/>
      <c r="M59" s="187"/>
      <c r="N59" s="187"/>
      <c r="O59" s="187"/>
    </row>
    <row r="60" spans="1:15" ht="12.75">
      <c r="A60" s="429" t="s">
        <v>420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7"/>
      <c r="M60" s="187"/>
      <c r="N60" s="187"/>
      <c r="O60" s="187"/>
    </row>
    <row r="61" spans="1:15" ht="12.75">
      <c r="A61" s="429" t="s">
        <v>376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7"/>
      <c r="M61" s="187"/>
      <c r="N61" s="187"/>
      <c r="O61" s="187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7"/>
      <c r="M62" s="187"/>
      <c r="N62" s="187"/>
      <c r="O62" s="187"/>
    </row>
    <row r="63" spans="1:15" ht="12.75">
      <c r="A63" s="429" t="s">
        <v>421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7"/>
      <c r="M63" s="187"/>
      <c r="N63" s="187"/>
      <c r="O63" s="187"/>
    </row>
    <row r="64" spans="1:15" ht="12.75">
      <c r="A64" s="429" t="s">
        <v>422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7"/>
      <c r="M64" s="187"/>
      <c r="N64" s="187"/>
      <c r="O64" s="187"/>
    </row>
    <row r="65" spans="1:15" ht="12.75">
      <c r="A65" s="429" t="s">
        <v>378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7"/>
      <c r="M65" s="187"/>
      <c r="N65" s="187"/>
      <c r="O65" s="187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7"/>
      <c r="M66" s="187"/>
      <c r="N66" s="187"/>
      <c r="O66" s="187"/>
    </row>
    <row r="67" spans="1:15" ht="12.75">
      <c r="A67" s="429" t="s">
        <v>377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7"/>
      <c r="M67" s="187"/>
      <c r="N67" s="187"/>
      <c r="O67" s="187"/>
    </row>
    <row r="68" spans="1:15" ht="12.75">
      <c r="A68" s="429" t="s">
        <v>379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7"/>
      <c r="M68" s="187"/>
      <c r="N68" s="187"/>
      <c r="O68" s="187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7"/>
      <c r="M69" s="187"/>
      <c r="N69" s="187"/>
      <c r="O69" s="187"/>
    </row>
    <row r="70" spans="1:15" ht="12.75">
      <c r="A70" s="429" t="s">
        <v>423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7"/>
      <c r="M70" s="187"/>
      <c r="N70" s="187"/>
      <c r="O70" s="187"/>
    </row>
    <row r="71" spans="1:15" ht="12.75">
      <c r="A71" s="429" t="s">
        <v>424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7"/>
      <c r="M71" s="187"/>
      <c r="N71" s="187"/>
      <c r="O71" s="187"/>
    </row>
    <row r="72" spans="1:15" ht="12.75">
      <c r="A72" s="429" t="s">
        <v>425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7"/>
      <c r="M72" s="187"/>
      <c r="N72" s="187"/>
      <c r="O72" s="187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7"/>
      <c r="M73" s="187"/>
      <c r="N73" s="187"/>
      <c r="O73" s="187"/>
    </row>
    <row r="74" spans="1:15" ht="12.75" customHeight="1">
      <c r="A74" s="522" t="s">
        <v>455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</row>
    <row r="75" spans="1:15" ht="12.75">
      <c r="A75" s="429" t="s">
        <v>368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7"/>
      <c r="M75" s="187"/>
      <c r="N75" s="187"/>
      <c r="O75" s="187"/>
    </row>
    <row r="76" spans="1:15" ht="12.75">
      <c r="A76" s="187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7"/>
      <c r="M76" s="187"/>
      <c r="N76" s="187"/>
      <c r="O76" s="187"/>
    </row>
    <row r="77" spans="1:15" ht="12.75">
      <c r="A77" s="187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7"/>
      <c r="M77" s="187"/>
      <c r="N77" s="187"/>
      <c r="O77" s="187"/>
    </row>
    <row r="78" spans="1:17" ht="12.75">
      <c r="A78" s="187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7"/>
      <c r="O78" s="187"/>
      <c r="P78" s="187"/>
      <c r="Q78" s="187"/>
    </row>
    <row r="79" spans="1:17" ht="12.75">
      <c r="A79" s="187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7"/>
      <c r="O79" s="187"/>
      <c r="P79" s="187"/>
      <c r="Q79" s="187"/>
    </row>
    <row r="80" spans="1:17" ht="12.75">
      <c r="A80" s="187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7"/>
      <c r="O80" s="187"/>
      <c r="P80" s="187"/>
      <c r="Q80" s="187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7"/>
      <c r="O81" s="187"/>
      <c r="P81" s="187"/>
      <c r="Q81" s="187"/>
    </row>
    <row r="82" spans="1:17" ht="12.75">
      <c r="A82" s="187"/>
      <c r="B82" s="187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7"/>
      <c r="O82" s="187"/>
      <c r="P82" s="187"/>
      <c r="Q82" s="187"/>
    </row>
    <row r="83" spans="1:17" ht="12.75">
      <c r="A83" s="187"/>
      <c r="B83" s="187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7"/>
      <c r="O83" s="187"/>
      <c r="P83" s="187"/>
      <c r="Q83" s="187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7"/>
      <c r="O84" s="187"/>
      <c r="P84" s="187"/>
      <c r="Q84" s="187"/>
    </row>
    <row r="85" spans="1:17" ht="12.75">
      <c r="A85" s="187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7"/>
      <c r="O85" s="187"/>
      <c r="P85" s="187"/>
      <c r="Q85" s="187"/>
    </row>
    <row r="86" spans="1:17" ht="12.75">
      <c r="A86" s="187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7"/>
      <c r="O86" s="187"/>
      <c r="P86" s="187"/>
      <c r="Q86" s="187"/>
    </row>
    <row r="87" spans="1:17" ht="12.75">
      <c r="A87" s="187"/>
      <c r="B87" s="187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7"/>
      <c r="O87" s="187"/>
      <c r="P87" s="187"/>
      <c r="Q87" s="187"/>
    </row>
    <row r="88" spans="1:17" ht="12.75">
      <c r="A88" s="187"/>
      <c r="B88" s="187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7"/>
      <c r="O88" s="187"/>
      <c r="P88" s="187"/>
      <c r="Q88" s="187"/>
    </row>
    <row r="89" spans="1:17" ht="12.75">
      <c r="A89" s="187"/>
      <c r="B89" s="187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7"/>
      <c r="O89" s="187"/>
      <c r="P89" s="187"/>
      <c r="Q89" s="187"/>
    </row>
    <row r="90" spans="1:17" ht="12.75">
      <c r="A90" s="187"/>
      <c r="B90" s="187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7"/>
      <c r="O90" s="187"/>
      <c r="P90" s="187"/>
      <c r="Q90" s="187"/>
    </row>
    <row r="91" spans="1:17" ht="12.75">
      <c r="A91" s="187"/>
      <c r="B91" s="187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7"/>
      <c r="O91" s="187"/>
      <c r="P91" s="187"/>
      <c r="Q91" s="187"/>
    </row>
    <row r="92" spans="1:17" ht="12.75">
      <c r="A92" s="187"/>
      <c r="B92" s="187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>
      <c r="A93" s="187"/>
      <c r="B93" s="187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2010-08-24T17:50:02Z</cp:lastPrinted>
  <dcterms:created xsi:type="dcterms:W3CDTF">2001-11-07T16:15:53Z</dcterms:created>
  <dcterms:modified xsi:type="dcterms:W3CDTF">2011-10-26T16:27:12Z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