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<sst xmlns="http://schemas.openxmlformats.org/spreadsheetml/2006/main" count="902" uniqueCount="523">
  <si>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</si>
  <si>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</si>
  <si>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</si>
  <si>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</si>
  <si>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</si>
  <si>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</si>
  <si>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</si>
  <si>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</si>
  <si>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</si>
  <si>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</si>
  <si>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</si>
  <si>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</si>
  <si>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</si>
  <si>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</si>
  <si>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</si>
  <si>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</si>
  <si>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</si>
  <si>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</si>
  <si>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</si>
  <si>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</si>
  <si>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</si>
  <si>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</si>
  <si>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</si>
  <si>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</si>
  <si>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</si>
  <si>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</si>
  <si>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</si>
  <si>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</si>
  <si>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</si>
  <si>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</si>
  <si>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</si>
  <si>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</si>
  <si>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</si>
  <si>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</si>
  <si>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</si>
  <si>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</si>
  <si>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</si>
  <si>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</si>
  <si>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</si>
  <si>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</si>
  <si>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</si>
  <si>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</si>
  <si>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</si>
  <si>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</si>
  <si>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</si>
  <si>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</si>
  <si>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</si>
  <si>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</si>
  <si>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</si>
  <si>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</si>
  <si>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</si>
  <si>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</si>
  <si>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</si>
  <si>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</si>
  <si>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</si>
  <si>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</si>
  <si>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</si>
  <si>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</si>
  <si>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</si>
  <si>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</si>
  <si>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</si>
  <si>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</si>
  <si>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</si>
  <si>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</si>
  <si>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</si>
  <si>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</si>
  <si>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</si>
  <si>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</si>
  <si>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</si>
  <si>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</si>
  <si>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</si>
  <si>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</si>
  <si>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</si>
  <si>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</si>
  <si>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</si>
  <si>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</si>
  <si>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</si>
  <si>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</si>
  <si>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</si>
  <si>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</si>
  <si>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</si>
  <si>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</si>
  <si>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</si>
  <si>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</si>
  <si>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</si>
  <si>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</si>
  <si>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</si>
  <si>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</si>
  <si>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</si>
  <si>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</si>
  <si>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</si>
  <si>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</si>
  <si>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</si>
  <si>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</si>
  <si>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</si>
  <si>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</si>
  <si>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</si>
  <si>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</si>
  <si>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</si>
  <si>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</si>
  <si>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</si>
  <si>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</si>
  <si>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</si>
  <si>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</si>
  <si>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</si>
  <si>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</si>
  <si>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</si>
  <si>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</si>
  <si>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</si>
  <si>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</si>
  <si>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</si>
  <si>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</si>
  <si>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</si>
  <si>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</si>
  <si>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</si>
  <si>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</si>
  <si>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</si>
  <si>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</si>
  <si>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</si>
  <si>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</si>
  <si>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</si>
  <si>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</si>
  <si>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</si>
  <si>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</si>
  <si>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</si>
  <si>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</si>
  <si>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</si>
  <si>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</si>
  <si>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</si>
  <si>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</si>
  <si>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</si>
  <si>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</si>
  <si>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</si>
  <si>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</si>
  <si>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</si>
  <si>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</si>
  <si>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</si>
  <si>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</si>
  <si>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</si>
  <si>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</si>
  <si>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</si>
  <si>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</si>
  <si>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</si>
  <si>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</si>
  <si>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</si>
  <si>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</si>
  <si>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</si>
  <si>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</si>
  <si>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</si>
  <si>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</si>
  <si>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</si>
  <si>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</si>
  <si>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</si>
  <si>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</si>
  <si>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</si>
  <si>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</si>
  <si>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</si>
  <si>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</si>
  <si>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</si>
  <si>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</si>
  <si>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</si>
  <si>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</si>
  <si>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</si>
  <si>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</si>
  <si>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</si>
  <si>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</si>
  <si>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</si>
  <si>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</si>
  <si>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</si>
  <si>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</si>
  <si>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</si>
  <si>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</si>
  <si>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</si>
  <si>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</si>
  <si>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</si>
  <si>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</si>
  <si>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</si>
  <si>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</si>
  <si>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</si>
  <si>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</si>
  <si>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</si>
  <si>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</si>
  <si>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</si>
  <si>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</si>
  <si>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</si>
  <si>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</si>
  <si>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</si>
  <si>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</si>
  <si>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</si>
  <si>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</si>
  <si>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</si>
  <si>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</si>
  <si>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</si>
  <si>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</si>
  <si>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</si>
  <si>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</si>
  <si>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</si>
  <si>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</si>
  <si>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</si>
  <si>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</si>
  <si>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</si>
  <si>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</si>
  <si>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</si>
  <si>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</si>
  <si>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</si>
  <si>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</si>
  <si>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</si>
  <si>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</si>
  <si>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</si>
  <si>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</si>
  <si>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</si>
  <si>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</si>
  <si>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</si>
  <si>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</si>
  <si>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</si>
  <si>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</si>
  <si>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</si>
  <si>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</si>
  <si>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</si>
  <si>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</si>
  <si>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</si>
  <si>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</si>
  <si>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</si>
  <si>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</si>
  <si>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</si>
  <si>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</si>
  <si>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</si>
  <si>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</si>
  <si>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</si>
  <si>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</si>
  <si>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</si>
  <si>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</si>
  <si>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</si>
  <si>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</si>
  <si>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</si>
  <si>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</si>
  <si>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</si>
  <si>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</si>
  <si>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</si>
  <si>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</si>
  <si>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</si>
  <si>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</si>
  <si>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</si>
  <si>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</si>
  <si>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</si>
  <si>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</si>
  <si>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</si>
  <si>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</si>
  <si>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</si>
  <si>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</si>
  <si>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</si>
  <si>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</si>
  <si>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</si>
  <si>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</si>
  <si>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</si>
  <si>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</si>
  <si>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</si>
  <si>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</si>
  <si>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</si>
  <si>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</si>
  <si>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</si>
  <si>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</si>
  <si>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</si>
  <si>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</si>
  <si>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</si>
  <si>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</si>
  <si>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</si>
  <si>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</si>
  <si>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</si>
  <si>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</si>
  <si>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</si>
  <si>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</si>
  <si>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</si>
  <si>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</si>
  <si>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</si>
  <si>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</si>
  <si>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</si>
  <si>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</si>
  <si>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</si>
  <si>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</si>
  <si>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</si>
  <si>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</si>
  <si>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</si>
  <si>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</si>
  <si>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</si>
  <si>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</si>
  <si>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</si>
  <si>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</si>
  <si>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</si>
  <si>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</si>
  <si>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</si>
  <si>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</si>
  <si>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</si>
  <si>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</si>
  <si>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</si>
  <si>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</si>
  <si>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</si>
  <si>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</si>
  <si>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</si>
  <si>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</si>
  <si>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</si>
  <si>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</si>
  <si>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</si>
  <si>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</si>
  <si>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</si>
  <si>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</si>
  <si>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</si>
  <si>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</si>
  <si>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</si>
  <si>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</si>
  <si>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</si>
  <si>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</si>
  <si>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</si>
  <si>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</si>
  <si>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</si>
  <si>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</si>
  <si>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</si>
  <si>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</si>
  <si>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</si>
  <si>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</si>
  <si>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</si>
  <si>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</si>
  <si>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</si>
  <si>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</si>
  <si>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</si>
  <si>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</si>
  <si>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</si>
  <si>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</si>
  <si>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</si>
  <si>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</si>
  <si>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</si>
  <si>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</si>
  <si>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</si>
  <si>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</si>
  <si>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</si>
  <si>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</si>
  <si>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</si>
  <si>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</si>
  <si>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</si>
  <si>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</si>
  <si>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</si>
  <si>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</si>
  <si>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</si>
  <si>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</si>
  <si>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</si>
  <si>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</si>
  <si>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</si>
  <si>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</si>
  <si>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</si>
  <si>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</si>
  <si>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</si>
  <si>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</si>
  <si>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</si>
  <si>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</si>
  <si>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</si>
  <si>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</si>
  <si>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</si>
  <si>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</si>
  <si>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</si>
  <si>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</si>
  <si>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</si>
  <si>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</si>
  <si>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</si>
  <si>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</si>
  <si>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</si>
  <si>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</si>
  <si>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</si>
  <si>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</si>
  <si>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</si>
  <si>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</si>
  <si>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</si>
  <si>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</si>
  <si>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</si>
  <si>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</si>
  <si>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</si>
  <si>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</si>
  <si>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</si>
  <si>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</si>
  <si>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</si>
  <si>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</si>
  <si>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</si>
  <si>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</si>
  <si>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</si>
  <si>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</si>
  <si>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</si>
  <si>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</si>
  <si>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</si>
  <si>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</si>
  <si>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</si>
  <si>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</si>
  <si>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</si>
  <si>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</si>
  <si>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</si>
  <si>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</si>
  <si>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</si>
  <si>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</si>
  <si>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</si>
  <si>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</si>
  <si>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</si>
  <si>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</si>
  <si>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</si>
  <si>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</si>
  <si>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</si>
  <si>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</si>
  <si>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</si>
  <si>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</si>
  <si>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</si>
  <si>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</si>
  <si>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</si>
  <si>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</si>
  <si>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</si>
  <si>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</si>
  <si>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</si>
  <si>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</si>
  <si>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</si>
  <si>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</si>
  <si>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</si>
  <si>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</si>
  <si>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</si>
  <si>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</si>
  <si>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</si>
  <si>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</si>
  <si>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</si>
  <si>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</si>
  <si>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</si>
  <si>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</si>
  <si>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</si>
  <si>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</si>
  <si>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</si>
  <si>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</si>
  <si>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</si>
  <si>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</si>
  <si>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</si>
  <si>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</si>
  <si>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</si>
  <si>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</si>
  <si>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</si>
  <si>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</si>
  <si>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</si>
  <si>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</si>
  <si>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</si>
  <si>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</si>
  <si>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</si>
  <si>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</si>
  <si>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</si>
  <si>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</si>
  <si>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</si>
  <si>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</si>
  <si>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</si>
  <si>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</si>
  <si>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</si>
  <si>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</si>
  <si>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</si>
  <si>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</si>
  <si>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</si>
  <si>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</si>
  <si>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</si>
  <si>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</si>
  <si>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</si>
  <si>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</si>
  <si>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</si>
  <si>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</si>
  <si>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</si>
  <si>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</si>
  <si>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</si>
  <si>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</si>
  <si>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</si>
  <si>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</si>
  <si>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</si>
  <si>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</si>
  <si>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</si>
  <si>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</si>
  <si>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</si>
  <si>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</si>
  <si>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</si>
  <si>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</si>
  <si>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</si>
  <si>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</si>
  <si>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</si>
  <si>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</si>
  <si>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</si>
  <si>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</si>
  <si>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</si>
  <si>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</si>
  <si>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</si>
  <si>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</si>
  <si>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</si>
  <si>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</si>
  <si>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</si>
  <si>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</si>
  <si>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</si>
  <si>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</si>
  <si>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PILs TAXES - EB-2010-</t>
  </si>
  <si>
    <t>Legal Claim</t>
  </si>
  <si>
    <t>Depreciation expensed via OM&amp;A</t>
  </si>
  <si>
    <t>Amortization of debt discount</t>
  </si>
  <si>
    <t>Capital items expensed - Computer equipment expensed for book</t>
  </si>
  <si>
    <t>Ontario specified tax credits</t>
  </si>
  <si>
    <t>Prospectus &amp; underwriting fees</t>
  </si>
  <si>
    <t>Total deemed interest  (REGINFO CELL D62)</t>
  </si>
  <si>
    <t>RSVA</t>
  </si>
  <si>
    <t>Income not earned on movement of Regulatory A/Cs</t>
  </si>
  <si>
    <t>OPEB Amounts Capitalized</t>
  </si>
  <si>
    <t xml:space="preserve">  Charitable donations</t>
  </si>
  <si>
    <t>Regulatory assets contra</t>
  </si>
  <si>
    <t xml:space="preserve">Partnership income </t>
  </si>
  <si>
    <t>Interest phased-in  (Cell C37)</t>
  </si>
  <si>
    <t xml:space="preserve">Interest deducted on MoF filing  (Cell G37+G42) </t>
  </si>
  <si>
    <t>Bill 4 deferred revenue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</si>
  <si>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</si>
  <si>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</si>
  <si>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Utility Name: Greater Sudbury Hydro Inc.</t>
  </si>
  <si>
    <t>Y</t>
  </si>
  <si>
    <t>N</t>
  </si>
  <si>
    <t xml:space="preserve">  Interest on Deposits  and Future Pension Benefits </t>
  </si>
  <si>
    <t>Loss on employee future benefit plans</t>
  </si>
  <si>
    <t>move to tax rec 3</t>
  </si>
  <si>
    <t>PILs deferred rev - reg asset - move also</t>
  </si>
  <si>
    <t>allowable so leave as is</t>
  </si>
  <si>
    <t>leave gain/loss as okay</t>
  </si>
  <si>
    <t>ok</t>
  </si>
  <si>
    <t>REFER TO APPENDIX 1 - CONTINUITY WORKING PAPER</t>
  </si>
  <si>
    <t>Method 3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</si>
</sst>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74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3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62" applyNumberFormat="1" applyFont="1" applyFill="1" applyBorder="1" applyAlignment="1" applyProtection="1" quotePrefix="1">
      <alignment vertical="top"/>
      <protection/>
    </xf>
    <xf numFmtId="3" fontId="0" fillId="36" borderId="47" xfId="62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62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10" fontId="0" fillId="44" borderId="51" xfId="0" applyNumberFormat="1" applyFill="1" applyBorder="1" applyAlignment="1" applyProtection="1">
      <alignment horizontal="center" vertical="top"/>
      <protection locked="0"/>
    </xf>
    <xf numFmtId="10" fontId="0" fillId="44" borderId="10" xfId="0" applyNumberFormat="1" applyFill="1" applyBorder="1" applyAlignment="1" applyProtection="1">
      <alignment horizontal="center"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top"/>
    </xf>
    <xf numFmtId="0" fontId="0" fillId="45" borderId="0" xfId="0" applyFont="1" applyFill="1" applyAlignment="1">
      <alignment vertical="top" wrapText="1"/>
    </xf>
    <xf numFmtId="3" fontId="0" fillId="32" borderId="14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3" fontId="0" fillId="0" borderId="0" xfId="42" applyNumberFormat="1" applyFont="1" applyFill="1" applyBorder="1" applyAlignment="1" applyProtection="1">
      <alignment vertical="top"/>
      <protection locked="0"/>
    </xf>
    <xf numFmtId="37" fontId="0" fillId="0" borderId="14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left" vertical="top"/>
    </xf>
    <xf numFmtId="0" fontId="19" fillId="0" borderId="0" xfId="0" applyFont="1" applyFill="1" applyAlignment="1">
      <alignment vertical="top"/>
    </xf>
    <xf numFmtId="0" fontId="0" fillId="4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omma0 2" xfId="46"/>
    <cellStyle name="Currency" xfId="47"/>
    <cellStyle name="Currency [0]" xfId="48"/>
    <cellStyle name="Currency0" xfId="49"/>
    <cellStyle name="Currency0 2" xfId="50"/>
    <cellStyle name="Date" xfId="51"/>
    <cellStyle name="Date 2" xfId="52"/>
    <cellStyle name="Explanatory Text" xfId="53"/>
    <cellStyle name="Fixed" xfId="54"/>
    <cellStyle name="Fixed 2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te" xfId="67"/>
    <cellStyle name="Output" xfId="68"/>
    <cellStyle name="Percent" xfId="69"/>
    <cellStyle name="Title" xfId="70"/>
    <cellStyle name="Total" xfId="71"/>
    <cellStyle name="Total 2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0" tint="-0.4999699890613556"/>
    <pageSetUpPr fitToPage="1"/>
  </sheetPr>
  <dimension ref="A1:P76"/>
  <sheetViews>
    <sheetView zoomScalePageLayoutView="0" workbookViewId="0" topLeftCell="A28">
      <selection activeCell="A73" sqref="A7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492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511</v>
      </c>
      <c r="C3" s="8"/>
      <c r="D3" s="448" t="s">
        <v>444</v>
      </c>
      <c r="E3" s="8"/>
      <c r="F3" s="8"/>
      <c r="G3" s="8"/>
      <c r="H3" s="8"/>
    </row>
    <row r="4" spans="1:8" ht="12.75">
      <c r="A4" s="2" t="s">
        <v>479</v>
      </c>
      <c r="C4" s="8"/>
      <c r="D4" s="447" t="s">
        <v>439</v>
      </c>
      <c r="E4" s="421"/>
      <c r="H4" s="8"/>
    </row>
    <row r="5" spans="1:8" ht="12.75">
      <c r="A5" s="52"/>
      <c r="C5" s="8"/>
      <c r="D5" s="446" t="s">
        <v>440</v>
      </c>
      <c r="E5" s="398"/>
      <c r="H5" s="8"/>
    </row>
    <row r="6" spans="1:8" ht="12.75">
      <c r="A6" s="2" t="s">
        <v>126</v>
      </c>
      <c r="B6" s="388">
        <v>366</v>
      </c>
      <c r="C6" s="8" t="s">
        <v>127</v>
      </c>
      <c r="D6" s="21"/>
      <c r="H6" s="8"/>
    </row>
    <row r="7" spans="1:8" ht="13.5" thickBot="1">
      <c r="A7" s="52" t="s">
        <v>254</v>
      </c>
      <c r="B7" s="248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512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513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 t="s">
        <v>513</v>
      </c>
    </row>
    <row r="18" spans="1:4" ht="15" customHeight="1">
      <c r="A18" s="389" t="s">
        <v>313</v>
      </c>
      <c r="C18" s="8"/>
      <c r="D18" s="8"/>
    </row>
    <row r="19" spans="1:4" ht="15" customHeight="1">
      <c r="A19" s="518" t="s">
        <v>314</v>
      </c>
      <c r="B19" s="8" t="s">
        <v>311</v>
      </c>
      <c r="C19" s="8" t="s">
        <v>64</v>
      </c>
      <c r="D19" s="388" t="s">
        <v>512</v>
      </c>
    </row>
    <row r="20" spans="1:4" ht="13.5" thickBot="1">
      <c r="A20" s="519"/>
      <c r="B20" s="8" t="s">
        <v>312</v>
      </c>
      <c r="C20" s="8" t="s">
        <v>64</v>
      </c>
      <c r="D20" s="257" t="s">
        <v>512</v>
      </c>
    </row>
    <row r="21" spans="1:4" ht="12.75">
      <c r="A21" s="518" t="s">
        <v>310</v>
      </c>
      <c r="B21" s="8" t="s">
        <v>311</v>
      </c>
      <c r="C21" s="8"/>
      <c r="D21" s="480">
        <v>0.91</v>
      </c>
    </row>
    <row r="22" spans="1:4" ht="12.75">
      <c r="A22" s="518"/>
      <c r="B22" s="8" t="s">
        <v>312</v>
      </c>
      <c r="C22" s="8"/>
      <c r="D22" s="480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0" t="s">
        <v>480</v>
      </c>
    </row>
    <row r="25" ht="6.75" customHeight="1" thickBot="1">
      <c r="A25" s="12"/>
    </row>
    <row r="26" spans="1:5" ht="12.75">
      <c r="A26" s="254" t="s">
        <v>67</v>
      </c>
      <c r="C26" s="8"/>
      <c r="E26" s="436" t="s">
        <v>295</v>
      </c>
    </row>
    <row r="27" spans="1:5" ht="12.75">
      <c r="A27" s="255" t="s">
        <v>68</v>
      </c>
      <c r="C27" s="8"/>
      <c r="E27" s="437" t="s">
        <v>296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285</v>
      </c>
      <c r="D31" s="481">
        <v>73815864</v>
      </c>
      <c r="H31" s="5"/>
    </row>
    <row r="32" ht="6" customHeight="1"/>
    <row r="33" spans="1:8" ht="12.75">
      <c r="A33" t="s">
        <v>71</v>
      </c>
      <c r="D33" s="48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2">
        <v>0</v>
      </c>
      <c r="H37" s="41"/>
    </row>
    <row r="38" ht="4.5" customHeight="1">
      <c r="H38" s="34"/>
    </row>
    <row r="39" spans="1:8" ht="12.75">
      <c r="A39" t="s">
        <v>74</v>
      </c>
      <c r="D39" s="482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2675825.07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83">
        <v>2531353</v>
      </c>
      <c r="E43" s="387">
        <f>D43</f>
        <v>2531353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144472.06999999983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84"/>
      <c r="E47" s="387">
        <f aca="true" t="shared" si="0" ref="E47:E53">D47</f>
        <v>0</v>
      </c>
      <c r="H47" s="40"/>
      <c r="J47" s="5"/>
      <c r="K47" s="5"/>
    </row>
    <row r="48" spans="1:11" ht="12.75">
      <c r="A48" t="s">
        <v>288</v>
      </c>
      <c r="D48" s="484"/>
      <c r="E48" s="387">
        <f>D48</f>
        <v>0</v>
      </c>
      <c r="F48" s="22"/>
      <c r="H48" s="40"/>
      <c r="J48" s="5"/>
      <c r="K48" s="5"/>
    </row>
    <row r="49" spans="1:11" ht="12.75">
      <c r="A49" t="s">
        <v>289</v>
      </c>
      <c r="D49" s="485"/>
      <c r="E49" s="387">
        <v>0</v>
      </c>
      <c r="F49" s="22"/>
      <c r="H49" s="40"/>
      <c r="J49" s="5"/>
      <c r="K49" s="5"/>
    </row>
    <row r="50" spans="1:11" ht="12.75">
      <c r="A50" t="s">
        <v>290</v>
      </c>
      <c r="D50" s="421"/>
      <c r="E50" s="387">
        <f t="shared" si="0"/>
        <v>0</v>
      </c>
      <c r="H50" s="40"/>
      <c r="J50" s="5"/>
      <c r="K50" s="5"/>
    </row>
    <row r="51" spans="1:11" ht="12.75">
      <c r="A51" t="s">
        <v>436</v>
      </c>
      <c r="D51" s="421"/>
      <c r="E51" s="387">
        <f t="shared" si="0"/>
        <v>0</v>
      </c>
      <c r="H51" s="40"/>
      <c r="J51" s="5"/>
      <c r="K51" s="5"/>
    </row>
    <row r="52" spans="1:11" ht="12.75">
      <c r="A52" t="s">
        <v>459</v>
      </c>
      <c r="D52" s="421"/>
      <c r="E52" s="387">
        <f t="shared" si="0"/>
        <v>0</v>
      </c>
      <c r="H52" s="40"/>
      <c r="J52" s="5"/>
      <c r="K52" s="5"/>
    </row>
    <row r="53" spans="4:11" ht="12.75">
      <c r="D53" s="421"/>
      <c r="E53" s="387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2531353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36907932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0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36907932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1">
        <f>D60*D39</f>
        <v>2675825.07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2531353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2531353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2531353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2">
        <f>D62</f>
        <v>2675825.07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  <pageSetUpPr fitToPage="1"/>
  </sheetPr>
  <dimension ref="A1:L250"/>
  <sheetViews>
    <sheetView tabSelected="1" zoomScale="75" zoomScaleNormal="75" zoomScalePageLayoutView="0" workbookViewId="0" topLeftCell="A163">
      <selection activeCell="J36" sqref="J36"/>
    </sheetView>
  </sheetViews>
  <sheetFormatPr defaultColWidth="9.140625" defaultRowHeight="12.75"/>
  <cols>
    <col min="1" max="1" width="68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461</v>
      </c>
      <c r="H1" s="209"/>
    </row>
    <row r="2" spans="1:8" ht="12.75">
      <c r="A2" s="210" t="s">
        <v>460</v>
      </c>
      <c r="B2" s="211"/>
      <c r="C2" s="212" t="s">
        <v>35</v>
      </c>
      <c r="D2" s="213"/>
      <c r="E2" s="214" t="s">
        <v>24</v>
      </c>
      <c r="F2" s="215" t="s">
        <v>24</v>
      </c>
      <c r="G2" s="183" t="s">
        <v>462</v>
      </c>
      <c r="H2" s="216"/>
    </row>
    <row r="3" spans="1:8" ht="12.75">
      <c r="A3" s="210" t="s">
        <v>49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250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3" t="str">
        <f>REGINFO!E1</f>
        <v>Version 2009.1</v>
      </c>
      <c r="H5" s="216"/>
    </row>
    <row r="6" spans="1:8" ht="12.75">
      <c r="A6" s="210" t="str">
        <f>REGINFO!A3</f>
        <v>Utility Name: Greater Sudbury Hydro Inc.</v>
      </c>
      <c r="B6" s="115"/>
      <c r="D6" s="137"/>
      <c r="E6" s="115"/>
      <c r="G6" s="115"/>
      <c r="H6" s="458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58"/>
    </row>
    <row r="8" spans="2:12" ht="12.75">
      <c r="B8" s="221"/>
      <c r="C8" s="229"/>
      <c r="D8" s="213"/>
      <c r="E8" s="137"/>
      <c r="F8" s="219"/>
      <c r="G8" s="183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2">
        <f>REGINFO!B6</f>
        <v>366</v>
      </c>
      <c r="C9" s="230" t="s">
        <v>127</v>
      </c>
      <c r="D9" s="213"/>
      <c r="E9" s="137"/>
      <c r="F9" s="219"/>
      <c r="G9" s="183" t="s">
        <v>90</v>
      </c>
      <c r="H9" s="216"/>
    </row>
    <row r="10" spans="1:8" ht="12.75">
      <c r="A10" s="210" t="s">
        <v>254</v>
      </c>
      <c r="B10" s="422">
        <f>REGINFO!B7</f>
        <v>366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58">
        <f>REGINFO!E54</f>
        <v>2531353</v>
      </c>
      <c r="D16" s="17"/>
      <c r="E16" s="266">
        <f>G16-C16</f>
        <v>-14804</v>
      </c>
      <c r="F16" s="3"/>
      <c r="G16" s="266">
        <f>TAXREC!E50</f>
        <v>2516549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6">
        <v>4893000</v>
      </c>
      <c r="D20" s="18"/>
      <c r="E20" s="266">
        <f>G20-C20</f>
        <v>-642056</v>
      </c>
      <c r="F20" s="6"/>
      <c r="G20" s="266">
        <f>TAXREC!E61</f>
        <v>4250944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664101</v>
      </c>
      <c r="F21" s="6"/>
      <c r="G21" s="266">
        <f>TAXREC!E62</f>
        <v>664101</v>
      </c>
      <c r="H21" s="151"/>
    </row>
    <row r="22" spans="1:8" ht="12.75">
      <c r="A22" s="158" t="s">
        <v>262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261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263</v>
      </c>
      <c r="B24" s="127">
        <v>5</v>
      </c>
      <c r="C24" s="486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1206138</v>
      </c>
      <c r="F26" s="6"/>
      <c r="G26" s="266">
        <f>TAXREC!E92</f>
        <v>1206138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72" t="s">
        <v>392</v>
      </c>
      <c r="B30" s="127"/>
      <c r="C30" s="258"/>
      <c r="D30" s="18"/>
      <c r="E30" s="266">
        <f>G30-C30</f>
        <v>2915010</v>
      </c>
      <c r="F30" s="6"/>
      <c r="G30" s="266">
        <f>TAXREC!E66</f>
        <v>2915010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6">
        <v>2903827</v>
      </c>
      <c r="D33" s="132"/>
      <c r="E33" s="266">
        <f aca="true" t="shared" si="0" ref="E33:E42">G33-C33</f>
        <v>194532</v>
      </c>
      <c r="F33" s="6"/>
      <c r="G33" s="266">
        <f>TAXREC!E97+TAXREC!E98</f>
        <v>3098359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327436</v>
      </c>
      <c r="F34" s="6"/>
      <c r="G34" s="266">
        <f>TAXREC!E99</f>
        <v>327436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264</v>
      </c>
      <c r="B36" s="127">
        <v>10</v>
      </c>
      <c r="C36" s="486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REGINFO!D66</f>
        <v>2531353</v>
      </c>
      <c r="D37" s="132"/>
      <c r="E37" s="266">
        <f t="shared" si="0"/>
        <v>1000307</v>
      </c>
      <c r="F37" s="6"/>
      <c r="G37" s="266">
        <f>TAXREC!E51</f>
        <v>3531660</v>
      </c>
      <c r="H37" s="151"/>
    </row>
    <row r="38" spans="1:8" ht="12.75">
      <c r="A38" s="155" t="s">
        <v>260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259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49849</v>
      </c>
      <c r="F45" s="6"/>
      <c r="G45" s="250">
        <f>TAXREC!E131</f>
        <v>49849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72" t="s">
        <v>392</v>
      </c>
      <c r="B48" s="127"/>
      <c r="C48" s="258"/>
      <c r="D48" s="132"/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2">
        <f>C16+SUM(C20:C30)-SUM(C33:C48)</f>
        <v>1989173</v>
      </c>
      <c r="D50" s="102"/>
      <c r="E50" s="262">
        <f>E16+SUM(E20:E30)-SUM(E33:E48)</f>
        <v>2556265</v>
      </c>
      <c r="F50" s="424" t="s">
        <v>364</v>
      </c>
      <c r="G50" s="262">
        <f>G16+SUM(G20:G30)-SUM(G33:G48)</f>
        <v>4545438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1">
        <f>IF($C$50&gt;'Tax Rates'!$E$11,'Tax Rates'!$F$16,IF($C$50&gt;'Tax Rates'!$C$11,'Tax Rates'!$E$16,'Tax Rates'!$C$16))</f>
        <v>0.3862</v>
      </c>
      <c r="D53" s="102"/>
      <c r="E53" s="267">
        <f>+G53-C53</f>
        <v>-0.24769431583930965</v>
      </c>
      <c r="F53" s="114"/>
      <c r="G53" s="466">
        <f>TAXREC!E151</f>
        <v>0.13850568416069034</v>
      </c>
      <c r="H53" s="151"/>
      <c r="I53" s="463" t="s">
        <v>102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768218.6126</v>
      </c>
      <c r="D55" s="102"/>
      <c r="E55" s="266">
        <f>G55-C55</f>
        <v>-138649.6126</v>
      </c>
      <c r="F55" s="424" t="s">
        <v>365</v>
      </c>
      <c r="G55" s="263">
        <f>TAXREC!E144</f>
        <v>629569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24" t="s">
        <v>365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768218.6126</v>
      </c>
      <c r="D60" s="133"/>
      <c r="E60" s="268">
        <f>+E55-E58</f>
        <v>-138649.6126</v>
      </c>
      <c r="F60" s="424" t="s">
        <v>365</v>
      </c>
      <c r="G60" s="268">
        <f>+G55-G58</f>
        <v>629569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v>64305676</v>
      </c>
      <c r="D66" s="102"/>
      <c r="E66" s="266">
        <f>G66-C66</f>
        <v>10696685</v>
      </c>
      <c r="F66" s="6"/>
      <c r="G66" s="487">
        <v>75002361</v>
      </c>
      <c r="H66" s="151"/>
      <c r="I66" s="468" t="s">
        <v>471</v>
      </c>
    </row>
    <row r="67" spans="1:10" ht="12.75">
      <c r="A67" s="152" t="s">
        <v>357</v>
      </c>
      <c r="B67" s="125">
        <v>16</v>
      </c>
      <c r="C67" s="259">
        <f>IF(C66&gt;0,'Tax Rates'!C21,0)</f>
        <v>5000000</v>
      </c>
      <c r="D67" s="102"/>
      <c r="E67" s="266">
        <f>G67-C67</f>
        <v>-461771</v>
      </c>
      <c r="F67" s="6"/>
      <c r="G67" s="266">
        <v>4538229</v>
      </c>
      <c r="H67" s="151"/>
      <c r="I67" s="468" t="s">
        <v>471</v>
      </c>
      <c r="J67" s="516" t="s">
        <v>102</v>
      </c>
    </row>
    <row r="68" spans="1:8" ht="12.75">
      <c r="A68" s="152" t="s">
        <v>42</v>
      </c>
      <c r="B68" s="125"/>
      <c r="C68" s="263">
        <f>IF((C66-C67)&gt;0,C66-C67,0)</f>
        <v>59305676</v>
      </c>
      <c r="D68" s="102"/>
      <c r="E68" s="266">
        <f>SUM(E66:E67)</f>
        <v>10234914</v>
      </c>
      <c r="F68" s="114"/>
      <c r="G68" s="263">
        <f>G66-G67</f>
        <v>70464132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3">
        <f>IF(C68&gt;0,C68*C70,0)*REGINFO!$B$6/REGINFO!$B$7</f>
        <v>177917.028</v>
      </c>
      <c r="D72" s="101"/>
      <c r="E72" s="266">
        <f>+G72-C72</f>
        <v>33475.36800000002</v>
      </c>
      <c r="F72" s="469"/>
      <c r="G72" s="263">
        <f>IF(G68&gt;0,G68*G70,0)*REGINFO!$B$6/REGINFO!$B$7</f>
        <v>211392.396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v>64305676</v>
      </c>
      <c r="D75" s="102"/>
      <c r="E75" s="266">
        <f>+G75-C75</f>
        <v>12026542</v>
      </c>
      <c r="F75" s="6"/>
      <c r="G75" s="487">
        <v>76332218</v>
      </c>
      <c r="H75" s="151"/>
      <c r="I75" s="468" t="s">
        <v>471</v>
      </c>
    </row>
    <row r="76" spans="1:9" ht="12.75">
      <c r="A76" s="152" t="s">
        <v>357</v>
      </c>
      <c r="B76" s="125">
        <v>19</v>
      </c>
      <c r="C76" s="259">
        <f>IF(C75&gt;0,'Tax Rates'!C22,0)</f>
        <v>10000000</v>
      </c>
      <c r="D76" s="18"/>
      <c r="E76" s="266">
        <f>+G76-C76</f>
        <v>34109004</v>
      </c>
      <c r="F76" s="6"/>
      <c r="G76" s="266">
        <v>44109004</v>
      </c>
      <c r="H76" s="151"/>
      <c r="I76" s="468" t="s">
        <v>471</v>
      </c>
    </row>
    <row r="77" spans="1:8" ht="12.75">
      <c r="A77" s="152" t="s">
        <v>42</v>
      </c>
      <c r="B77" s="125"/>
      <c r="C77" s="263">
        <f>IF((C75-C76)&gt;0,C75-C76,0)</f>
        <v>54305676</v>
      </c>
      <c r="D77" s="19"/>
      <c r="E77" s="266">
        <f>SUM(E75:E76)</f>
        <v>46135546</v>
      </c>
      <c r="F77" s="114"/>
      <c r="G77" s="263">
        <f>IF(G76&gt;G75,0,G75-G76)</f>
        <v>32223214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3">
        <f>IF(C77&gt;0,C77*C79,0)*REGINFO!$B$6/REGINFO!$B$7</f>
        <v>122187.771</v>
      </c>
      <c r="D81" s="102"/>
      <c r="E81" s="266">
        <f>+G81-C81</f>
        <v>-57741.343</v>
      </c>
      <c r="F81" s="6"/>
      <c r="G81" s="263">
        <f>G77*G79*B9/B10</f>
        <v>64446.42799999999</v>
      </c>
      <c r="H81" s="151"/>
    </row>
    <row r="82" spans="1:8" ht="12.75">
      <c r="A82" s="152" t="s">
        <v>317</v>
      </c>
      <c r="B82" s="125">
        <v>21</v>
      </c>
      <c r="C82" s="299">
        <f>IF(C77&gt;0,IF(C60&gt;0,C50*'Tax Rates'!C20,0),0)</f>
        <v>22278.7376</v>
      </c>
      <c r="D82" s="102"/>
      <c r="E82" s="266">
        <f>+G82-C82</f>
        <v>28630.167999999998</v>
      </c>
      <c r="F82" s="6"/>
      <c r="G82" s="299">
        <f>IF(G77&gt;0,IF(G60&gt;0,G50*'Tax Rates'!C20,0),0)</f>
        <v>50908.9056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99909.03339999999</v>
      </c>
      <c r="D84" s="16"/>
      <c r="E84" s="266">
        <f>E81-E82</f>
        <v>-86371.511</v>
      </c>
      <c r="F84" s="103"/>
      <c r="G84" s="263">
        <f>G81-G82</f>
        <v>13537.522399999994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366</v>
      </c>
      <c r="B90" s="127">
        <v>22</v>
      </c>
      <c r="C90" s="263">
        <f>C60/(1-C88)</f>
        <v>1229149.78016</v>
      </c>
      <c r="D90" s="20"/>
      <c r="E90" s="139"/>
      <c r="F90" s="423" t="s">
        <v>482</v>
      </c>
      <c r="G90" s="269">
        <f>TAXREC!E156</f>
        <v>629569</v>
      </c>
      <c r="H90" s="151"/>
    </row>
    <row r="91" spans="1:8" ht="12.75">
      <c r="A91" s="158" t="s">
        <v>367</v>
      </c>
      <c r="B91" s="127">
        <v>23</v>
      </c>
      <c r="C91" s="263">
        <f>C84/(1-C88)</f>
        <v>159854.45343999998</v>
      </c>
      <c r="D91" s="20"/>
      <c r="E91" s="139"/>
      <c r="F91" s="423" t="s">
        <v>482</v>
      </c>
      <c r="G91" s="269">
        <f>TAXREC!E158</f>
        <v>32569</v>
      </c>
      <c r="H91" s="151"/>
    </row>
    <row r="92" spans="1:8" ht="12.75">
      <c r="A92" s="158" t="s">
        <v>345</v>
      </c>
      <c r="B92" s="127">
        <v>24</v>
      </c>
      <c r="C92" s="263">
        <f>C72</f>
        <v>177917.028</v>
      </c>
      <c r="D92" s="20"/>
      <c r="E92" s="139"/>
      <c r="F92" s="423" t="s">
        <v>482</v>
      </c>
      <c r="G92" s="269">
        <f>TAXREC!E157</f>
        <v>211392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475</v>
      </c>
      <c r="B95" s="125">
        <v>25</v>
      </c>
      <c r="C95" s="268">
        <f>SUM(C90:C93)</f>
        <v>1566921.2616</v>
      </c>
      <c r="D95" s="6"/>
      <c r="E95" s="139"/>
      <c r="F95" s="423" t="s">
        <v>482</v>
      </c>
      <c r="G95" s="412">
        <f>SUM(G90:G94)</f>
        <v>873530</v>
      </c>
      <c r="H95" s="164"/>
    </row>
    <row r="96" spans="1:8" ht="12.75">
      <c r="A96" s="403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199"/>
      <c r="H100" s="164"/>
    </row>
    <row r="101" spans="1:8" ht="12.75">
      <c r="A101" s="156" t="s">
        <v>343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56</v>
      </c>
      <c r="B102" s="127">
        <v>3</v>
      </c>
      <c r="C102" s="112"/>
      <c r="D102" s="3"/>
      <c r="E102" s="250">
        <f>E21</f>
        <v>664101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100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360</v>
      </c>
      <c r="B106" s="127">
        <v>6</v>
      </c>
      <c r="C106" s="112"/>
      <c r="D106" s="3"/>
      <c r="E106" s="250">
        <f>E26</f>
        <v>1206138</v>
      </c>
      <c r="F106" s="37"/>
      <c r="G106" s="200"/>
      <c r="H106" s="164"/>
    </row>
    <row r="107" spans="1:8" ht="12.75">
      <c r="A107" s="158" t="s">
        <v>361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57</v>
      </c>
      <c r="B109" s="127">
        <v>8</v>
      </c>
      <c r="C109" s="112"/>
      <c r="D109" s="3"/>
      <c r="E109" s="250">
        <f>E34</f>
        <v>327436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510" t="s">
        <v>509</v>
      </c>
      <c r="B112" s="127">
        <v>11</v>
      </c>
      <c r="C112" s="112"/>
      <c r="D112" s="3"/>
      <c r="E112" s="465">
        <f>E206</f>
        <v>855834.9300000002</v>
      </c>
      <c r="F112" s="187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101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686968.0699999998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481</v>
      </c>
      <c r="B122" s="127"/>
      <c r="C122" s="112"/>
      <c r="D122" s="3" t="s">
        <v>231</v>
      </c>
      <c r="E122" s="462">
        <f>IF((E120+G50)&gt;'Tax Rates'!$E$47,'Tax Rates'!$F$52-1.12%,IF((E120+G50)&gt;'Tax Rates'!$D$47,'Tax Rates'!$E$52-1.12%,IF((E120+G50)&gt;'Tax Rates'!$C$47,'Tax Rates'!$D$52-1.12%,'Tax Rates'!$C$52-1.12%)))+0.0112</f>
        <v>0.3612</v>
      </c>
      <c r="F122" s="463" t="s">
        <v>102</v>
      </c>
      <c r="G122" s="200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248132.86688399996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248132.86688399996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514" t="s">
        <v>520</v>
      </c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8" ht="12.75">
      <c r="A132" s="168" t="s">
        <v>349</v>
      </c>
      <c r="B132" s="130"/>
      <c r="C132" s="112"/>
      <c r="D132" s="3"/>
      <c r="E132" s="476">
        <f>E128/(1-E130)</f>
        <v>381742.87212923076</v>
      </c>
      <c r="F132" s="37"/>
      <c r="G132" s="200"/>
      <c r="H132" s="164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352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1989173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0.3612</v>
      </c>
      <c r="F138" s="515" t="s">
        <v>520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718489.2876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718489.2876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12.75">
      <c r="A146" s="171" t="s">
        <v>239</v>
      </c>
      <c r="B146" s="130"/>
      <c r="C146" s="112"/>
      <c r="D146" s="118" t="s">
        <v>188</v>
      </c>
      <c r="E146" s="301">
        <f>C60</f>
        <v>768218.6126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-49729.32499999995</v>
      </c>
      <c r="F148" s="37"/>
      <c r="G148" s="200"/>
      <c r="H148" s="164"/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86" t="s">
        <v>20</v>
      </c>
      <c r="B150" s="130"/>
      <c r="C150" s="112"/>
      <c r="D150" s="119"/>
      <c r="E150" s="471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64305676</v>
      </c>
      <c r="F151" s="37"/>
      <c r="G151" s="200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59305676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171" t="s">
        <v>356</v>
      </c>
      <c r="B155" s="130"/>
      <c r="C155" s="112"/>
      <c r="D155" s="119" t="s">
        <v>231</v>
      </c>
      <c r="E155" s="305">
        <f>'Tax Rates'!C54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177917.028</v>
      </c>
      <c r="F157" s="37"/>
      <c r="G157" s="200"/>
      <c r="H157" s="164"/>
    </row>
    <row r="158" spans="1:8" ht="12.75">
      <c r="A158" s="171" t="s">
        <v>307</v>
      </c>
      <c r="B158" s="130"/>
      <c r="C158" s="112"/>
      <c r="D158" s="118" t="s">
        <v>188</v>
      </c>
      <c r="E158" s="304">
        <f>C72</f>
        <v>177917.028</v>
      </c>
      <c r="F158" s="37"/>
      <c r="G158" s="200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7">
        <f>E157-E158</f>
        <v>0</v>
      </c>
      <c r="F159" s="37"/>
      <c r="G159" s="200"/>
      <c r="H159" s="164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64305676</v>
      </c>
      <c r="F162" s="37"/>
      <c r="G162" s="200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0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14305676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10" ht="12.75">
      <c r="A166" s="171" t="s">
        <v>308</v>
      </c>
      <c r="B166" s="130"/>
      <c r="C166" s="112"/>
      <c r="D166" s="119"/>
      <c r="E166" s="305">
        <f>'Tax Rates'!C55</f>
        <v>0.002</v>
      </c>
      <c r="F166" s="37"/>
      <c r="G166" s="200"/>
      <c r="H166" s="164"/>
      <c r="J166" s="512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10" ht="12.75">
      <c r="A168" s="171" t="s">
        <v>241</v>
      </c>
      <c r="B168" s="130"/>
      <c r="C168" s="112"/>
      <c r="D168" s="119"/>
      <c r="E168" s="301">
        <f>IF(E164&gt;0,E164*E166*B9/B10,0)</f>
        <v>28611.352000000003</v>
      </c>
      <c r="F168" s="37"/>
      <c r="G168" s="200"/>
      <c r="H168" s="164"/>
      <c r="J168" s="512"/>
    </row>
    <row r="169" spans="1:10" ht="12.75">
      <c r="A169" s="171" t="s">
        <v>318</v>
      </c>
      <c r="B169" s="130"/>
      <c r="C169" s="112"/>
      <c r="D169" s="118" t="s">
        <v>188</v>
      </c>
      <c r="E169" s="306">
        <f>IF(E164&gt;0,IF(E144&gt;0,E136*'Tax Rates'!C56,0),0)</f>
        <v>22278.7376</v>
      </c>
      <c r="F169" s="37"/>
      <c r="G169" s="200"/>
      <c r="H169" s="164"/>
      <c r="J169" s="512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6332.614400000002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413" t="s">
        <v>344</v>
      </c>
      <c r="B172" s="130"/>
      <c r="C172" s="112"/>
      <c r="D172" s="118" t="s">
        <v>188</v>
      </c>
      <c r="E172" s="304">
        <f>C84</f>
        <v>99909.03339999999</v>
      </c>
      <c r="F172" s="37"/>
      <c r="G172" s="200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7">
        <f>E170-E172</f>
        <v>-93576.41899999998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8" ht="12.75">
      <c r="A175" s="155" t="s">
        <v>342</v>
      </c>
      <c r="B175" s="130"/>
      <c r="C175" s="112"/>
      <c r="D175" s="119"/>
      <c r="E175" s="462">
        <f>IF((E120+G50)&gt;'Tax Rates'!E47,'Tax Rates'!F52-1.12%,IF((E120+G50)&gt;'Tax Rates'!D47,'Tax Rates'!E52-1.12%,IF((E120+G50)&gt;'Tax Rates'!C47,'Tax Rates'!D52,'Tax Rates'!C52-1.12%)))</f>
        <v>0.35000000000000003</v>
      </c>
      <c r="F175" s="463" t="s">
        <v>520</v>
      </c>
      <c r="G175" s="200"/>
      <c r="H175" s="164"/>
    </row>
    <row r="176" spans="1:8" ht="12.75">
      <c r="A176" s="155"/>
      <c r="B176" s="130"/>
      <c r="C176" s="112"/>
      <c r="D176" s="119"/>
      <c r="E176" s="144"/>
      <c r="F176" s="37"/>
      <c r="G176" s="200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-76506.65384615379</v>
      </c>
      <c r="F177" s="37"/>
      <c r="G177" s="200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-143963.72153846154</v>
      </c>
      <c r="F178" s="37"/>
      <c r="G178" s="200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475">
        <f>SUM(E177:E179)</f>
        <v>-220470.37538461533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478</v>
      </c>
      <c r="B183" s="130"/>
      <c r="C183" s="112"/>
      <c r="D183" s="119" t="s">
        <v>187</v>
      </c>
      <c r="E183" s="475">
        <f>E132</f>
        <v>381742.87212923076</v>
      </c>
      <c r="F183" s="37" t="s">
        <v>102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173" t="s">
        <v>351</v>
      </c>
      <c r="B185" s="130"/>
      <c r="C185" s="112"/>
      <c r="D185" s="119" t="s">
        <v>189</v>
      </c>
      <c r="E185" s="475">
        <f>E181+E183</f>
        <v>161272.49674461543</v>
      </c>
      <c r="F185" s="37"/>
      <c r="G185" s="200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2675825.07</v>
      </c>
      <c r="F193" s="3"/>
      <c r="G193" s="123"/>
      <c r="H193" s="164"/>
    </row>
    <row r="194" spans="1:8" ht="12.75">
      <c r="A194" s="510" t="s">
        <v>506</v>
      </c>
      <c r="B194" s="127"/>
      <c r="C194" s="112"/>
      <c r="D194" s="120"/>
      <c r="E194" s="307">
        <f>C37</f>
        <v>2531353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7">
        <f>E193-E194</f>
        <v>144472.06999999983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79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10" t="s">
        <v>507</v>
      </c>
      <c r="B201" s="127"/>
      <c r="C201" s="112"/>
      <c r="D201" s="120"/>
      <c r="E201" s="307">
        <f>G37+G42</f>
        <v>3531660</v>
      </c>
      <c r="F201" s="3"/>
      <c r="G201" s="479"/>
      <c r="H201" s="164"/>
    </row>
    <row r="202" spans="1:8" ht="12.75">
      <c r="A202" s="155" t="s">
        <v>499</v>
      </c>
      <c r="B202" s="127"/>
      <c r="C202" s="112"/>
      <c r="D202" s="120"/>
      <c r="E202" s="502">
        <f>REGINFO!D62</f>
        <v>2675825.07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855834.9300000002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510</v>
      </c>
      <c r="B206" s="127"/>
      <c r="C206" s="112"/>
      <c r="D206" s="120"/>
      <c r="E206" s="464">
        <f>IF((E201-E202)&gt;0,E201-E202,0)</f>
        <v>855834.9300000002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-711362.8600000003</v>
      </c>
      <c r="F208" s="74"/>
      <c r="G208" s="201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4999699890613556"/>
    <pageSetUpPr fitToPage="1"/>
  </sheetPr>
  <dimension ref="A1:K163"/>
  <sheetViews>
    <sheetView zoomScalePageLayoutView="0" workbookViewId="0" topLeftCell="A58">
      <selection activeCell="C63" sqref="C6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Greater Sudbury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8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511">
        <f>Ratebase*REGINFO!D33*0.0025</f>
        <v>92269.83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323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257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321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322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187</v>
      </c>
      <c r="C31" s="488">
        <v>59419958</v>
      </c>
      <c r="D31" s="285"/>
      <c r="E31" s="283">
        <f>C31-D31</f>
        <v>59419958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8">
        <v>15703837</v>
      </c>
      <c r="D32" s="285"/>
      <c r="E32" s="283">
        <f>C32-D32</f>
        <v>15703837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488">
        <v>922958</v>
      </c>
      <c r="D33" s="489"/>
      <c r="E33" s="283">
        <f>C33-D33</f>
        <v>922958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>
        <v>-1156289</v>
      </c>
      <c r="D34" s="285"/>
      <c r="E34" s="283">
        <f>C34-D34</f>
        <v>-1156289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8">
        <v>59419958</v>
      </c>
      <c r="D39" s="285"/>
      <c r="E39" s="283">
        <f>C39-D39</f>
        <v>59419958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8">
        <v>2393802</v>
      </c>
      <c r="D40" s="489"/>
      <c r="E40" s="283">
        <f aca="true" t="shared" si="0" ref="E40:E48">C40-D40</f>
        <v>2393802</v>
      </c>
      <c r="F40" s="11"/>
      <c r="G40" s="11"/>
      <c r="H40" s="6"/>
      <c r="I40" s="6"/>
    </row>
    <row r="41" spans="1:9" ht="12.75">
      <c r="A41" s="4" t="s">
        <v>273</v>
      </c>
      <c r="B41" s="23" t="s">
        <v>188</v>
      </c>
      <c r="C41" s="284">
        <v>1984586</v>
      </c>
      <c r="D41" s="285"/>
      <c r="E41" s="283">
        <f t="shared" si="0"/>
        <v>1984586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4">
        <v>3806597</v>
      </c>
      <c r="D42" s="285"/>
      <c r="E42" s="283">
        <f t="shared" si="0"/>
        <v>3806597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488">
        <v>4055343</v>
      </c>
      <c r="D43" s="489"/>
      <c r="E43" s="283">
        <f t="shared" si="0"/>
        <v>4055343</v>
      </c>
      <c r="F43" s="11"/>
      <c r="G43" s="11"/>
      <c r="H43" s="6"/>
      <c r="I43" s="6"/>
    </row>
    <row r="44" spans="1:9" ht="12.75">
      <c r="A44" s="4" t="s">
        <v>276</v>
      </c>
      <c r="B44" s="23" t="s">
        <v>188</v>
      </c>
      <c r="C44" s="488">
        <v>220019</v>
      </c>
      <c r="D44" s="285"/>
      <c r="E44" s="283">
        <f t="shared" si="0"/>
        <v>220019</v>
      </c>
      <c r="F44" s="11"/>
      <c r="G44" s="11"/>
      <c r="H44" s="6"/>
      <c r="I44" s="6"/>
    </row>
    <row r="45" spans="1:11" ht="12.75">
      <c r="A45" s="4" t="s">
        <v>490</v>
      </c>
      <c r="B45" s="23" t="s">
        <v>188</v>
      </c>
      <c r="C45" s="488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512" t="s">
        <v>514</v>
      </c>
      <c r="B46" s="23" t="s">
        <v>188</v>
      </c>
      <c r="C46" s="284">
        <v>493610</v>
      </c>
      <c r="D46" s="285"/>
      <c r="E46" s="283">
        <f t="shared" si="0"/>
        <v>493610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2516549</v>
      </c>
      <c r="D50" s="280">
        <f>SUM(D31:D36)-SUM(D39:D49)</f>
        <v>0</v>
      </c>
      <c r="E50" s="280">
        <f>SUM(E31:E35)-SUM(E39:E48)</f>
        <v>2516549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8">
        <v>3531660</v>
      </c>
      <c r="D51" s="284"/>
      <c r="E51" s="281">
        <f>+C51-D51</f>
        <v>3531660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88">
        <v>-309870</v>
      </c>
      <c r="D52" s="284"/>
      <c r="E52" s="282">
        <f>+C52-D52</f>
        <v>-309870</v>
      </c>
      <c r="F52" s="8"/>
      <c r="G52" s="414"/>
    </row>
    <row r="53" spans="1:7" ht="12.75">
      <c r="A53" s="2" t="s">
        <v>131</v>
      </c>
      <c r="B53" s="8" t="s">
        <v>189</v>
      </c>
      <c r="C53" s="280">
        <f>C50-C51-C52</f>
        <v>-705241</v>
      </c>
      <c r="D53" s="280">
        <f>D50-D51-D52</f>
        <v>0</v>
      </c>
      <c r="E53" s="280">
        <f>E50-E51-E52</f>
        <v>-705241</v>
      </c>
      <c r="F53" s="8"/>
      <c r="G53" s="22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-309870</v>
      </c>
      <c r="D59" s="286">
        <f>D52</f>
        <v>0</v>
      </c>
      <c r="E59" s="271">
        <f>+C59-D59</f>
        <v>-309870</v>
      </c>
      <c r="F59" s="8"/>
      <c r="G59" s="414"/>
    </row>
    <row r="60" spans="1:6" ht="12.75">
      <c r="A60" s="4" t="s">
        <v>324</v>
      </c>
      <c r="B60" s="8" t="s">
        <v>187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f>C43+195601</f>
        <v>4250944</v>
      </c>
      <c r="D61" s="286">
        <f>D43</f>
        <v>0</v>
      </c>
      <c r="E61" s="271">
        <f>+C61-D61</f>
        <v>4250944</v>
      </c>
      <c r="F61" s="8"/>
      <c r="G61" s="414"/>
    </row>
    <row r="62" spans="1:7" ht="12.75">
      <c r="A62" t="s">
        <v>6</v>
      </c>
      <c r="B62" s="8" t="s">
        <v>187</v>
      </c>
      <c r="C62" s="490">
        <v>664101</v>
      </c>
      <c r="D62" s="286">
        <v>0</v>
      </c>
      <c r="E62" s="271">
        <f>+C62-D62</f>
        <v>664101</v>
      </c>
      <c r="F62" s="8"/>
      <c r="G62" s="512" t="s">
        <v>518</v>
      </c>
    </row>
    <row r="63" spans="1:7" ht="12.75">
      <c r="A63" s="31" t="s">
        <v>277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  <c r="G63" s="512" t="s">
        <v>517</v>
      </c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7" ht="12.75">
      <c r="A65" t="s">
        <v>441</v>
      </c>
      <c r="B65" s="8" t="s">
        <v>187</v>
      </c>
      <c r="C65" s="285">
        <v>0</v>
      </c>
      <c r="D65" s="285"/>
      <c r="E65" s="271">
        <f>+C65-D65</f>
        <v>0</v>
      </c>
      <c r="F65" s="8"/>
      <c r="G65" s="512" t="s">
        <v>516</v>
      </c>
    </row>
    <row r="66" spans="1:6" ht="15">
      <c r="A66" s="460" t="s">
        <v>392</v>
      </c>
      <c r="B66" s="8"/>
      <c r="C66" s="439">
        <f>'TAXREC 3 No True-up'!C50</f>
        <v>2915010</v>
      </c>
      <c r="D66" s="439">
        <f>'TAXREC 3 No True-up'!D50</f>
        <v>0</v>
      </c>
      <c r="E66" s="271">
        <f>+C66-D66</f>
        <v>2915010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7520185</v>
      </c>
      <c r="D70" s="271">
        <f>SUM(D59:D68)</f>
        <v>0</v>
      </c>
      <c r="E70" s="271">
        <f>SUM(E59:E68)</f>
        <v>7520185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4" t="s">
        <v>496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515</v>
      </c>
      <c r="B76" s="8" t="s">
        <v>187</v>
      </c>
      <c r="C76" s="473">
        <v>1206138</v>
      </c>
      <c r="D76" s="293"/>
      <c r="E76" s="470">
        <f t="shared" si="1"/>
        <v>1206138</v>
      </c>
      <c r="F76" s="8"/>
      <c r="G76" s="513" t="s">
        <v>518</v>
      </c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1206138</v>
      </c>
      <c r="D80" s="250">
        <f>SUM(D73:D79)</f>
        <v>0</v>
      </c>
      <c r="E80" s="250">
        <f>SUM(E73:E79)</f>
        <v>1206138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8726323</v>
      </c>
      <c r="D82" s="250">
        <f>D70+D80</f>
        <v>0</v>
      </c>
      <c r="E82" s="250">
        <f>E70+E80</f>
        <v>8726323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Loss on employee future benefit plans</v>
      </c>
      <c r="B88" s="272"/>
      <c r="C88" s="289">
        <f t="shared" si="3"/>
        <v>1206138</v>
      </c>
      <c r="D88" s="289">
        <f t="shared" si="3"/>
        <v>0</v>
      </c>
      <c r="E88" s="289">
        <f t="shared" si="3"/>
        <v>1206138</v>
      </c>
      <c r="F88" s="8"/>
      <c r="G88" s="509" t="s">
        <v>519</v>
      </c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1206138</v>
      </c>
      <c r="D92" s="278">
        <f>SUM(D85:D91)</f>
        <v>0</v>
      </c>
      <c r="E92" s="278">
        <f>SUM(E85:E91)</f>
        <v>1206138</v>
      </c>
      <c r="F92" s="8"/>
      <c r="G92" s="45"/>
      <c r="H92" s="45"/>
      <c r="I92" s="45"/>
      <c r="J92" s="45"/>
      <c r="K92" s="45"/>
    </row>
    <row r="93" spans="1:11" ht="12.75">
      <c r="A93" s="272" t="s">
        <v>429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0">
        <f>C92+C93</f>
        <v>1206138</v>
      </c>
      <c r="D94" s="250">
        <f>D92+D93</f>
        <v>0</v>
      </c>
      <c r="E94" s="250">
        <f>E92+E93</f>
        <v>1206138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91">
        <v>3098359</v>
      </c>
      <c r="D97" s="293"/>
      <c r="E97" s="271">
        <f>+C97-D97</f>
        <v>3098359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91">
        <v>327436</v>
      </c>
      <c r="D99" s="293"/>
      <c r="E99" s="271">
        <f>+C99-D99</f>
        <v>327436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392</v>
      </c>
      <c r="B108" s="8"/>
      <c r="C108" s="253">
        <f>'TAXREC 3 No True-up'!C76</f>
        <v>0</v>
      </c>
      <c r="D108" s="253">
        <f>'TAXREC 3 No True-up'!D76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3425795</v>
      </c>
      <c r="D113" s="250">
        <f>SUM(D97:D111)</f>
        <v>0</v>
      </c>
      <c r="E113" s="250">
        <f>SUM(E97:E111)</f>
        <v>3425795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10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>
        <v>49849</v>
      </c>
      <c r="D116" s="293"/>
      <c r="E116" s="271">
        <f>+C116-D116</f>
        <v>49849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49849</v>
      </c>
      <c r="D120" s="250">
        <f>SUM(D114:D119)</f>
        <v>0</v>
      </c>
      <c r="E120" s="250">
        <f>SUM(E114:E119)</f>
        <v>49849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3475644</v>
      </c>
      <c r="D122" s="250">
        <f>D113+D120</f>
        <v>0</v>
      </c>
      <c r="E122" s="250">
        <f>+E113+E120</f>
        <v>3475644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0">
        <f>C120-C130</f>
        <v>49849</v>
      </c>
      <c r="D131" s="250">
        <f>D120-D130</f>
        <v>0</v>
      </c>
      <c r="E131" s="250">
        <f>E120-E130</f>
        <v>49849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0">
        <f>C130+C131</f>
        <v>49849</v>
      </c>
      <c r="D132" s="250">
        <f>D130+D131</f>
        <v>0</v>
      </c>
      <c r="E132" s="250">
        <f>E130+E131</f>
        <v>49849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507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4545438</v>
      </c>
      <c r="D134" s="250">
        <f>D53+D82-D122</f>
        <v>0</v>
      </c>
      <c r="E134" s="250">
        <f>E53+E82-E122</f>
        <v>4545438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507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93">
        <v>1699282</v>
      </c>
      <c r="D136" s="293"/>
      <c r="E136" s="263">
        <f>C136-D136</f>
        <v>1699282</v>
      </c>
      <c r="F136" s="8"/>
      <c r="G136" s="507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9" t="s">
        <v>503</v>
      </c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2846156</v>
      </c>
      <c r="D139" s="251">
        <f>D134-D136-D137-D138</f>
        <v>0</v>
      </c>
      <c r="E139" s="251">
        <f>E134-E136-E137-E138</f>
        <v>2846156</v>
      </c>
      <c r="F139" s="8"/>
      <c r="G139" s="508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93">
        <v>629569</v>
      </c>
      <c r="D142" s="477">
        <f>D139*C149</f>
        <v>0</v>
      </c>
      <c r="E142" s="251">
        <f>C142-D142</f>
        <v>629569</v>
      </c>
      <c r="F142" s="8"/>
      <c r="G142" s="45"/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93"/>
      <c r="D143" s="477">
        <f>D139*C150</f>
        <v>0</v>
      </c>
      <c r="E143" s="291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629569</v>
      </c>
      <c r="D144" s="251">
        <f>D142+D143</f>
        <v>0</v>
      </c>
      <c r="E144" s="251">
        <f>E142+E143</f>
        <v>629569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7"/>
      <c r="D145" s="47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1">
        <f>C144-C145</f>
        <v>629569</v>
      </c>
      <c r="D146" s="251">
        <f>D144-D145</f>
        <v>0</v>
      </c>
      <c r="E146" s="251">
        <f>E144-E145</f>
        <v>629569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92">
        <f>C142/C134</f>
        <v>0.13850568416069034</v>
      </c>
      <c r="D149" s="5"/>
      <c r="E149" s="404">
        <f>C149</f>
        <v>0.13850568416069034</v>
      </c>
      <c r="F149" s="8"/>
      <c r="G149" s="474" t="s">
        <v>466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92">
        <f>C143/C134</f>
        <v>0</v>
      </c>
      <c r="D150" s="5"/>
      <c r="E150" s="404">
        <f>C150</f>
        <v>0</v>
      </c>
      <c r="F150" s="8"/>
      <c r="G150" s="474" t="s">
        <v>467</v>
      </c>
      <c r="H150" s="45"/>
      <c r="I150" s="45"/>
      <c r="J150" s="45"/>
      <c r="K150" s="45"/>
    </row>
    <row r="151" spans="1:11" ht="12.75">
      <c r="A151" t="s">
        <v>328</v>
      </c>
      <c r="B151" s="8"/>
      <c r="C151" s="404">
        <f>SUM(C149:C150)</f>
        <v>0.13850568416069034</v>
      </c>
      <c r="D151" s="5"/>
      <c r="E151" s="404">
        <f>SUM(E149:E150)</f>
        <v>0.13850568416069034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474</v>
      </c>
      <c r="B155" s="8"/>
    </row>
    <row r="156" spans="1:5" ht="12.75">
      <c r="A156" t="s">
        <v>219</v>
      </c>
      <c r="B156" s="86" t="s">
        <v>187</v>
      </c>
      <c r="C156" s="250">
        <f>C146</f>
        <v>629569</v>
      </c>
      <c r="D156" s="250">
        <f>D146</f>
        <v>0</v>
      </c>
      <c r="E156" s="250">
        <f>E146</f>
        <v>629569</v>
      </c>
    </row>
    <row r="157" spans="1:5" ht="12.75">
      <c r="A157" t="s">
        <v>20</v>
      </c>
      <c r="B157" s="86" t="s">
        <v>187</v>
      </c>
      <c r="C157" s="494">
        <v>211392</v>
      </c>
      <c r="D157" s="250"/>
      <c r="E157" s="250">
        <f>C157+D157</f>
        <v>211392</v>
      </c>
    </row>
    <row r="158" spans="1:5" ht="12.75">
      <c r="A158" t="s">
        <v>218</v>
      </c>
      <c r="B158" s="86" t="s">
        <v>187</v>
      </c>
      <c r="C158" s="494">
        <v>32569</v>
      </c>
      <c r="D158" s="250"/>
      <c r="E158" s="250">
        <f>C158+D158</f>
        <v>32569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0">
        <f>C156+C157+C158</f>
        <v>873530</v>
      </c>
      <c r="D160" s="250">
        <f>D156+D157+D158</f>
        <v>0</v>
      </c>
      <c r="E160" s="250">
        <f>E156+E157+E158</f>
        <v>873530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0" tint="-0.4999699890613556"/>
    <pageSetUpPr fitToPage="1"/>
  </sheetPr>
  <dimension ref="A1:F63"/>
  <sheetViews>
    <sheetView zoomScalePageLayoutView="0" workbookViewId="0" topLeftCell="A6">
      <selection activeCell="C20" sqref="C2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Greater Sudbury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271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279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3"/>
      <c r="D15" s="293"/>
      <c r="E15" s="250">
        <f t="shared" si="0"/>
        <v>0</v>
      </c>
    </row>
    <row r="16" spans="1:5" ht="12.75">
      <c r="A16" s="61" t="s">
        <v>281</v>
      </c>
      <c r="B16" s="61"/>
      <c r="C16" s="293"/>
      <c r="D16" s="293"/>
      <c r="E16" s="250">
        <f t="shared" si="0"/>
        <v>0</v>
      </c>
    </row>
    <row r="17" spans="1:5" ht="12.75">
      <c r="A17" s="61" t="s">
        <v>282</v>
      </c>
      <c r="B17" s="61"/>
      <c r="C17" s="293"/>
      <c r="D17" s="293"/>
      <c r="E17" s="250">
        <f t="shared" si="0"/>
        <v>0</v>
      </c>
    </row>
    <row r="18" spans="1:5" ht="12.75">
      <c r="A18" s="61" t="s">
        <v>446</v>
      </c>
      <c r="B18" s="61"/>
      <c r="C18" s="293"/>
      <c r="D18" s="293"/>
      <c r="E18" s="250">
        <f t="shared" si="0"/>
        <v>0</v>
      </c>
    </row>
    <row r="19" spans="1:5" ht="12.75">
      <c r="A19" s="61" t="s">
        <v>446</v>
      </c>
      <c r="B19" s="61"/>
      <c r="C19" s="293">
        <v>0</v>
      </c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279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3"/>
      <c r="D27" s="293"/>
      <c r="E27" s="250">
        <f t="shared" si="1"/>
        <v>0</v>
      </c>
    </row>
    <row r="28" spans="1:5" ht="12.75">
      <c r="A28" s="61" t="s">
        <v>281</v>
      </c>
      <c r="B28" s="61"/>
      <c r="C28" s="293"/>
      <c r="D28" s="293"/>
      <c r="E28" s="250">
        <f t="shared" si="1"/>
        <v>0</v>
      </c>
    </row>
    <row r="29" spans="1:5" ht="12.75">
      <c r="A29" s="61" t="s">
        <v>282</v>
      </c>
      <c r="B29" s="61"/>
      <c r="C29" s="293"/>
      <c r="D29" s="293"/>
      <c r="E29" s="250">
        <f t="shared" si="1"/>
        <v>0</v>
      </c>
    </row>
    <row r="30" spans="1:5" ht="12.75">
      <c r="A30" s="61" t="s">
        <v>446</v>
      </c>
      <c r="B30" s="61"/>
      <c r="C30" s="293"/>
      <c r="D30" s="293"/>
      <c r="E30" s="250">
        <f t="shared" si="1"/>
        <v>0</v>
      </c>
    </row>
    <row r="31" spans="1:5" ht="12.75">
      <c r="A31" s="61" t="s">
        <v>446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3"/>
      <c r="D43" s="293"/>
      <c r="E43" s="250">
        <f t="shared" si="2"/>
        <v>0</v>
      </c>
    </row>
    <row r="44" spans="1:5" ht="12.75">
      <c r="A44" s="61" t="s">
        <v>266</v>
      </c>
      <c r="B44" s="61"/>
      <c r="C44" s="293"/>
      <c r="D44" s="293"/>
      <c r="E44" s="250">
        <f t="shared" si="2"/>
        <v>0</v>
      </c>
    </row>
    <row r="45" spans="1:5" ht="12.75">
      <c r="A45" s="61" t="s">
        <v>267</v>
      </c>
      <c r="B45" s="61"/>
      <c r="C45" s="293"/>
      <c r="D45" s="293"/>
      <c r="E45" s="250">
        <f t="shared" si="2"/>
        <v>0</v>
      </c>
    </row>
    <row r="46" spans="1:5" ht="12.75">
      <c r="A46" s="61" t="s">
        <v>268</v>
      </c>
      <c r="B46" s="61"/>
      <c r="C46" s="293"/>
      <c r="D46" s="293"/>
      <c r="E46" s="250">
        <f t="shared" si="2"/>
        <v>0</v>
      </c>
    </row>
    <row r="47" spans="1:5" ht="12.75">
      <c r="A47" s="61" t="s">
        <v>446</v>
      </c>
      <c r="B47" s="61"/>
      <c r="C47" s="293"/>
      <c r="D47" s="293"/>
      <c r="E47" s="250">
        <f t="shared" si="2"/>
        <v>0</v>
      </c>
    </row>
    <row r="48" spans="1:5" ht="12.75">
      <c r="A48" s="61" t="s">
        <v>446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500"/>
      <c r="B53" s="61"/>
      <c r="C53" s="293"/>
      <c r="D53" s="293"/>
      <c r="E53" s="250">
        <f>C53-D53</f>
        <v>0</v>
      </c>
    </row>
    <row r="54" spans="1:5" ht="12.75">
      <c r="A54" s="245" t="s">
        <v>493</v>
      </c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3"/>
      <c r="D55" s="293"/>
      <c r="E55" s="250">
        <f t="shared" si="3"/>
        <v>0</v>
      </c>
    </row>
    <row r="56" spans="1:5" ht="12.75">
      <c r="A56" s="245" t="s">
        <v>266</v>
      </c>
      <c r="B56" s="61"/>
      <c r="C56" s="293"/>
      <c r="D56" s="293"/>
      <c r="E56" s="250">
        <f t="shared" si="3"/>
        <v>0</v>
      </c>
    </row>
    <row r="57" spans="1:5" ht="12.75">
      <c r="A57" s="245" t="s">
        <v>267</v>
      </c>
      <c r="B57" s="61"/>
      <c r="C57" s="293"/>
      <c r="D57" s="293"/>
      <c r="E57" s="250">
        <f t="shared" si="3"/>
        <v>0</v>
      </c>
    </row>
    <row r="58" spans="1:5" ht="12.75">
      <c r="A58" s="245" t="s">
        <v>268</v>
      </c>
      <c r="B58" s="61"/>
      <c r="C58" s="293"/>
      <c r="D58" s="293"/>
      <c r="E58" s="250">
        <f t="shared" si="3"/>
        <v>0</v>
      </c>
    </row>
    <row r="59" spans="1:5" ht="12.75">
      <c r="A59" s="61" t="s">
        <v>446</v>
      </c>
      <c r="B59" s="61"/>
      <c r="C59" s="293"/>
      <c r="D59" s="293"/>
      <c r="E59" s="250">
        <f t="shared" si="3"/>
        <v>0</v>
      </c>
    </row>
    <row r="60" spans="1:5" ht="12.75">
      <c r="A60" s="61" t="s">
        <v>446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0" tint="-0.4999699890613556"/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98" sqref="C9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463</v>
      </c>
      <c r="B5" s="8"/>
      <c r="C5" s="8" t="s">
        <v>2</v>
      </c>
      <c r="D5" s="8"/>
      <c r="E5" s="8"/>
      <c r="F5" s="8"/>
    </row>
    <row r="6" spans="1:6" ht="12.75">
      <c r="A6" s="414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Greater Sudbury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78">
        <f>TAXREC!C13</f>
        <v>92269.83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251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447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472</v>
      </c>
      <c r="B36" t="s">
        <v>187</v>
      </c>
      <c r="C36" s="495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0">
        <f t="shared" si="0"/>
        <v>0</v>
      </c>
    </row>
    <row r="39" spans="2:5" ht="12.75">
      <c r="B39" t="s">
        <v>187</v>
      </c>
      <c r="C39" s="293"/>
      <c r="D39" s="294"/>
      <c r="E39" s="250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0">
        <f t="shared" si="0"/>
        <v>0</v>
      </c>
    </row>
    <row r="41" spans="1:5" ht="12.75">
      <c r="A41" s="501"/>
      <c r="B41" t="s">
        <v>187</v>
      </c>
      <c r="C41" s="293"/>
      <c r="D41" s="293"/>
      <c r="E41" s="250">
        <f t="shared" si="0"/>
        <v>0</v>
      </c>
    </row>
    <row r="42" spans="1:5" ht="12.75">
      <c r="A42" s="501"/>
      <c r="B42" t="s">
        <v>187</v>
      </c>
      <c r="C42" s="293"/>
      <c r="D42" s="293"/>
      <c r="E42" s="250">
        <f t="shared" si="0"/>
        <v>0</v>
      </c>
    </row>
    <row r="43" spans="1:5" ht="12.75">
      <c r="A43" s="503"/>
      <c r="B43" t="s">
        <v>187</v>
      </c>
      <c r="C43" s="293"/>
      <c r="D43" s="293"/>
      <c r="E43" s="250">
        <f t="shared" si="0"/>
        <v>0</v>
      </c>
    </row>
    <row r="44" spans="1:5" ht="12.75">
      <c r="A44" s="503"/>
      <c r="B44" t="s">
        <v>187</v>
      </c>
      <c r="C44" s="293"/>
      <c r="D44" s="293"/>
      <c r="E44" s="250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144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0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0">
        <f t="shared" si="5"/>
        <v>0</v>
      </c>
    </row>
    <row r="85" spans="1:5" ht="12.75">
      <c r="A85" s="71" t="s">
        <v>253</v>
      </c>
      <c r="B85" s="8" t="s">
        <v>188</v>
      </c>
      <c r="C85" s="293"/>
      <c r="D85" s="293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0">
        <f t="shared" si="5"/>
        <v>0</v>
      </c>
    </row>
    <row r="87" spans="1:5" ht="12.75">
      <c r="A87" s="67" t="s">
        <v>374</v>
      </c>
      <c r="B87" s="8" t="s">
        <v>188</v>
      </c>
      <c r="C87" s="491"/>
      <c r="D87" s="293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0">
        <f t="shared" si="5"/>
        <v>0</v>
      </c>
    </row>
    <row r="92" spans="2:5" ht="12.75">
      <c r="B92" s="8" t="s">
        <v>188</v>
      </c>
      <c r="C92" s="293"/>
      <c r="D92" s="293"/>
      <c r="E92" s="250"/>
    </row>
    <row r="93" spans="1:5" ht="12.75">
      <c r="A93" s="67"/>
      <c r="B93" s="8" t="s">
        <v>188</v>
      </c>
      <c r="C93" s="293"/>
      <c r="D93" s="293"/>
      <c r="E93" s="250">
        <f t="shared" si="5"/>
        <v>0</v>
      </c>
    </row>
    <row r="94" spans="1:5" ht="12.75">
      <c r="A94" s="67"/>
      <c r="B94" s="8" t="s">
        <v>188</v>
      </c>
      <c r="C94" s="293"/>
      <c r="D94" s="293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0">
        <f t="shared" si="5"/>
        <v>0</v>
      </c>
    </row>
    <row r="96" spans="1:5" ht="12.75">
      <c r="A96" s="67" t="s">
        <v>473</v>
      </c>
      <c r="B96" s="8" t="s">
        <v>188</v>
      </c>
      <c r="C96" s="293">
        <v>0</v>
      </c>
      <c r="D96" s="293"/>
      <c r="E96" s="250">
        <f t="shared" si="5"/>
        <v>0</v>
      </c>
    </row>
    <row r="97" spans="1:5" ht="12.75">
      <c r="A97" s="506" t="s">
        <v>502</v>
      </c>
      <c r="B97" s="8" t="s">
        <v>188</v>
      </c>
      <c r="C97" s="293"/>
      <c r="D97" s="293"/>
      <c r="E97" s="250">
        <f t="shared" si="5"/>
        <v>0</v>
      </c>
    </row>
    <row r="98" spans="1:5" ht="12.75">
      <c r="A98" s="503"/>
      <c r="B98" s="8" t="s">
        <v>188</v>
      </c>
      <c r="C98" s="293"/>
      <c r="D98" s="293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202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201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171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0" tint="-0.4999699890613556"/>
    <pageSetUpPr fitToPage="1"/>
  </sheetPr>
  <dimension ref="A2:F95"/>
  <sheetViews>
    <sheetView zoomScale="90" zoomScaleNormal="90" zoomScalePageLayoutView="0" workbookViewId="0" topLeftCell="A1">
      <pane xSplit="1" ySplit="8" topLeftCell="B30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41" sqref="C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382</v>
      </c>
      <c r="E3" s="92"/>
    </row>
    <row r="4" spans="1:6" ht="15.75">
      <c r="A4" s="457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9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Greater Sudbury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385</v>
      </c>
      <c r="B20" t="s">
        <v>187</v>
      </c>
      <c r="C20" s="293"/>
      <c r="D20" s="294"/>
      <c r="E20" s="312">
        <f t="shared" si="0"/>
        <v>0</v>
      </c>
    </row>
    <row r="21" spans="1:5" ht="12.75">
      <c r="A21" t="s">
        <v>451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388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389</v>
      </c>
      <c r="B23" t="s">
        <v>187</v>
      </c>
      <c r="C23" s="293"/>
      <c r="D23" s="294"/>
      <c r="E23" s="312">
        <f t="shared" si="0"/>
        <v>0</v>
      </c>
    </row>
    <row r="24" spans="1:5" ht="12.75">
      <c r="A24" s="67" t="s">
        <v>452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435</v>
      </c>
      <c r="B27" t="s">
        <v>187</v>
      </c>
      <c r="C27" s="495"/>
      <c r="D27" s="495"/>
      <c r="E27" s="312">
        <f t="shared" si="0"/>
        <v>0</v>
      </c>
    </row>
    <row r="28" spans="1:5" ht="12.75">
      <c r="A28" s="67" t="s">
        <v>387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386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430</v>
      </c>
      <c r="B32" t="s">
        <v>187</v>
      </c>
      <c r="C32" s="495"/>
      <c r="D32" s="294"/>
      <c r="E32" s="312">
        <f t="shared" si="0"/>
        <v>0</v>
      </c>
    </row>
    <row r="33" spans="1:5" ht="12.75">
      <c r="A33" s="67" t="s">
        <v>431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448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449</v>
      </c>
      <c r="C35" s="495"/>
      <c r="D35" s="294"/>
      <c r="E35" s="312">
        <f t="shared" si="0"/>
        <v>0</v>
      </c>
    </row>
    <row r="36" spans="1:5" ht="12.75">
      <c r="A36" s="67" t="s">
        <v>432</v>
      </c>
      <c r="C36" s="294"/>
      <c r="D36" s="294"/>
      <c r="E36" s="312">
        <f t="shared" si="0"/>
        <v>0</v>
      </c>
    </row>
    <row r="37" spans="1:5" ht="12.75">
      <c r="A37" s="67" t="s">
        <v>433</v>
      </c>
      <c r="C37" s="294"/>
      <c r="D37" s="294"/>
      <c r="E37" s="312">
        <f t="shared" si="0"/>
        <v>0</v>
      </c>
    </row>
    <row r="38" spans="1:5" ht="12.75">
      <c r="A38" s="81" t="s">
        <v>390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384</v>
      </c>
      <c r="B40" t="s">
        <v>187</v>
      </c>
      <c r="C40" s="495">
        <v>132845</v>
      </c>
      <c r="D40" s="294"/>
      <c r="E40" s="312">
        <f t="shared" si="0"/>
        <v>132845</v>
      </c>
    </row>
    <row r="41" spans="1:5" ht="12.75">
      <c r="A41" s="67" t="s">
        <v>455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s="501" t="s">
        <v>494</v>
      </c>
      <c r="B44" t="s">
        <v>187</v>
      </c>
      <c r="C44" s="293"/>
      <c r="D44" s="293"/>
      <c r="E44" s="250">
        <f t="shared" si="0"/>
        <v>0</v>
      </c>
    </row>
    <row r="45" spans="1:5" ht="12.75">
      <c r="A45" s="501" t="s">
        <v>495</v>
      </c>
      <c r="B45" t="s">
        <v>187</v>
      </c>
      <c r="C45" s="293"/>
      <c r="D45" s="293"/>
      <c r="E45" s="250">
        <f t="shared" si="0"/>
        <v>0</v>
      </c>
    </row>
    <row r="46" spans="1:5" ht="12.75">
      <c r="A46" s="506" t="s">
        <v>501</v>
      </c>
      <c r="C46" s="285">
        <v>2782165</v>
      </c>
      <c r="D46" s="293"/>
      <c r="E46" s="278"/>
    </row>
    <row r="47" spans="1:5" ht="12.75">
      <c r="A47" s="501" t="s">
        <v>508</v>
      </c>
      <c r="C47" s="293"/>
      <c r="D47" s="293"/>
      <c r="E47" s="278"/>
    </row>
    <row r="48" spans="1:5" ht="12.75">
      <c r="A48" s="506" t="s">
        <v>505</v>
      </c>
      <c r="C48" s="293"/>
      <c r="D48" s="293"/>
      <c r="E48" s="278"/>
    </row>
    <row r="49" spans="1:5" ht="12.75">
      <c r="A49" s="506" t="s">
        <v>497</v>
      </c>
      <c r="B49" t="s">
        <v>187</v>
      </c>
      <c r="C49" s="293"/>
      <c r="D49" s="293"/>
      <c r="E49" s="278"/>
    </row>
    <row r="50" spans="1:5" ht="12.75">
      <c r="A50" s="442" t="s">
        <v>394</v>
      </c>
      <c r="B50" t="s">
        <v>189</v>
      </c>
      <c r="C50" s="250">
        <f>SUM(C19:C49)</f>
        <v>2915010</v>
      </c>
      <c r="D50" s="250">
        <f>SUM(D19:D49)</f>
        <v>0</v>
      </c>
      <c r="E50" s="250">
        <f>SUM(E19:E49)</f>
        <v>132845</v>
      </c>
    </row>
    <row r="51" ht="12.75">
      <c r="A51" s="67"/>
    </row>
    <row r="52" ht="12.75">
      <c r="A52" s="81" t="s">
        <v>145</v>
      </c>
    </row>
    <row r="54" spans="1:5" ht="12.75">
      <c r="A54" s="71" t="s">
        <v>385</v>
      </c>
      <c r="B54" s="8" t="s">
        <v>188</v>
      </c>
      <c r="C54" s="293"/>
      <c r="D54" s="293"/>
      <c r="E54" s="250">
        <f aca="true" t="shared" si="1" ref="E54:E64">C54-D54</f>
        <v>0</v>
      </c>
    </row>
    <row r="55" spans="1:5" ht="12.75">
      <c r="A55" s="67" t="s">
        <v>451</v>
      </c>
      <c r="B55" s="8" t="s">
        <v>188</v>
      </c>
      <c r="C55" s="293"/>
      <c r="D55" s="293"/>
      <c r="E55" s="250">
        <f t="shared" si="1"/>
        <v>0</v>
      </c>
    </row>
    <row r="56" spans="1:5" ht="12.75">
      <c r="A56" t="s">
        <v>386</v>
      </c>
      <c r="B56" s="8" t="s">
        <v>188</v>
      </c>
      <c r="C56" s="293"/>
      <c r="D56" s="293"/>
      <c r="E56" s="250">
        <f t="shared" si="1"/>
        <v>0</v>
      </c>
    </row>
    <row r="57" spans="1:5" ht="12.75">
      <c r="A57" t="s">
        <v>434</v>
      </c>
      <c r="B57" s="8" t="s">
        <v>188</v>
      </c>
      <c r="C57" s="491"/>
      <c r="D57" s="293"/>
      <c r="E57" s="250">
        <f t="shared" si="1"/>
        <v>0</v>
      </c>
    </row>
    <row r="58" spans="1:5" ht="12.75">
      <c r="A58" s="67" t="s">
        <v>442</v>
      </c>
      <c r="B58" s="8" t="s">
        <v>188</v>
      </c>
      <c r="C58" s="293"/>
      <c r="D58" s="293"/>
      <c r="E58" s="250">
        <f t="shared" si="1"/>
        <v>0</v>
      </c>
    </row>
    <row r="59" spans="1:5" ht="12.75">
      <c r="A59" s="67" t="s">
        <v>454</v>
      </c>
      <c r="B59" s="8" t="s">
        <v>188</v>
      </c>
      <c r="C59" s="293"/>
      <c r="D59" s="293"/>
      <c r="E59" s="250">
        <f t="shared" si="1"/>
        <v>0</v>
      </c>
    </row>
    <row r="60" spans="1:5" ht="12.75">
      <c r="A60" s="2" t="s">
        <v>450</v>
      </c>
      <c r="B60" s="8" t="s">
        <v>188</v>
      </c>
      <c r="C60" s="491"/>
      <c r="D60" s="293"/>
      <c r="E60" s="250">
        <f t="shared" si="1"/>
        <v>0</v>
      </c>
    </row>
    <row r="61" spans="1:5" ht="12.75">
      <c r="A61" s="67" t="s">
        <v>453</v>
      </c>
      <c r="B61" s="8" t="s">
        <v>188</v>
      </c>
      <c r="C61" s="293"/>
      <c r="D61" s="293"/>
      <c r="E61" s="250">
        <f t="shared" si="1"/>
        <v>0</v>
      </c>
    </row>
    <row r="62" spans="1:5" ht="12.75">
      <c r="A62" s="67"/>
      <c r="B62" s="8" t="s">
        <v>188</v>
      </c>
      <c r="C62" s="293"/>
      <c r="D62" s="293"/>
      <c r="E62" s="250">
        <f t="shared" si="1"/>
        <v>0</v>
      </c>
    </row>
    <row r="63" spans="1:5" ht="12.75">
      <c r="A63" s="461" t="s">
        <v>391</v>
      </c>
      <c r="B63" s="8" t="s">
        <v>188</v>
      </c>
      <c r="C63" s="491"/>
      <c r="D63" s="293"/>
      <c r="E63" s="250">
        <f t="shared" si="1"/>
        <v>0</v>
      </c>
    </row>
    <row r="64" spans="2:5" ht="12.75">
      <c r="B64" s="8" t="s">
        <v>188</v>
      </c>
      <c r="C64" s="293"/>
      <c r="D64" s="293"/>
      <c r="E64" s="250">
        <f t="shared" si="1"/>
        <v>0</v>
      </c>
    </row>
    <row r="65" spans="1:5" ht="12.75">
      <c r="A65" s="461" t="s">
        <v>384</v>
      </c>
      <c r="B65" s="8" t="s">
        <v>188</v>
      </c>
      <c r="C65" s="491"/>
      <c r="D65" s="293"/>
      <c r="E65" s="250">
        <f aca="true" t="shared" si="2" ref="E65:E75">C65-D65</f>
        <v>0</v>
      </c>
    </row>
    <row r="66" spans="2:5" ht="12.75">
      <c r="B66" s="8" t="s">
        <v>188</v>
      </c>
      <c r="C66" s="293"/>
      <c r="D66" s="293"/>
      <c r="E66" s="250">
        <f t="shared" si="2"/>
        <v>0</v>
      </c>
    </row>
    <row r="67" spans="1:5" ht="12.75">
      <c r="A67" t="s">
        <v>491</v>
      </c>
      <c r="B67" s="8" t="s">
        <v>188</v>
      </c>
      <c r="C67" s="491"/>
      <c r="D67" s="293"/>
      <c r="E67" s="250">
        <f t="shared" si="2"/>
        <v>0</v>
      </c>
    </row>
    <row r="68" spans="2:5" ht="12.75">
      <c r="B68" s="8" t="s">
        <v>188</v>
      </c>
      <c r="C68" s="293"/>
      <c r="D68" s="293"/>
      <c r="E68" s="250">
        <f t="shared" si="2"/>
        <v>0</v>
      </c>
    </row>
    <row r="69" spans="2:5" ht="12.75">
      <c r="B69" s="8" t="s">
        <v>188</v>
      </c>
      <c r="C69" s="293"/>
      <c r="D69" s="293"/>
      <c r="E69" s="250">
        <f t="shared" si="2"/>
        <v>0</v>
      </c>
    </row>
    <row r="70" spans="1:5" ht="12.75">
      <c r="A70" s="67"/>
      <c r="B70" s="8" t="s">
        <v>188</v>
      </c>
      <c r="C70" s="293"/>
      <c r="D70" s="293"/>
      <c r="E70" s="250">
        <f t="shared" si="2"/>
        <v>0</v>
      </c>
    </row>
    <row r="71" spans="1:5" ht="12.75">
      <c r="A71" s="68" t="s">
        <v>205</v>
      </c>
      <c r="B71" s="8" t="s">
        <v>188</v>
      </c>
      <c r="C71" s="293"/>
      <c r="D71" s="293"/>
      <c r="E71" s="250">
        <f t="shared" si="2"/>
        <v>0</v>
      </c>
    </row>
    <row r="72" spans="1:5" ht="12.75">
      <c r="A72" s="504" t="s">
        <v>498</v>
      </c>
      <c r="B72" s="8" t="s">
        <v>188</v>
      </c>
      <c r="C72" s="293"/>
      <c r="D72" s="293"/>
      <c r="E72" s="250">
        <f t="shared" si="2"/>
        <v>0</v>
      </c>
    </row>
    <row r="73" spans="1:5" ht="12.75">
      <c r="A73" s="505" t="s">
        <v>500</v>
      </c>
      <c r="B73" s="8" t="s">
        <v>188</v>
      </c>
      <c r="C73" s="293"/>
      <c r="D73" s="293"/>
      <c r="E73" s="250">
        <f t="shared" si="2"/>
        <v>0</v>
      </c>
    </row>
    <row r="74" spans="1:5" ht="12.75">
      <c r="A74" s="506" t="s">
        <v>501</v>
      </c>
      <c r="B74" s="8" t="s">
        <v>188</v>
      </c>
      <c r="C74" s="293"/>
      <c r="D74" s="293"/>
      <c r="E74" s="250">
        <f t="shared" si="2"/>
        <v>0</v>
      </c>
    </row>
    <row r="75" spans="1:5" ht="12.75">
      <c r="A75" s="506" t="s">
        <v>504</v>
      </c>
      <c r="B75" s="8" t="s">
        <v>188</v>
      </c>
      <c r="C75" s="293"/>
      <c r="D75" s="293"/>
      <c r="E75" s="278">
        <f t="shared" si="2"/>
        <v>0</v>
      </c>
    </row>
    <row r="76" spans="1:5" ht="12.75">
      <c r="A76" s="441" t="s">
        <v>393</v>
      </c>
      <c r="B76" s="8" t="s">
        <v>189</v>
      </c>
      <c r="C76" s="250">
        <f>SUM(C54:C75)</f>
        <v>0</v>
      </c>
      <c r="D76" s="250">
        <f>SUM(D54:D75)</f>
        <v>0</v>
      </c>
      <c r="E76" s="250">
        <f>SUM(E54:E75)</f>
        <v>0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4999699890613556"/>
    <pageSetUpPr fitToPage="1"/>
  </sheetPr>
  <dimension ref="A1:R98"/>
  <sheetViews>
    <sheetView zoomScalePageLayoutView="0" workbookViewId="0" topLeftCell="A28">
      <selection activeCell="C40" sqref="C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EB-2010-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8"/>
      <c r="L2" s="189"/>
      <c r="M2" s="189"/>
      <c r="N2" s="189"/>
      <c r="O2" s="189"/>
      <c r="P2" s="189"/>
      <c r="Q2" s="34"/>
      <c r="R2" s="34"/>
    </row>
    <row r="3" spans="1:18" ht="12.75">
      <c r="A3" s="343" t="s">
        <v>305</v>
      </c>
      <c r="B3" s="342"/>
      <c r="C3" s="342"/>
      <c r="D3" s="342"/>
      <c r="E3" s="342"/>
      <c r="F3" s="344"/>
      <c r="G3" s="189"/>
      <c r="H3" s="189"/>
      <c r="I3" s="189"/>
      <c r="J3" s="189"/>
      <c r="K3" s="238"/>
      <c r="L3" s="189"/>
      <c r="M3" s="189"/>
      <c r="N3" s="189"/>
      <c r="O3" s="189"/>
      <c r="P3" s="189"/>
      <c r="Q3" s="34"/>
      <c r="R3" s="34"/>
    </row>
    <row r="4" spans="1:18" ht="12.75">
      <c r="A4" s="238" t="str">
        <f>REGINFO!A3</f>
        <v>Utility Name: Greater Sudbury Hydro Inc.</v>
      </c>
      <c r="B4" s="342"/>
      <c r="C4" s="342"/>
      <c r="D4" s="342"/>
      <c r="E4" s="342"/>
      <c r="F4" s="342"/>
      <c r="G4" s="189"/>
      <c r="H4" s="189"/>
      <c r="I4" s="189"/>
      <c r="J4" s="189"/>
      <c r="K4" s="238"/>
      <c r="L4" s="189"/>
      <c r="M4" s="189"/>
      <c r="N4" s="189"/>
      <c r="O4" s="189"/>
      <c r="P4" s="189"/>
      <c r="Q4" s="34"/>
      <c r="R4" s="34"/>
    </row>
    <row r="5" spans="1:18" ht="12.75">
      <c r="A5" s="238" t="str">
        <f>REGINFO!A4</f>
        <v>Reporting period:  2004</v>
      </c>
      <c r="B5" s="342"/>
      <c r="C5" s="342"/>
      <c r="D5" s="342"/>
      <c r="E5" s="342"/>
      <c r="F5" s="342"/>
      <c r="G5" s="189"/>
      <c r="H5" s="189"/>
      <c r="I5" s="189"/>
      <c r="J5" s="189"/>
      <c r="K5" s="238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8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9" t="s">
        <v>334</v>
      </c>
      <c r="G7" s="189"/>
      <c r="H7" s="189"/>
      <c r="I7" s="189"/>
      <c r="J7" s="189"/>
      <c r="K7" s="238"/>
      <c r="L7" s="189"/>
      <c r="M7" s="189"/>
      <c r="N7" s="189"/>
      <c r="O7" s="189"/>
      <c r="P7" s="189"/>
      <c r="Q7" s="34"/>
      <c r="R7" s="34"/>
    </row>
    <row r="8" spans="1:18" ht="13.5" thickBot="1">
      <c r="A8" s="526" t="s">
        <v>476</v>
      </c>
      <c r="B8" s="527"/>
      <c r="C8" s="527"/>
      <c r="D8" s="527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465</v>
      </c>
      <c r="B10" s="326"/>
      <c r="C10" s="375" t="s">
        <v>111</v>
      </c>
      <c r="D10" s="375"/>
      <c r="E10" s="375" t="s">
        <v>111</v>
      </c>
      <c r="F10" s="376" t="s">
        <v>477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4"/>
      <c r="C12" s="235"/>
      <c r="D12" s="235"/>
      <c r="E12" s="241"/>
      <c r="F12" s="241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298</v>
      </c>
      <c r="B13" s="408">
        <v>2002</v>
      </c>
      <c r="C13" s="236"/>
      <c r="D13" s="236"/>
      <c r="E13" s="242"/>
      <c r="F13" s="242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297</v>
      </c>
      <c r="B14" s="244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302</v>
      </c>
      <c r="B15" s="244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258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4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3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7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7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329</v>
      </c>
      <c r="B21" s="405" t="s">
        <v>469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330</v>
      </c>
      <c r="B22" s="406" t="s">
        <v>470</v>
      </c>
      <c r="C22" s="362">
        <f>10000000*REGINFO!D22</f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0" t="s">
        <v>489</v>
      </c>
      <c r="B23" s="521"/>
      <c r="C23" s="521"/>
      <c r="D23" s="521"/>
      <c r="E23" s="521"/>
      <c r="F23" s="521"/>
      <c r="G23" s="431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09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6" t="s">
        <v>485</v>
      </c>
      <c r="B26" s="527"/>
      <c r="C26" s="527"/>
      <c r="D26" s="527"/>
      <c r="E26" s="527"/>
      <c r="F26" s="52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438</v>
      </c>
      <c r="B28" s="326"/>
      <c r="C28" s="369" t="s">
        <v>111</v>
      </c>
      <c r="D28" s="369" t="s">
        <v>111</v>
      </c>
      <c r="E28" s="369" t="s">
        <v>111</v>
      </c>
      <c r="F28" s="370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4"/>
      <c r="C30" s="235"/>
      <c r="D30" s="235"/>
      <c r="E30" s="241"/>
      <c r="F30" s="241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8">
        <v>2004</v>
      </c>
      <c r="C31" s="236"/>
      <c r="D31" s="236"/>
      <c r="E31" s="242"/>
      <c r="F31" s="242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297</v>
      </c>
      <c r="B32" s="408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8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258</v>
      </c>
      <c r="B34" s="408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4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8">
        <v>2004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8">
        <v>2004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8">
        <v>2004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486</v>
      </c>
      <c r="B39" s="405" t="s">
        <v>469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487</v>
      </c>
      <c r="B40" s="406" t="s">
        <v>484</v>
      </c>
      <c r="C40" s="362">
        <f>50000000*REGINFO!D22</f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2" t="s">
        <v>332</v>
      </c>
      <c r="B41" s="521"/>
      <c r="C41" s="521"/>
      <c r="D41" s="521"/>
      <c r="E41" s="521"/>
      <c r="F41" s="521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3"/>
      <c r="B42" s="523"/>
      <c r="C42" s="523"/>
      <c r="D42" s="523"/>
      <c r="E42" s="523"/>
      <c r="F42" s="523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09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483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488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4"/>
      <c r="C48" s="235"/>
      <c r="D48" s="235"/>
      <c r="E48" s="241"/>
      <c r="F48" s="241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8">
        <v>2004</v>
      </c>
      <c r="C49" s="236"/>
      <c r="D49" s="236"/>
      <c r="E49" s="242"/>
      <c r="F49" s="242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297</v>
      </c>
      <c r="B50" s="244"/>
      <c r="C50" s="351">
        <v>0.1312</v>
      </c>
      <c r="D50" s="351">
        <v>0.2212</v>
      </c>
      <c r="E50" s="352">
        <v>0.2229</v>
      </c>
      <c r="F50" s="496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4"/>
      <c r="C51" s="353">
        <v>0.055</v>
      </c>
      <c r="D51" s="353">
        <v>0.055</v>
      </c>
      <c r="E51" s="354">
        <v>0.1377</v>
      </c>
      <c r="F51" s="497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258</v>
      </c>
      <c r="B52" s="244"/>
      <c r="C52" s="331">
        <f>SUM(C50:C51)</f>
        <v>0.1862</v>
      </c>
      <c r="D52" s="331">
        <f>SUM(D50:D51)</f>
        <v>0.2762</v>
      </c>
      <c r="E52" s="332">
        <f>SUM(E50:E51)</f>
        <v>0.3606</v>
      </c>
      <c r="F52" s="332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4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3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7"/>
      <c r="C55" s="356">
        <v>0.002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7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346</v>
      </c>
      <c r="B57" s="405" t="s">
        <v>469</v>
      </c>
      <c r="C57" s="498">
        <v>4538229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347</v>
      </c>
      <c r="B58" s="406" t="s">
        <v>484</v>
      </c>
      <c r="C58" s="499">
        <v>44109004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20" t="s">
        <v>348</v>
      </c>
      <c r="B59" s="524"/>
      <c r="C59" s="524"/>
      <c r="D59" s="524"/>
      <c r="E59" s="524"/>
      <c r="F59" s="524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5"/>
      <c r="B60" s="525"/>
      <c r="C60" s="525"/>
      <c r="D60" s="525"/>
      <c r="E60" s="525"/>
      <c r="F60" s="525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39"/>
      <c r="C66" s="239"/>
      <c r="D66" s="239"/>
      <c r="E66" s="239"/>
      <c r="F66" s="239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39"/>
      <c r="C67" s="239"/>
      <c r="D67" s="239"/>
      <c r="E67" s="239"/>
      <c r="F67" s="239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39"/>
      <c r="C68" s="239"/>
      <c r="D68" s="239"/>
      <c r="E68" s="239"/>
      <c r="F68" s="239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39"/>
      <c r="C69" s="239"/>
      <c r="D69" s="239"/>
      <c r="E69" s="239"/>
      <c r="F69" s="239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39"/>
      <c r="C70" s="239"/>
      <c r="D70" s="239"/>
      <c r="E70" s="239"/>
      <c r="F70" s="239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39"/>
      <c r="C71" s="239"/>
      <c r="D71" s="239"/>
      <c r="E71" s="239"/>
      <c r="F71" s="239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39"/>
      <c r="C72" s="239"/>
      <c r="D72" s="239"/>
      <c r="E72" s="239"/>
      <c r="F72" s="239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39"/>
      <c r="C73" s="239"/>
      <c r="D73" s="239"/>
      <c r="E73" s="239"/>
      <c r="F73" s="239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39"/>
      <c r="C74" s="239"/>
      <c r="D74" s="239"/>
      <c r="E74" s="239"/>
      <c r="F74" s="239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39"/>
      <c r="C75" s="239"/>
      <c r="D75" s="239"/>
      <c r="E75" s="239"/>
      <c r="F75" s="239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39"/>
      <c r="C76" s="239"/>
      <c r="D76" s="239"/>
      <c r="E76" s="239"/>
      <c r="F76" s="239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39"/>
      <c r="C77" s="239"/>
      <c r="D77" s="239"/>
      <c r="E77" s="239"/>
      <c r="F77" s="239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39"/>
      <c r="C78" s="239"/>
      <c r="D78" s="239"/>
      <c r="E78" s="239"/>
      <c r="F78" s="239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39"/>
      <c r="C79" s="239"/>
      <c r="D79" s="239"/>
      <c r="E79" s="239"/>
      <c r="F79" s="239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39"/>
      <c r="C80" s="239"/>
      <c r="D80" s="239"/>
      <c r="E80" s="239"/>
      <c r="F80" s="239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39"/>
      <c r="C81" s="239"/>
      <c r="D81" s="239"/>
      <c r="E81" s="239"/>
      <c r="F81" s="239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39"/>
      <c r="C82" s="239"/>
      <c r="D82" s="239"/>
      <c r="E82" s="239"/>
      <c r="F82" s="239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39"/>
      <c r="C83" s="239"/>
      <c r="D83" s="239"/>
      <c r="E83" s="239"/>
      <c r="F83" s="239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39"/>
      <c r="C84" s="239"/>
      <c r="D84" s="239"/>
      <c r="E84" s="239"/>
      <c r="F84" s="239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39"/>
      <c r="C85" s="239"/>
      <c r="D85" s="239"/>
      <c r="E85" s="239"/>
      <c r="F85" s="239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39"/>
      <c r="C86" s="239"/>
      <c r="D86" s="239"/>
      <c r="E86" s="239"/>
      <c r="F86" s="239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39"/>
      <c r="C87" s="239"/>
      <c r="D87" s="239"/>
      <c r="E87" s="239"/>
      <c r="F87" s="239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39"/>
      <c r="C88" s="239"/>
      <c r="D88" s="239"/>
      <c r="E88" s="239"/>
      <c r="F88" s="239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39"/>
      <c r="C89" s="239"/>
      <c r="D89" s="239"/>
      <c r="E89" s="239"/>
      <c r="F89" s="239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39"/>
      <c r="C90" s="239"/>
      <c r="D90" s="239"/>
      <c r="E90" s="239"/>
      <c r="F90" s="239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39"/>
      <c r="C91" s="239"/>
      <c r="D91" s="239"/>
      <c r="E91" s="239"/>
      <c r="F91" s="239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39"/>
      <c r="C92" s="239"/>
      <c r="D92" s="239"/>
      <c r="E92" s="239"/>
      <c r="F92" s="239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39"/>
      <c r="C93" s="239"/>
      <c r="D93" s="239"/>
      <c r="E93" s="239"/>
      <c r="F93" s="239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39"/>
      <c r="C94" s="239"/>
      <c r="D94" s="239"/>
      <c r="E94" s="239"/>
      <c r="F94" s="239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39"/>
      <c r="C95" s="239"/>
      <c r="D95" s="239"/>
      <c r="E95" s="239"/>
      <c r="F95" s="239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39"/>
      <c r="C96" s="239"/>
      <c r="D96" s="239"/>
      <c r="E96" s="239"/>
      <c r="F96" s="239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39"/>
      <c r="C97" s="239"/>
      <c r="D97" s="239"/>
      <c r="E97" s="239"/>
      <c r="F97" s="239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theme="0" tint="-0.4999699890613556"/>
    <pageSetUpPr fitToPage="1"/>
  </sheetPr>
  <dimension ref="A1:S108"/>
  <sheetViews>
    <sheetView zoomScalePageLayoutView="0" workbookViewId="0" topLeftCell="A7">
      <selection activeCell="Q23" sqref="Q2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Greater Sudbury Hydro Inc.</v>
      </c>
      <c r="O3" s="415" t="str">
        <f>REGINFO!E1</f>
        <v>Version 2009.1</v>
      </c>
    </row>
    <row r="4" spans="1:15" ht="12.75">
      <c r="A4" s="2" t="str">
        <f>REGINFO!A4</f>
        <v>Reporting period:  2004</v>
      </c>
      <c r="E4" s="416" t="s">
        <v>521</v>
      </c>
      <c r="F4" s="398"/>
      <c r="G4" s="398"/>
      <c r="H4" s="398"/>
      <c r="I4" s="398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8"/>
      <c r="G11" s="396">
        <f>E22</f>
        <v>0</v>
      </c>
      <c r="H11" s="418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395</v>
      </c>
      <c r="B12" s="66" t="s">
        <v>190</v>
      </c>
      <c r="C12" s="395"/>
      <c r="D12" s="391"/>
      <c r="E12" s="395">
        <v>0</v>
      </c>
      <c r="F12" s="95"/>
      <c r="G12" s="417">
        <f>C12+E12</f>
        <v>0</v>
      </c>
      <c r="H12" s="95"/>
      <c r="I12" s="417">
        <f>(E12/12*9)+(G12/12*3)</f>
        <v>0</v>
      </c>
      <c r="J12" s="391"/>
      <c r="K12" s="417">
        <f>E12/12*3</f>
        <v>0</v>
      </c>
      <c r="L12" s="391"/>
      <c r="M12" s="417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437</v>
      </c>
      <c r="B13" s="66"/>
      <c r="C13" s="417"/>
      <c r="D13" s="391"/>
      <c r="E13" s="417"/>
      <c r="F13" s="95"/>
      <c r="G13" s="417"/>
      <c r="H13" s="95"/>
      <c r="I13" s="417"/>
      <c r="J13" s="391"/>
      <c r="K13" s="395"/>
      <c r="L13" s="391"/>
      <c r="M13" s="417"/>
      <c r="N13" s="391"/>
      <c r="O13" s="396">
        <f t="shared" si="0"/>
        <v>0</v>
      </c>
    </row>
    <row r="14" spans="1:15" ht="25.5">
      <c r="A14" s="81" t="s">
        <v>396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397</v>
      </c>
      <c r="B15" s="66" t="s">
        <v>190</v>
      </c>
      <c r="C15" s="395"/>
      <c r="D15" s="391"/>
      <c r="E15" s="395">
        <v>0</v>
      </c>
      <c r="F15" s="95"/>
      <c r="G15" s="395"/>
      <c r="H15" s="95"/>
      <c r="I15" s="395">
        <v>0</v>
      </c>
      <c r="J15" s="395"/>
      <c r="K15" s="395"/>
      <c r="L15" s="395"/>
      <c r="M15" s="395">
        <v>0</v>
      </c>
      <c r="N15" s="391"/>
      <c r="O15" s="396">
        <f t="shared" si="0"/>
        <v>0</v>
      </c>
    </row>
    <row r="16" spans="1:15" ht="27" customHeight="1">
      <c r="A16" s="81" t="s">
        <v>398</v>
      </c>
      <c r="B16" s="66"/>
      <c r="C16" s="395"/>
      <c r="D16" s="391"/>
      <c r="E16" s="395"/>
      <c r="F16" s="95"/>
      <c r="G16" s="395"/>
      <c r="H16" s="95"/>
      <c r="I16" s="395"/>
      <c r="J16" s="395"/>
      <c r="K16" s="395"/>
      <c r="L16" s="395"/>
      <c r="M16" s="395"/>
      <c r="N16" s="391"/>
      <c r="O16" s="396">
        <f t="shared" si="0"/>
        <v>0</v>
      </c>
    </row>
    <row r="17" spans="1:15" ht="27.75" customHeight="1">
      <c r="A17" s="81" t="s">
        <v>399</v>
      </c>
      <c r="B17" s="66" t="s">
        <v>190</v>
      </c>
      <c r="C17" s="395"/>
      <c r="D17" s="391"/>
      <c r="E17" s="395"/>
      <c r="F17" s="95"/>
      <c r="G17" s="395"/>
      <c r="H17" s="95"/>
      <c r="I17" s="395">
        <v>0</v>
      </c>
      <c r="J17" s="395"/>
      <c r="K17" s="395"/>
      <c r="L17" s="395"/>
      <c r="M17" s="395">
        <v>0</v>
      </c>
      <c r="N17" s="391"/>
      <c r="O17" s="396">
        <f t="shared" si="0"/>
        <v>0</v>
      </c>
    </row>
    <row r="18" spans="1:15" ht="25.5">
      <c r="A18" s="81" t="s">
        <v>400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5" t="s">
        <v>401</v>
      </c>
      <c r="B19" s="66" t="s">
        <v>190</v>
      </c>
      <c r="C19" s="395"/>
      <c r="D19" s="391"/>
      <c r="E19" s="395">
        <v>0</v>
      </c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468</v>
      </c>
      <c r="B20" s="66" t="s">
        <v>188</v>
      </c>
      <c r="C20" s="417">
        <v>0</v>
      </c>
      <c r="D20" s="391"/>
      <c r="E20" s="395">
        <v>0</v>
      </c>
      <c r="F20" s="95"/>
      <c r="G20" s="395">
        <v>0</v>
      </c>
      <c r="H20" s="95"/>
      <c r="I20" s="395">
        <v>0</v>
      </c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8"/>
    </row>
    <row r="22" spans="1:15" ht="13.5" thickBot="1">
      <c r="A22" s="81" t="s">
        <v>371</v>
      </c>
      <c r="B22" s="34"/>
      <c r="C22" s="397">
        <f>SUM(C11:C20)</f>
        <v>0</v>
      </c>
      <c r="D22" s="418"/>
      <c r="E22" s="397">
        <f>SUM(E11:E20)</f>
        <v>0</v>
      </c>
      <c r="F22" s="418"/>
      <c r="G22" s="397">
        <f>SUM(G11:G20)</f>
        <v>0</v>
      </c>
      <c r="H22" s="418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0</v>
      </c>
      <c r="N22" s="390"/>
      <c r="O22" s="443">
        <f>SUM(O11:O20)</f>
        <v>0</v>
      </c>
    </row>
    <row r="23" spans="1:15" ht="13.5" thickTop="1">
      <c r="A23" s="426"/>
      <c r="B23" s="427"/>
      <c r="C23" s="433"/>
      <c r="D23" s="434"/>
      <c r="E23" s="433"/>
      <c r="F23" s="434"/>
      <c r="G23" s="433"/>
      <c r="H23" s="434"/>
      <c r="I23" s="433"/>
      <c r="J23" s="427"/>
      <c r="K23" s="433"/>
      <c r="L23" s="188"/>
      <c r="M23" s="435"/>
      <c r="N23" s="188"/>
      <c r="O23" s="435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6"/>
      <c r="B25" s="427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6" t="s">
        <v>402</v>
      </c>
      <c r="B26" s="427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6"/>
      <c r="B27" s="427"/>
      <c r="C27" s="427"/>
      <c r="D27" s="427"/>
      <c r="E27" s="427"/>
      <c r="F27" s="427"/>
      <c r="G27" s="427"/>
      <c r="H27" s="427"/>
      <c r="I27" s="427"/>
      <c r="J27" s="427"/>
      <c r="K27" s="428"/>
      <c r="L27" s="188"/>
      <c r="M27" s="188"/>
      <c r="N27" s="188"/>
      <c r="O27" s="188"/>
    </row>
    <row r="28" spans="1:15" ht="12.75">
      <c r="A28" s="426" t="s">
        <v>403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188"/>
      <c r="M28" s="188"/>
      <c r="N28" s="188"/>
      <c r="O28" s="188"/>
    </row>
    <row r="29" spans="1:15" ht="12.75">
      <c r="A29" s="429" t="s">
        <v>404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188"/>
      <c r="M29" s="188"/>
      <c r="N29" s="188"/>
      <c r="O29" s="188"/>
    </row>
    <row r="30" spans="1:15" ht="9" customHeight="1">
      <c r="A30" s="188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188"/>
      <c r="M30" s="188"/>
      <c r="N30" s="188"/>
      <c r="O30" s="188"/>
    </row>
    <row r="31" spans="1:15" ht="12.75">
      <c r="A31" s="444" t="s">
        <v>405</v>
      </c>
      <c r="B31" s="80"/>
      <c r="C31" s="80"/>
      <c r="D31" s="80"/>
      <c r="E31" s="80"/>
      <c r="F31" s="80"/>
      <c r="G31" s="80"/>
      <c r="H31" s="80"/>
      <c r="I31" s="440"/>
      <c r="J31" s="440"/>
      <c r="K31" s="517" t="s">
        <v>522</v>
      </c>
      <c r="L31" s="440"/>
      <c r="M31" s="440"/>
      <c r="N31" s="440"/>
      <c r="O31" s="440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29" t="s">
        <v>406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419"/>
      <c r="Q33" s="419"/>
      <c r="R33" s="419"/>
      <c r="S33" s="419"/>
    </row>
    <row r="34" spans="1:19" ht="12.75">
      <c r="A34" s="528" t="s">
        <v>407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419"/>
      <c r="Q34" s="419"/>
      <c r="R34" s="419"/>
      <c r="S34" s="419"/>
    </row>
    <row r="35" spans="1:19" ht="12.75">
      <c r="A35" s="528" t="s">
        <v>428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419"/>
      <c r="Q35" s="419"/>
      <c r="R35" s="419"/>
      <c r="S35" s="419"/>
    </row>
    <row r="36" spans="1:19" ht="12.75">
      <c r="A36" s="528" t="s">
        <v>408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419"/>
      <c r="Q36" s="419"/>
      <c r="R36" s="419"/>
      <c r="S36" s="419"/>
    </row>
    <row r="37" spans="1:19" ht="12.75">
      <c r="A37" s="430" t="s">
        <v>368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19"/>
      <c r="Q37" s="419"/>
      <c r="R37" s="419"/>
      <c r="S37" s="419"/>
    </row>
    <row r="38" spans="1:19" ht="12.75">
      <c r="A38" s="430" t="s">
        <v>369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19"/>
      <c r="Q38" s="419"/>
      <c r="R38" s="419"/>
      <c r="S38" s="419"/>
    </row>
    <row r="39" spans="1:19" ht="12.75">
      <c r="A39" s="430" t="s">
        <v>409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19"/>
      <c r="Q39" s="419"/>
      <c r="R39" s="419"/>
      <c r="S39" s="419"/>
    </row>
    <row r="40" spans="1:19" ht="12.75">
      <c r="A40" s="430" t="s">
        <v>410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19"/>
      <c r="Q40" s="419"/>
      <c r="R40" s="419"/>
      <c r="S40" s="419"/>
    </row>
    <row r="41" spans="2:19" ht="9" customHeight="1"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19"/>
      <c r="Q41" s="419"/>
      <c r="R41" s="419"/>
      <c r="S41" s="419"/>
    </row>
    <row r="42" spans="1:15" ht="12.75">
      <c r="A42" s="432" t="s">
        <v>411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188"/>
      <c r="M42" s="188"/>
      <c r="N42" s="188"/>
      <c r="O42" s="188"/>
    </row>
    <row r="43" spans="1:15" ht="12.75">
      <c r="A43" s="427" t="s">
        <v>412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188"/>
      <c r="M43" s="188"/>
      <c r="N43" s="188"/>
      <c r="O43" s="188"/>
    </row>
    <row r="44" spans="1:15" ht="9" customHeigh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188"/>
      <c r="M44" s="188"/>
      <c r="N44" s="188"/>
      <c r="O44" s="188"/>
    </row>
    <row r="45" spans="1:15" ht="12.75">
      <c r="A45" s="432" t="s">
        <v>413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188"/>
      <c r="M45" s="188"/>
      <c r="N45" s="188"/>
      <c r="O45" s="188"/>
    </row>
    <row r="46" spans="1:15" ht="12.75">
      <c r="A46" s="427" t="s">
        <v>414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188"/>
      <c r="M46" s="188"/>
      <c r="N46" s="188"/>
      <c r="O46" s="188"/>
    </row>
    <row r="47" spans="1:15" ht="9" customHeight="1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188"/>
      <c r="M47" s="188"/>
      <c r="N47" s="188"/>
      <c r="O47" s="188"/>
    </row>
    <row r="48" spans="1:15" ht="12.75">
      <c r="A48" s="432" t="s">
        <v>415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188"/>
      <c r="M48" s="188"/>
      <c r="N48" s="188"/>
      <c r="O48" s="188"/>
    </row>
    <row r="49" spans="1:15" ht="12.75">
      <c r="A49" s="427" t="s">
        <v>416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188"/>
      <c r="M49" s="188"/>
      <c r="N49" s="188"/>
      <c r="O49" s="188"/>
    </row>
    <row r="50" spans="1:15" ht="9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188"/>
      <c r="M50" s="188"/>
      <c r="N50" s="188"/>
      <c r="O50" s="188"/>
    </row>
    <row r="51" spans="1:15" ht="12.75">
      <c r="A51" s="432" t="s">
        <v>417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188"/>
      <c r="M51" s="188"/>
      <c r="N51" s="188"/>
      <c r="O51" s="188"/>
    </row>
    <row r="52" spans="1:15" ht="12.75">
      <c r="A52" s="427" t="s">
        <v>414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188"/>
      <c r="M52" s="188"/>
      <c r="N52" s="188"/>
      <c r="O52" s="188"/>
    </row>
    <row r="53" spans="1:15" ht="9" customHeight="1">
      <c r="A53" s="432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188"/>
      <c r="M53" s="188"/>
      <c r="N53" s="188"/>
      <c r="O53" s="188"/>
    </row>
    <row r="54" spans="1:15" ht="12.75">
      <c r="A54" s="427" t="s">
        <v>418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188"/>
      <c r="M54" s="188"/>
      <c r="N54" s="188"/>
      <c r="O54" s="188"/>
    </row>
    <row r="55" spans="1:15" ht="9" customHeight="1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188"/>
      <c r="M55" s="188"/>
      <c r="N55" s="188"/>
      <c r="O55" s="188"/>
    </row>
    <row r="56" spans="1:15" ht="12.75" customHeight="1">
      <c r="A56" s="432" t="s">
        <v>419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188"/>
      <c r="M56" s="188"/>
      <c r="N56" s="188"/>
      <c r="O56" s="188"/>
    </row>
    <row r="57" spans="1:15" ht="9" customHeigh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188"/>
      <c r="M57" s="188"/>
      <c r="N57" s="188"/>
      <c r="O57" s="188"/>
    </row>
    <row r="58" spans="1:15" ht="12.75">
      <c r="A58" s="427" t="s">
        <v>420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188"/>
      <c r="M58" s="188"/>
      <c r="N58" s="188"/>
      <c r="O58" s="188"/>
    </row>
    <row r="59" spans="1:15" ht="12.75">
      <c r="A59" s="427" t="s">
        <v>421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188"/>
      <c r="M59" s="188"/>
      <c r="N59" s="188"/>
      <c r="O59" s="188"/>
    </row>
    <row r="60" spans="1:15" ht="12.75">
      <c r="A60" s="427" t="s">
        <v>422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188"/>
      <c r="M60" s="188"/>
      <c r="N60" s="188"/>
      <c r="O60" s="188"/>
    </row>
    <row r="61" spans="1:15" ht="12.75">
      <c r="A61" s="427" t="s">
        <v>378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188"/>
      <c r="M61" s="188"/>
      <c r="N61" s="188"/>
      <c r="O61" s="188"/>
    </row>
    <row r="62" spans="1:15" ht="9" customHeight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188"/>
      <c r="M62" s="188"/>
      <c r="N62" s="188"/>
      <c r="O62" s="188"/>
    </row>
    <row r="63" spans="1:15" ht="12.75">
      <c r="A63" s="427" t="s">
        <v>423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188"/>
      <c r="M63" s="188"/>
      <c r="N63" s="188"/>
      <c r="O63" s="188"/>
    </row>
    <row r="64" spans="1:15" ht="12.75">
      <c r="A64" s="427" t="s">
        <v>424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188"/>
      <c r="M64" s="188"/>
      <c r="N64" s="188"/>
      <c r="O64" s="188"/>
    </row>
    <row r="65" spans="1:15" ht="12.75">
      <c r="A65" s="427" t="s">
        <v>380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188"/>
      <c r="M65" s="188"/>
      <c r="N65" s="188"/>
      <c r="O65" s="188"/>
    </row>
    <row r="66" spans="1:15" ht="3.75" customHeigh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188"/>
      <c r="M66" s="188"/>
      <c r="N66" s="188"/>
      <c r="O66" s="188"/>
    </row>
    <row r="67" spans="1:15" ht="12.75">
      <c r="A67" s="427" t="s">
        <v>379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188"/>
      <c r="M67" s="188"/>
      <c r="N67" s="188"/>
      <c r="O67" s="188"/>
    </row>
    <row r="68" spans="1:15" ht="12.75">
      <c r="A68" s="427" t="s">
        <v>381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188"/>
      <c r="M68" s="188"/>
      <c r="N68" s="188"/>
      <c r="O68" s="188"/>
    </row>
    <row r="69" spans="1:15" ht="3.75" customHeigh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188"/>
      <c r="M69" s="188"/>
      <c r="N69" s="188"/>
      <c r="O69" s="188"/>
    </row>
    <row r="70" spans="1:15" ht="12.75">
      <c r="A70" s="427" t="s">
        <v>425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188"/>
      <c r="M70" s="188"/>
      <c r="N70" s="188"/>
      <c r="O70" s="188"/>
    </row>
    <row r="71" spans="1:15" ht="12.75">
      <c r="A71" s="427" t="s">
        <v>426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188"/>
      <c r="M71" s="188"/>
      <c r="N71" s="188"/>
      <c r="O71" s="188"/>
    </row>
    <row r="72" spans="1:15" ht="12.75">
      <c r="A72" s="427" t="s">
        <v>427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188"/>
      <c r="M72" s="188"/>
      <c r="N72" s="188"/>
      <c r="O72" s="188"/>
    </row>
    <row r="73" spans="1:15" ht="9" customHeigh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188"/>
      <c r="M73" s="188"/>
      <c r="N73" s="188"/>
      <c r="O73" s="188"/>
    </row>
    <row r="74" spans="1:15" ht="12.75" customHeight="1">
      <c r="A74" s="528" t="s">
        <v>457</v>
      </c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</row>
    <row r="75" spans="1:15" ht="12.75">
      <c r="A75" s="427" t="s">
        <v>370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188"/>
      <c r="M75" s="188"/>
      <c r="N75" s="188"/>
      <c r="O75" s="188"/>
    </row>
    <row r="76" spans="1:15" ht="12.75">
      <c r="A76" s="188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188"/>
      <c r="M76" s="188"/>
      <c r="N76" s="188"/>
      <c r="O76" s="188"/>
    </row>
    <row r="77" spans="1:15" ht="12.75">
      <c r="A77" s="188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188"/>
      <c r="M77" s="188"/>
      <c r="N77" s="188"/>
      <c r="O77" s="188"/>
    </row>
    <row r="78" spans="1:17" ht="12.75">
      <c r="A78" s="188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188"/>
      <c r="O78" s="188"/>
      <c r="P78" s="188"/>
      <c r="Q78" s="188"/>
    </row>
    <row r="79" spans="1:17" ht="12.75">
      <c r="A79" s="188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188"/>
      <c r="O79" s="188"/>
      <c r="P79" s="188"/>
      <c r="Q79" s="188"/>
    </row>
    <row r="80" spans="1:17" ht="12.75">
      <c r="A80" s="188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188"/>
      <c r="O80" s="188"/>
      <c r="P80" s="188"/>
      <c r="Q80" s="188"/>
    </row>
    <row r="81" spans="1:17" ht="12.7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188"/>
      <c r="O81" s="188"/>
      <c r="P81" s="188"/>
      <c r="Q81" s="188"/>
    </row>
    <row r="82" spans="1:17" ht="12.75">
      <c r="A82" s="188"/>
      <c r="B82" s="188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188"/>
      <c r="O82" s="188"/>
      <c r="P82" s="188"/>
      <c r="Q82" s="188"/>
    </row>
    <row r="83" spans="1:17" ht="12.75">
      <c r="A83" s="188"/>
      <c r="B83" s="188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188"/>
      <c r="O83" s="188"/>
      <c r="P83" s="188"/>
      <c r="Q83" s="188"/>
    </row>
    <row r="84" spans="1:17" ht="12.75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188"/>
      <c r="O84" s="188"/>
      <c r="P84" s="188"/>
      <c r="Q84" s="188"/>
    </row>
    <row r="85" spans="1:17" ht="12.75">
      <c r="A85" s="188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188"/>
      <c r="O85" s="188"/>
      <c r="P85" s="188"/>
      <c r="Q85" s="188"/>
    </row>
    <row r="86" spans="1:17" ht="12.75">
      <c r="A86" s="188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188"/>
      <c r="O86" s="188"/>
      <c r="P86" s="188"/>
      <c r="Q86" s="188"/>
    </row>
    <row r="87" spans="1:17" ht="12.75">
      <c r="A87" s="188"/>
      <c r="B87" s="188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188"/>
      <c r="O87" s="188"/>
      <c r="P87" s="188"/>
      <c r="Q87" s="188"/>
    </row>
    <row r="88" spans="1:17" ht="12.75">
      <c r="A88" s="188"/>
      <c r="B88" s="188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188"/>
      <c r="O88" s="188"/>
      <c r="P88" s="188"/>
      <c r="Q88" s="188"/>
    </row>
    <row r="89" spans="1:17" ht="12.75">
      <c r="A89" s="188"/>
      <c r="B89" s="188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188"/>
      <c r="O89" s="188"/>
      <c r="P89" s="188"/>
      <c r="Q89" s="188"/>
    </row>
    <row r="90" spans="1:17" ht="12.75">
      <c r="A90" s="188"/>
      <c r="B90" s="188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188"/>
      <c r="O90" s="188"/>
      <c r="P90" s="188"/>
      <c r="Q90" s="188"/>
    </row>
    <row r="91" spans="1:17" ht="12.75">
      <c r="A91" s="188"/>
      <c r="B91" s="188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188"/>
      <c r="O91" s="188"/>
      <c r="P91" s="188"/>
      <c r="Q91" s="188"/>
    </row>
    <row r="92" spans="1:17" ht="12.75">
      <c r="A92" s="188"/>
      <c r="B92" s="188"/>
      <c r="C92" s="528"/>
      <c r="D92" s="528"/>
      <c r="E92" s="528"/>
      <c r="F92" s="528"/>
      <c r="G92" s="528"/>
      <c r="H92" s="528"/>
      <c r="I92" s="528"/>
      <c r="J92" s="528"/>
      <c r="K92" s="528"/>
      <c r="L92" s="528"/>
      <c r="M92" s="528"/>
      <c r="N92" s="528"/>
      <c r="O92" s="528"/>
      <c r="P92" s="528"/>
      <c r="Q92" s="528"/>
    </row>
    <row r="93" spans="1:17" ht="12.75">
      <c r="A93" s="188"/>
      <c r="B93" s="188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2010-09-13T15:02:08Z</cp:lastPrinted>
  <dcterms:created xsi:type="dcterms:W3CDTF">2001-11-07T16:15:53Z</dcterms:created>
  <dcterms:modified xsi:type="dcterms:W3CDTF">2012-04-24T14:54:38Z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