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32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<sst xmlns="http://schemas.openxmlformats.org/spreadsheetml/2006/main" count="874" uniqueCount="501">
  <si>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</si>
  <si>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</si>
  <si>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</si>
  <si>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</si>
  <si>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</si>
  <si>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</si>
  <si>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</si>
  <si>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</si>
  <si>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</si>
  <si>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</si>
  <si>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</si>
  <si>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</si>
  <si>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</si>
  <si>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</si>
  <si>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</si>
  <si>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</si>
  <si>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</si>
  <si>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</si>
  <si>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</si>
  <si>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</si>
  <si>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</si>
  <si>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</si>
  <si>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</si>
  <si>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</si>
  <si>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</si>
  <si>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</si>
  <si>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</si>
  <si>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</si>
  <si>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</si>
  <si>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</si>
  <si>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</si>
  <si>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</si>
  <si>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</si>
  <si>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</si>
  <si>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</si>
  <si>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</si>
  <si>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</si>
  <si>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</si>
  <si>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</si>
  <si>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</si>
  <si>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</si>
  <si>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</si>
  <si>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</si>
  <si>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</si>
  <si>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</si>
  <si>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</si>
  <si>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</si>
  <si>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</si>
  <si>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</si>
  <si>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</si>
  <si>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</si>
  <si>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</si>
  <si>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</si>
  <si>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</si>
  <si>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</si>
  <si>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</si>
  <si>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</si>
  <si>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</si>
  <si>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</si>
  <si>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</si>
  <si>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</si>
  <si>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</si>
  <si>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</si>
  <si>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</si>
  <si>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</si>
  <si>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</si>
  <si>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</si>
  <si>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</si>
  <si>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</si>
  <si>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</si>
  <si>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</si>
  <si>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</si>
  <si>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</si>
  <si>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</si>
  <si>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</si>
  <si>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</si>
  <si>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</si>
  <si>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</si>
  <si>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</si>
  <si>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</si>
  <si>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</si>
  <si>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</si>
  <si>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</si>
  <si>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</si>
  <si>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</si>
  <si>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</si>
  <si>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</si>
  <si>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</si>
  <si>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</si>
  <si>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</si>
  <si>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</si>
  <si>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</si>
  <si>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</si>
  <si>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</si>
  <si>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</si>
  <si>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</si>
  <si>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</si>
  <si>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</si>
  <si>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</si>
  <si>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</si>
  <si>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</si>
  <si>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</si>
  <si>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</si>
  <si>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</si>
  <si>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</si>
  <si>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</si>
  <si>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</si>
  <si>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</si>
  <si>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</si>
  <si>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</si>
  <si>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</si>
  <si>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</si>
  <si>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</si>
  <si>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</si>
  <si>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</si>
  <si>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</si>
  <si>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</si>
  <si>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</si>
  <si>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</si>
  <si>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</si>
  <si>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</si>
  <si>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</si>
  <si>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</si>
  <si>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</si>
  <si>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</si>
  <si>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</si>
  <si>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</si>
  <si>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</si>
  <si>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</si>
  <si>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</si>
  <si>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</si>
  <si>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</si>
  <si>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</si>
  <si>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</si>
  <si>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</si>
  <si>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</si>
  <si>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</si>
  <si>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</si>
  <si>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</si>
  <si>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</si>
  <si>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</si>
  <si>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</si>
  <si>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</si>
  <si>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</si>
  <si>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</si>
  <si>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</si>
  <si>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</si>
  <si>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</si>
  <si>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</si>
  <si>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</si>
  <si>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</si>
  <si>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</si>
  <si>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</si>
  <si>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</si>
  <si>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</si>
  <si>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</si>
  <si>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</si>
  <si>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</si>
  <si>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</si>
  <si>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</si>
  <si>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</si>
  <si>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</si>
  <si>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</si>
  <si>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</si>
  <si>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</si>
  <si>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</si>
  <si>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</si>
  <si>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</si>
  <si>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</si>
  <si>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</si>
  <si>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</si>
  <si>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</si>
  <si>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</si>
  <si>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</si>
  <si>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</si>
  <si>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</si>
  <si>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</si>
  <si>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</si>
  <si>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</si>
  <si>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</si>
  <si>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</si>
  <si>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</si>
  <si>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</si>
  <si>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</si>
  <si>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</si>
  <si>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</si>
  <si>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</si>
  <si>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</si>
  <si>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</si>
  <si>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</si>
  <si>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</si>
  <si>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</si>
  <si>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</si>
  <si>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</si>
  <si>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</si>
  <si>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</si>
  <si>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</si>
  <si>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</si>
  <si>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</si>
  <si>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</si>
  <si>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</si>
  <si>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</si>
  <si>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</si>
  <si>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</si>
  <si>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</si>
  <si>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</si>
  <si>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</si>
  <si>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</si>
  <si>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</si>
  <si>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</si>
  <si>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</si>
  <si>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</si>
  <si>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</si>
  <si>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</si>
  <si>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</si>
  <si>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</si>
  <si>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</si>
  <si>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</si>
  <si>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</si>
  <si>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</si>
  <si>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</si>
  <si>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</si>
  <si>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</si>
  <si>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</si>
  <si>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</si>
  <si>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</si>
  <si>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</si>
  <si>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</si>
  <si>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</si>
  <si>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</si>
  <si>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</si>
  <si>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</si>
  <si>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</si>
  <si>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</si>
  <si>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</si>
  <si>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</si>
  <si>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</si>
  <si>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</si>
  <si>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</si>
  <si>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</si>
  <si>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</si>
  <si>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</si>
  <si>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</si>
  <si>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</si>
  <si>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</si>
  <si>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</si>
  <si>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</si>
  <si>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</si>
  <si>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</si>
  <si>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</si>
  <si>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</si>
  <si>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</si>
  <si>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</si>
  <si>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</si>
  <si>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</si>
  <si>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</si>
  <si>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</si>
  <si>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</si>
  <si>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</si>
  <si>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</si>
  <si>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</si>
  <si>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</si>
  <si>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</si>
  <si>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</si>
  <si>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</si>
  <si>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</si>
  <si>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</si>
  <si>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</si>
  <si>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</si>
  <si>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</si>
  <si>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</si>
  <si>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</si>
  <si>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</si>
  <si>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</si>
  <si>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</si>
  <si>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</si>
  <si>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</si>
  <si>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</si>
  <si>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</si>
  <si>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</si>
  <si>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</si>
  <si>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</si>
  <si>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</si>
  <si>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</si>
  <si>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</si>
  <si>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</si>
  <si>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</si>
  <si>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</si>
  <si>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</si>
  <si>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</si>
  <si>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</si>
  <si>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</si>
  <si>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</si>
  <si>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</si>
  <si>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</si>
  <si>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</si>
  <si>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</si>
  <si>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</si>
  <si>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</si>
  <si>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</si>
  <si>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</si>
  <si>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</si>
  <si>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</si>
  <si>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</si>
  <si>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</si>
  <si>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</si>
  <si>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</si>
  <si>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</si>
  <si>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</si>
  <si>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</si>
  <si>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</si>
  <si>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</si>
  <si>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</si>
  <si>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</si>
  <si>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</si>
  <si>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</si>
  <si>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</si>
  <si>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</si>
  <si>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</si>
  <si>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</si>
  <si>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</si>
  <si>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</si>
  <si>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</si>
  <si>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</si>
  <si>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</si>
  <si>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</si>
  <si>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</si>
  <si>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</si>
  <si>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</si>
  <si>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</si>
  <si>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</si>
  <si>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</si>
  <si>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</si>
  <si>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</si>
  <si>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</si>
  <si>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</si>
  <si>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</si>
  <si>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</si>
  <si>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</si>
  <si>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</si>
  <si>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</si>
  <si>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</si>
  <si>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</si>
  <si>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</si>
  <si>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</si>
  <si>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</si>
  <si>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</si>
  <si>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</si>
  <si>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</si>
  <si>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</si>
  <si>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</si>
  <si>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</si>
  <si>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</si>
  <si>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</si>
  <si>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</si>
  <si>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</si>
  <si>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</si>
  <si>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</si>
  <si>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</si>
  <si>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</si>
  <si>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</si>
  <si>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</si>
  <si>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</si>
  <si>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</si>
  <si>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</si>
  <si>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</si>
  <si>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</si>
  <si>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</si>
  <si>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</si>
  <si>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</si>
  <si>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</si>
  <si>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</si>
  <si>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</si>
  <si>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</si>
  <si>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</si>
  <si>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</si>
  <si>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</si>
  <si>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</si>
  <si>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</si>
  <si>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</si>
  <si>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</si>
  <si>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</si>
  <si>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</si>
  <si>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</si>
  <si>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</si>
  <si>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</si>
  <si>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</si>
  <si>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</si>
  <si>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</si>
  <si>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</si>
  <si>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</si>
  <si>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</si>
  <si>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</si>
  <si>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</si>
  <si>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</si>
  <si>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</si>
  <si>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</si>
  <si>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</si>
  <si>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</si>
  <si>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</si>
  <si>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</si>
  <si>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</si>
  <si>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</si>
  <si>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</si>
  <si>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</si>
  <si>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</si>
  <si>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</si>
  <si>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</si>
  <si>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</si>
  <si>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</si>
  <si>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</si>
  <si>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</si>
  <si>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</si>
  <si>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</si>
  <si>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</si>
  <si>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</si>
  <si>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</si>
  <si>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</si>
  <si>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</si>
  <si>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</si>
  <si>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</si>
  <si>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</si>
  <si>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</si>
  <si>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</si>
  <si>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</si>
  <si>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</si>
  <si>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</si>
  <si>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</si>
  <si>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</si>
  <si>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</si>
  <si>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</si>
  <si>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</si>
  <si>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</si>
  <si>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</si>
  <si>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</si>
  <si>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</si>
  <si>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</si>
  <si>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</si>
  <si>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</si>
  <si>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</si>
  <si>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</si>
  <si>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</si>
  <si>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</si>
  <si>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</si>
  <si>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</si>
  <si>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</si>
  <si>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</si>
  <si>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</si>
  <si>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</si>
  <si>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</si>
  <si>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</si>
  <si>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</si>
  <si>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</si>
  <si>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</si>
  <si>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</si>
  <si>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</si>
  <si>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</si>
  <si>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</si>
  <si>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</si>
  <si>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</si>
  <si>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</si>
  <si>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</si>
  <si>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</si>
  <si>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</si>
  <si>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</si>
  <si>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</si>
  <si>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</si>
  <si>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</si>
  <si>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</si>
  <si>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</si>
  <si>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</si>
  <si>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</si>
  <si>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</si>
  <si>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</si>
  <si>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</si>
  <si>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</si>
  <si>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</si>
  <si>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</si>
  <si>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</si>
  <si>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</si>
  <si>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</si>
  <si>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</si>
  <si>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</si>
  <si>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</si>
  <si>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</si>
  <si>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</si>
  <si>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</si>
  <si>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</si>
  <si>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</si>
  <si>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</si>
  <si>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</si>
  <si>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</si>
  <si>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</si>
  <si>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Reassessment</t>
  </si>
  <si>
    <t>Utility Name: Innisfil Hydro Distribution Systems Limited</t>
  </si>
  <si>
    <t>Y</t>
  </si>
  <si>
    <t>N</t>
  </si>
  <si>
    <t>Contributions in Aid of Construction</t>
  </si>
  <si>
    <t>TRUE-UP VARIANCE (from cell E132)</t>
  </si>
  <si>
    <t>PILs TAXES  EB-2011-XXXX</t>
  </si>
  <si>
    <t>removed customer deposits and interest penalties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</si>
</sst>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19" fillId="41" borderId="0" xfId="0" applyFont="1" applyFill="1" applyBorder="1" applyAlignment="1">
      <alignment horizontal="left" vertical="top"/>
    </xf>
    <xf numFmtId="0" fontId="0" fillId="41" borderId="0" xfId="0" applyFill="1" applyBorder="1" applyAlignment="1">
      <alignment horizontal="left" vertical="top"/>
    </xf>
    <xf numFmtId="10" fontId="0" fillId="41" borderId="0" xfId="0" applyNumberFormat="1" applyFill="1" applyBorder="1" applyAlignment="1">
      <alignment horizontal="left" vertical="top"/>
    </xf>
    <xf numFmtId="0" fontId="0" fillId="41" borderId="0" xfId="0" applyFill="1" applyBorder="1" applyAlignment="1">
      <alignment vertical="top"/>
    </xf>
    <xf numFmtId="3" fontId="57" fillId="37" borderId="14" xfId="0" applyNumberFormat="1" applyFont="1" applyFill="1" applyBorder="1" applyAlignment="1" applyProtection="1">
      <alignment/>
      <protection/>
    </xf>
    <xf numFmtId="0" fontId="3" fillId="41" borderId="0" xfId="0" applyFont="1" applyFill="1" applyBorder="1" applyAlignment="1">
      <alignment vertical="top"/>
    </xf>
    <xf numFmtId="0" fontId="58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4">
      <selection activeCell="D67" sqref="D6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499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56" t="s">
        <v>446</v>
      </c>
      <c r="E3" s="8"/>
      <c r="F3" s="8"/>
      <c r="G3" s="8"/>
      <c r="H3" s="8"/>
    </row>
    <row r="4" spans="1:8" ht="12.75">
      <c r="A4" s="2" t="s">
        <v>478</v>
      </c>
      <c r="C4" s="8"/>
      <c r="D4" s="455" t="s">
        <v>441</v>
      </c>
      <c r="E4" s="429"/>
      <c r="H4" s="8"/>
    </row>
    <row r="5" spans="1:8" ht="12.75">
      <c r="A5" s="52"/>
      <c r="C5" s="8"/>
      <c r="D5" s="454" t="s">
        <v>442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496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389" t="s">
        <v>496</v>
      </c>
    </row>
    <row r="20" spans="1:4" ht="13.5" thickBot="1">
      <c r="A20" s="498"/>
      <c r="B20" s="8" t="s">
        <v>314</v>
      </c>
      <c r="C20" s="8" t="s">
        <v>64</v>
      </c>
      <c r="D20" s="257" t="s">
        <v>496</v>
      </c>
    </row>
    <row r="21" spans="1:4" ht="12.75">
      <c r="A21" s="497" t="s">
        <v>312</v>
      </c>
      <c r="B21" s="8" t="s">
        <v>313</v>
      </c>
      <c r="C21" s="8"/>
      <c r="D21" s="424">
        <v>1</v>
      </c>
    </row>
    <row r="22" spans="1:4" ht="12.75">
      <c r="A22" s="497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479</v>
      </c>
    </row>
    <row r="25" ht="6.75" customHeight="1" thickBot="1">
      <c r="A25" s="12"/>
    </row>
    <row r="26" spans="1:5" ht="12.75">
      <c r="A26" s="254" t="s">
        <v>67</v>
      </c>
      <c r="C26" s="8"/>
      <c r="E26" s="444" t="s">
        <v>297</v>
      </c>
    </row>
    <row r="27" spans="1:5" ht="12.75">
      <c r="A27" s="255" t="s">
        <v>68</v>
      </c>
      <c r="C27" s="8"/>
      <c r="E27" s="445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22">
        <v>20162592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1726926.0048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1152733</v>
      </c>
      <c r="E43" s="388">
        <f>D43</f>
        <v>1152733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574193.0048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191398</v>
      </c>
      <c r="E47" s="388">
        <f aca="true" t="shared" si="0" ref="E47:E53">D47</f>
        <v>191398</v>
      </c>
      <c r="H47" s="40"/>
      <c r="J47" s="5"/>
      <c r="K47" s="5"/>
    </row>
    <row r="48" spans="1:11" ht="12.75">
      <c r="A48" t="s">
        <v>290</v>
      </c>
      <c r="D48" s="427">
        <v>191398</v>
      </c>
      <c r="E48" s="388">
        <f>D48</f>
        <v>191398</v>
      </c>
      <c r="F48" s="22"/>
      <c r="H48" s="40"/>
      <c r="J48" s="5"/>
      <c r="K48" s="5"/>
    </row>
    <row r="49" spans="1:11" ht="12.75">
      <c r="A49" t="s">
        <v>291</v>
      </c>
      <c r="D49" s="428">
        <v>191398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461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3">
        <f>SUM(E43:E53)</f>
        <v>1535529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10081296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996032.0448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10081296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730893.96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568882.0636310566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649888.2224168126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649888.2224168126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2">
        <f>D62</f>
        <v>730893.96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63">
      <selection activeCell="I189" sqref="I18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 EB-2011-XXXX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463</v>
      </c>
      <c r="H1" s="209"/>
    </row>
    <row r="2" spans="1:8" ht="12.75">
      <c r="A2" s="210" t="s">
        <v>462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464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/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Innisfil Hydro Distribution Systems Limited</v>
      </c>
      <c r="B6" s="115"/>
      <c r="D6" s="137"/>
      <c r="E6" s="115"/>
      <c r="G6" s="115"/>
      <c r="H6" s="466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66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30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256</v>
      </c>
      <c r="B10" s="430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1535529</v>
      </c>
      <c r="D16" s="17"/>
      <c r="E16" s="267">
        <f>G16-C16</f>
        <v>705284</v>
      </c>
      <c r="F16" s="3"/>
      <c r="G16" s="267">
        <f>TAXREC!E50</f>
        <v>2240813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1222162</v>
      </c>
      <c r="D20" s="18"/>
      <c r="E20" s="267">
        <f>G20-C20</f>
        <v>192559</v>
      </c>
      <c r="F20" s="6"/>
      <c r="G20" s="267">
        <f>TAXREC!E61</f>
        <v>1414721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1125</v>
      </c>
      <c r="F27" s="6"/>
      <c r="G27" s="267">
        <f>TAXREC!E93</f>
        <v>1125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298386</v>
      </c>
      <c r="F28" s="6"/>
      <c r="G28" s="267">
        <f>TAXREC!E67</f>
        <v>298386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392</v>
      </c>
      <c r="F29" s="6"/>
      <c r="G29" s="267">
        <f>TAXREC!E68</f>
        <v>392</v>
      </c>
      <c r="H29" s="151"/>
    </row>
    <row r="30" spans="1:8" ht="15.75">
      <c r="A30" s="482" t="s">
        <v>394</v>
      </c>
      <c r="B30" s="127"/>
      <c r="C30" s="259"/>
      <c r="D30" s="18"/>
      <c r="E30" s="267">
        <f>G30-C30</f>
        <v>122414</v>
      </c>
      <c r="F30" s="6"/>
      <c r="G30" s="267">
        <f>TAXREC!E66</f>
        <v>122414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777095</v>
      </c>
      <c r="D33" s="132"/>
      <c r="E33" s="267">
        <f aca="true" t="shared" si="0" ref="E33:E42">G33-C33</f>
        <v>346613</v>
      </c>
      <c r="F33" s="6"/>
      <c r="G33" s="267">
        <f>TAXREC!E97+TAXREC!E98</f>
        <v>1123708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649888.2224168126</v>
      </c>
      <c r="D37" s="132"/>
      <c r="E37" s="267">
        <f t="shared" si="0"/>
        <v>335179.77758318745</v>
      </c>
      <c r="F37" s="6"/>
      <c r="G37" s="267">
        <f>TAXREC!E51</f>
        <v>985068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298386</v>
      </c>
      <c r="F46" s="6"/>
      <c r="G46" s="250">
        <f>TAXREC!E110</f>
        <v>298386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82" t="s">
        <v>394</v>
      </c>
      <c r="B48" s="127"/>
      <c r="C48" s="259"/>
      <c r="D48" s="132"/>
      <c r="E48" s="267">
        <f>G48-C48</f>
        <v>100604.829</v>
      </c>
      <c r="F48" s="6"/>
      <c r="G48" s="250">
        <f>TAXREC!E108</f>
        <v>100604.829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1330707.7775831874</v>
      </c>
      <c r="D50" s="102"/>
      <c r="E50" s="263">
        <f>E16+SUM(E20:E30)-SUM(E33:E48)</f>
        <v>239376.39341681264</v>
      </c>
      <c r="F50" s="432"/>
      <c r="G50" s="263">
        <f>G16+SUM(G20:G30)-SUM(G33:G48)</f>
        <v>1570084.171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-0.020000000000000018</v>
      </c>
      <c r="F53" s="114"/>
      <c r="G53" s="474">
        <f>TAXREC!E151</f>
        <v>0.36619999999999997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513919.343702627</v>
      </c>
      <c r="D55" s="102"/>
      <c r="E55" s="267">
        <f>G55-C55</f>
        <v>61091.656297373</v>
      </c>
      <c r="F55" s="432" t="s">
        <v>367</v>
      </c>
      <c r="G55" s="264">
        <f>TAXREC!E144</f>
        <v>575011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513919.343702627</v>
      </c>
      <c r="D60" s="133"/>
      <c r="E60" s="269">
        <f>+E55-E58</f>
        <v>61091.656297373</v>
      </c>
      <c r="F60" s="432" t="s">
        <v>367</v>
      </c>
      <c r="G60" s="269">
        <f>+G55-G58</f>
        <v>575011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20162592</v>
      </c>
      <c r="D66" s="102"/>
      <c r="E66" s="267">
        <f>G66-C66</f>
        <v>2690351</v>
      </c>
      <c r="F66" s="6"/>
      <c r="G66" s="476">
        <v>22852943</v>
      </c>
      <c r="H66" s="151"/>
      <c r="I66" s="477" t="s">
        <v>474</v>
      </c>
    </row>
    <row r="67" spans="1:9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/>
    </row>
    <row r="68" spans="1:8" ht="12.75">
      <c r="A68" s="152" t="s">
        <v>42</v>
      </c>
      <c r="B68" s="125"/>
      <c r="C68" s="264">
        <f>IF((C66-C67)&gt;0,C66-C67,0)</f>
        <v>15162592</v>
      </c>
      <c r="D68" s="102"/>
      <c r="E68" s="267">
        <f>SUM(E66:E67)</f>
        <v>2690351</v>
      </c>
      <c r="F68" s="114"/>
      <c r="G68" s="264">
        <f>G66-G67</f>
        <v>17852943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45487.776</v>
      </c>
      <c r="D72" s="101"/>
      <c r="E72" s="267">
        <f>+G72-C72</f>
        <v>8071.053000000007</v>
      </c>
      <c r="F72" s="478"/>
      <c r="G72" s="264">
        <f>IF(G68&gt;0,G68*G70,0)*REGINFO!$B$6/REGINFO!$B$7</f>
        <v>53558.829000000005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20162592</v>
      </c>
      <c r="D75" s="102"/>
      <c r="E75" s="267">
        <f>+G75-C75</f>
        <v>1748212</v>
      </c>
      <c r="F75" s="6"/>
      <c r="G75" s="476">
        <v>21910804</v>
      </c>
      <c r="H75" s="151"/>
      <c r="I75" s="477" t="s">
        <v>474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1"/>
      <c r="I76" s="477"/>
    </row>
    <row r="77" spans="1:8" ht="12.75">
      <c r="A77" s="152" t="s">
        <v>42</v>
      </c>
      <c r="B77" s="125"/>
      <c r="C77" s="264">
        <f>IF((C75-C76)&gt;0,C75-C76,0)</f>
        <v>10162592</v>
      </c>
      <c r="D77" s="19"/>
      <c r="E77" s="267">
        <f>SUM(E75:E76)</f>
        <v>1748212</v>
      </c>
      <c r="F77" s="114"/>
      <c r="G77" s="264">
        <f>G75-G76</f>
        <v>11910804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22865.832</v>
      </c>
      <c r="D81" s="102"/>
      <c r="E81" s="267">
        <f>+G81-C81</f>
        <v>3933.4769999999953</v>
      </c>
      <c r="F81" s="6"/>
      <c r="G81" s="264">
        <f>G77*G79*B9/B10</f>
        <v>26799.308999999994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14903.927108931699</v>
      </c>
      <c r="D82" s="102"/>
      <c r="E82" s="267">
        <f>+G82-C82</f>
        <v>2681.072891068301</v>
      </c>
      <c r="F82" s="6"/>
      <c r="G82" s="476">
        <v>17585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7961.9048910683</v>
      </c>
      <c r="D84" s="16"/>
      <c r="E84" s="267">
        <f>E81-E82</f>
        <v>1252.4041089316943</v>
      </c>
      <c r="F84" s="103"/>
      <c r="G84" s="264">
        <f>G81-G82</f>
        <v>9214.308999999994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368</v>
      </c>
      <c r="B90" s="127">
        <v>22</v>
      </c>
      <c r="C90" s="264">
        <f>C60/(1-C88)</f>
        <v>822270.9499242032</v>
      </c>
      <c r="D90" s="20"/>
      <c r="E90" s="139"/>
      <c r="F90" s="431" t="s">
        <v>480</v>
      </c>
      <c r="G90" s="270">
        <f>TAXREC!E156</f>
        <v>575011</v>
      </c>
      <c r="H90" s="151"/>
    </row>
    <row r="91" spans="1:8" ht="12.75">
      <c r="A91" s="158" t="s">
        <v>369</v>
      </c>
      <c r="B91" s="127">
        <v>23</v>
      </c>
      <c r="C91" s="264">
        <f>C84/(1-C88)</f>
        <v>12739.04782570928</v>
      </c>
      <c r="D91" s="20"/>
      <c r="E91" s="139"/>
      <c r="F91" s="431" t="s">
        <v>480</v>
      </c>
      <c r="G91" s="270">
        <f>TAXREC!E158</f>
        <v>9214</v>
      </c>
      <c r="H91" s="151"/>
    </row>
    <row r="92" spans="1:8" ht="12.75">
      <c r="A92" s="158" t="s">
        <v>348</v>
      </c>
      <c r="B92" s="127">
        <v>24</v>
      </c>
      <c r="C92" s="264">
        <f>C72</f>
        <v>45487.776</v>
      </c>
      <c r="D92" s="20"/>
      <c r="E92" s="139"/>
      <c r="F92" s="431" t="s">
        <v>480</v>
      </c>
      <c r="G92" s="270">
        <f>TAXREC!E157</f>
        <v>53558.829000000005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9">
        <f>SUM(C90:C93)</f>
        <v>880497.7737499125</v>
      </c>
      <c r="D95" s="6"/>
      <c r="E95" s="139"/>
      <c r="F95" s="431" t="s">
        <v>480</v>
      </c>
      <c r="G95" s="414">
        <f>SUM(G90:G94)</f>
        <v>637783.829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364</v>
      </c>
      <c r="B107" s="127">
        <v>6</v>
      </c>
      <c r="C107" s="112"/>
      <c r="D107" s="3"/>
      <c r="E107" s="250">
        <f>E28</f>
        <v>298386</v>
      </c>
      <c r="F107" s="37"/>
      <c r="G107" s="200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489</v>
      </c>
      <c r="B112" s="127">
        <v>11</v>
      </c>
      <c r="C112" s="112"/>
      <c r="D112" s="3"/>
      <c r="E112" s="473">
        <f>E206</f>
        <v>235878.04000000004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0">
        <f>E46</f>
        <v>298386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-235878.04000000004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70">
        <f>+'Tax Rates'!F52</f>
        <v>0.36619999999999997</v>
      </c>
      <c r="F122" s="490"/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-86378.53824800001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-86378.53824800001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0.355</v>
      </c>
      <c r="F130" s="491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-133920.2143379845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1330707.7775831874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0.36619999999999997</v>
      </c>
      <c r="F138" s="492" t="s">
        <v>102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487305.1881509632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487305.1881509632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513919.343702627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-26614.155551663775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20162592</v>
      </c>
      <c r="F151" s="37"/>
      <c r="G151" s="200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15162592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45487.776</v>
      </c>
      <c r="F157" s="37"/>
      <c r="G157" s="200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45487.776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491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20162592</v>
      </c>
      <c r="F162" s="37"/>
      <c r="G162" s="200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10162592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22865.832</v>
      </c>
      <c r="F168" s="37"/>
      <c r="G168" s="200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14903.927108931699</v>
      </c>
      <c r="F169" s="37"/>
      <c r="G169" s="200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7961.9048910683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7961.9048910683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491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0.355</v>
      </c>
      <c r="F175" s="490"/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-41262.25666924616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-41262.25666924616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498</v>
      </c>
      <c r="B183" s="130"/>
      <c r="C183" s="112"/>
      <c r="D183" s="119" t="s">
        <v>187</v>
      </c>
      <c r="E183" s="485">
        <f>E132</f>
        <v>-133920.2143379845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-175182.47100723066</v>
      </c>
      <c r="F185" s="491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730893.96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649888.2224168126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81005.73758318741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7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9" ht="12.75">
      <c r="A201" s="155" t="s">
        <v>252</v>
      </c>
      <c r="B201" s="127"/>
      <c r="C201" s="112"/>
      <c r="D201" s="120"/>
      <c r="E201" s="494">
        <f>G37+G42-2278-16018</f>
        <v>966772</v>
      </c>
      <c r="F201" s="495" t="s">
        <v>500</v>
      </c>
      <c r="G201" s="495"/>
      <c r="H201" s="495"/>
      <c r="I201" s="495"/>
    </row>
    <row r="202" spans="1:8" ht="12.75">
      <c r="A202" s="496" t="s">
        <v>224</v>
      </c>
      <c r="B202" s="127"/>
      <c r="C202" s="112"/>
      <c r="D202" s="120"/>
      <c r="E202" s="308">
        <f>REGINFO!D62</f>
        <v>730893.96</v>
      </c>
      <c r="F202" s="49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235878.04000000004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72">
        <f>IF((E201-E202)&gt;0,E201-E202,0)</f>
        <v>235878.04000000004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-154872.30241681263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70">
      <selection activeCell="C110" sqref="C1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/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0.0025*Ratebase*REGINFO!D33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5">
        <v>14150645</v>
      </c>
      <c r="D31" s="286"/>
      <c r="E31" s="284">
        <f>C31-D31</f>
        <v>14150645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5576102</v>
      </c>
      <c r="D32" s="286"/>
      <c r="E32" s="284">
        <f>C32-D32</f>
        <v>5576102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591037</v>
      </c>
      <c r="D33" s="286"/>
      <c r="E33" s="284">
        <f>C33-D33</f>
        <v>591037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14206027</v>
      </c>
      <c r="D39" s="286"/>
      <c r="E39" s="284">
        <f>C39-D39</f>
        <v>14206027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3870944-C43-C44</f>
        <v>2385223</v>
      </c>
      <c r="D40" s="286"/>
      <c r="E40" s="284">
        <f aca="true" t="shared" si="0" ref="E40:E48">C40-D40</f>
        <v>2385223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1414721</v>
      </c>
      <c r="D43" s="286"/>
      <c r="E43" s="284">
        <f t="shared" si="0"/>
        <v>1414721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71000</v>
      </c>
      <c r="D44" s="286"/>
      <c r="E44" s="284">
        <f t="shared" si="0"/>
        <v>71000</v>
      </c>
      <c r="F44" s="11"/>
      <c r="G44" s="11"/>
      <c r="H44" s="6"/>
      <c r="I44" s="6"/>
    </row>
    <row r="45" spans="1:11" ht="12.75">
      <c r="A45" s="416"/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2240813</v>
      </c>
      <c r="D50" s="281">
        <f>SUM(D31:D36)-SUM(D39:D49)</f>
        <v>0</v>
      </c>
      <c r="E50" s="281">
        <f>SUM(E31:E35)-SUM(E39:E48)</f>
        <v>2240813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985068</v>
      </c>
      <c r="D51" s="285"/>
      <c r="E51" s="282">
        <f>+C51-D51</f>
        <v>985068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555000</v>
      </c>
      <c r="D52" s="285"/>
      <c r="E52" s="283">
        <f>+C52-D52</f>
        <v>555000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700745</v>
      </c>
      <c r="D53" s="281">
        <f>D50-D51-D52</f>
        <v>0</v>
      </c>
      <c r="E53" s="281">
        <f>E50-E51-E52</f>
        <v>700745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555000</v>
      </c>
      <c r="D59" s="287">
        <f>D52</f>
        <v>0</v>
      </c>
      <c r="E59" s="272">
        <f>+C59-D59</f>
        <v>555000</v>
      </c>
      <c r="F59" s="8"/>
      <c r="G59" s="416"/>
    </row>
    <row r="60" spans="1:6" ht="12.75">
      <c r="A60" s="4" t="s">
        <v>327</v>
      </c>
      <c r="B60" s="8" t="s">
        <v>187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1414721</v>
      </c>
      <c r="D61" s="287">
        <f>D43</f>
        <v>0</v>
      </c>
      <c r="E61" s="272">
        <f>+C61-D61</f>
        <v>1414721</v>
      </c>
      <c r="F61" s="8"/>
      <c r="G61" s="416"/>
    </row>
    <row r="62" spans="1:6" ht="12.75">
      <c r="A62" t="s">
        <v>6</v>
      </c>
      <c r="B62" s="8" t="s">
        <v>187</v>
      </c>
      <c r="C62" s="318"/>
      <c r="D62" s="318"/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443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394</v>
      </c>
      <c r="B66" s="8"/>
      <c r="C66" s="447">
        <f>'TAXREC 3 No True-up'!C47</f>
        <v>122414</v>
      </c>
      <c r="D66" s="447">
        <f>'TAXREC 3 No True-up'!D47</f>
        <v>0</v>
      </c>
      <c r="E66" s="272">
        <f>+C66-D66</f>
        <v>122414</v>
      </c>
      <c r="F66" s="8"/>
    </row>
    <row r="67" spans="1:6" ht="12.75">
      <c r="A67" t="s">
        <v>160</v>
      </c>
      <c r="B67" s="8" t="s">
        <v>187</v>
      </c>
      <c r="C67" s="250">
        <f>'TAXREC 2'!C77</f>
        <v>298386</v>
      </c>
      <c r="D67" s="250">
        <f>'TAXREC 2'!D77</f>
        <v>0</v>
      </c>
      <c r="E67" s="272">
        <f>+C67-D67</f>
        <v>298386</v>
      </c>
      <c r="F67" s="8"/>
    </row>
    <row r="68" spans="1:11" ht="12.75">
      <c r="A68" t="s">
        <v>161</v>
      </c>
      <c r="B68" s="8" t="s">
        <v>187</v>
      </c>
      <c r="C68" s="250">
        <f>'TAXREC 2'!C78</f>
        <v>392</v>
      </c>
      <c r="D68" s="250">
        <f>'TAXREC 2'!D78</f>
        <v>0</v>
      </c>
      <c r="E68" s="272">
        <f>+C68-D68</f>
        <v>392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2390913</v>
      </c>
      <c r="D70" s="272">
        <f>SUM(D59:D68)</f>
        <v>0</v>
      </c>
      <c r="E70" s="272">
        <f>SUM(E59:E68)</f>
        <v>2390913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1125</v>
      </c>
      <c r="D74" s="294"/>
      <c r="E74" s="272">
        <f t="shared" si="1"/>
        <v>1125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1125</v>
      </c>
      <c r="D80" s="250">
        <f>SUM(D73:D79)</f>
        <v>0</v>
      </c>
      <c r="E80" s="250">
        <f>SUM(E73:E79)</f>
        <v>1125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2392038</v>
      </c>
      <c r="D82" s="250">
        <f>D70+D80</f>
        <v>0</v>
      </c>
      <c r="E82" s="250">
        <f>E70+E80</f>
        <v>2392038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431</v>
      </c>
      <c r="B93" s="273"/>
      <c r="C93" s="250">
        <f>C80-C92</f>
        <v>1125</v>
      </c>
      <c r="D93" s="250">
        <f>D80-D92</f>
        <v>0</v>
      </c>
      <c r="E93" s="250">
        <f>E80-E92</f>
        <v>1125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0">
        <f>C92+C93</f>
        <v>1125</v>
      </c>
      <c r="D94" s="250">
        <f>D92+D93</f>
        <v>0</v>
      </c>
      <c r="E94" s="250">
        <f>E92+E93</f>
        <v>1125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1084126</v>
      </c>
      <c r="D97" s="294"/>
      <c r="E97" s="272">
        <f>+C97-D97</f>
        <v>1084126</v>
      </c>
      <c r="F97" s="8"/>
      <c r="G97" s="45" t="s">
        <v>493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39582</v>
      </c>
      <c r="D98" s="294"/>
      <c r="E98" s="272">
        <f>+C98-D98</f>
        <v>39582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11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394</v>
      </c>
      <c r="B108" s="8"/>
      <c r="C108" s="253">
        <f>'TAXREC 3 No True-up'!C73</f>
        <v>100604.829</v>
      </c>
      <c r="D108" s="253">
        <f>'TAXREC 3 No True-up'!D73</f>
        <v>0</v>
      </c>
      <c r="E108" s="272">
        <f t="shared" si="5"/>
        <v>100604.829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7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298386</v>
      </c>
      <c r="D110" s="250">
        <f>'TAXREC 2'!D119</f>
        <v>0</v>
      </c>
      <c r="E110" s="272">
        <f t="shared" si="5"/>
        <v>298386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72">
        <f t="shared" si="5"/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1522698.829</v>
      </c>
      <c r="D113" s="250">
        <f>SUM(D97:D111)</f>
        <v>0</v>
      </c>
      <c r="E113" s="250">
        <f>SUM(E97:E111)</f>
        <v>1522698.829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1522698.829</v>
      </c>
      <c r="D122" s="250">
        <f>D113+D120</f>
        <v>0</v>
      </c>
      <c r="E122" s="250">
        <f>+E113+E120</f>
        <v>1522698.829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1570084.171</v>
      </c>
      <c r="D134" s="250">
        <f>D53+D82-D122</f>
        <v>0</v>
      </c>
      <c r="E134" s="250">
        <f>E53+E82-E122</f>
        <v>1570084.171</v>
      </c>
      <c r="F134" s="8"/>
      <c r="G134" s="45"/>
      <c r="H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374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J136" s="45"/>
      <c r="K136" s="45"/>
    </row>
    <row r="137" spans="1:11" ht="12.75">
      <c r="A137" s="46" t="s">
        <v>375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1570084.171</v>
      </c>
      <c r="D139" s="251">
        <f>D134-D136-D137-D138</f>
        <v>0</v>
      </c>
      <c r="E139" s="251">
        <f>E134-E136-E137-E138</f>
        <v>1570084.171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378750</v>
      </c>
      <c r="D142" s="298"/>
      <c r="E142" s="251">
        <f>C142-D142</f>
        <v>378750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196261</v>
      </c>
      <c r="D143" s="298"/>
      <c r="E143" s="292">
        <f>C143-D143</f>
        <v>196261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575011</v>
      </c>
      <c r="D144" s="251">
        <f>D142+D143</f>
        <v>0</v>
      </c>
      <c r="E144" s="251">
        <f>E142+E143</f>
        <v>575011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/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1">
        <f>C144-C145</f>
        <v>575011</v>
      </c>
      <c r="D146" s="251">
        <f>D144-D145</f>
        <v>0</v>
      </c>
      <c r="E146" s="251">
        <f>E144-E145</f>
        <v>575011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'Tax Rates'!F50</f>
        <v>0.2412</v>
      </c>
      <c r="D149" s="5"/>
      <c r="E149" s="406">
        <f>C149</f>
        <v>0.2412</v>
      </c>
      <c r="F149" s="8"/>
      <c r="G149" s="484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'Tax Rates'!F51</f>
        <v>0.125</v>
      </c>
      <c r="D150" s="488"/>
      <c r="E150" s="406">
        <f>C150</f>
        <v>0.125</v>
      </c>
      <c r="F150" s="8"/>
      <c r="G150" s="484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0.36619999999999997</v>
      </c>
      <c r="D151" s="5"/>
      <c r="E151" s="406">
        <f>SUM(E149:E150)</f>
        <v>0.36619999999999997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0">
        <f>C146</f>
        <v>575011</v>
      </c>
      <c r="D156" s="250">
        <f>D146</f>
        <v>0</v>
      </c>
      <c r="E156" s="250">
        <f>E146</f>
        <v>575011</v>
      </c>
    </row>
    <row r="157" spans="1:5" ht="12.75">
      <c r="A157" t="s">
        <v>20</v>
      </c>
      <c r="B157" s="86" t="s">
        <v>187</v>
      </c>
      <c r="C157" s="250">
        <f>TAXCALC!G72</f>
        <v>53558.829000000005</v>
      </c>
      <c r="D157" s="250"/>
      <c r="E157" s="250">
        <f>C157+D157</f>
        <v>53558.829000000005</v>
      </c>
    </row>
    <row r="158" spans="1:5" ht="12.75">
      <c r="A158" t="s">
        <v>218</v>
      </c>
      <c r="B158" s="86" t="s">
        <v>187</v>
      </c>
      <c r="C158" s="480">
        <v>9214</v>
      </c>
      <c r="D158" s="250"/>
      <c r="E158" s="250">
        <f>C158+D158</f>
        <v>9214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0">
        <f>C156+C157+C158</f>
        <v>637783.829</v>
      </c>
      <c r="D160" s="250">
        <f>D156+D157+D158</f>
        <v>0</v>
      </c>
      <c r="E160" s="250">
        <f>E156+E157+E158</f>
        <v>637783.829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/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281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0">
        <f t="shared" si="0"/>
        <v>0</v>
      </c>
    </row>
    <row r="16" spans="1:5" ht="12.75">
      <c r="A16" s="61" t="s">
        <v>283</v>
      </c>
      <c r="B16" s="61"/>
      <c r="C16" s="294"/>
      <c r="D16" s="294"/>
      <c r="E16" s="250">
        <f t="shared" si="0"/>
        <v>0</v>
      </c>
    </row>
    <row r="17" spans="1:5" ht="12.75">
      <c r="A17" s="61" t="s">
        <v>284</v>
      </c>
      <c r="B17" s="61"/>
      <c r="C17" s="294"/>
      <c r="D17" s="294"/>
      <c r="E17" s="250">
        <f t="shared" si="0"/>
        <v>0</v>
      </c>
    </row>
    <row r="18" spans="1:5" ht="12.75">
      <c r="A18" s="61" t="s">
        <v>448</v>
      </c>
      <c r="B18" s="61"/>
      <c r="C18" s="294"/>
      <c r="D18" s="294"/>
      <c r="E18" s="250">
        <f t="shared" si="0"/>
        <v>0</v>
      </c>
    </row>
    <row r="19" spans="1:5" ht="12.75">
      <c r="A19" s="61" t="s">
        <v>448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281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0">
        <f t="shared" si="1"/>
        <v>0</v>
      </c>
    </row>
    <row r="28" spans="1:5" ht="12.75">
      <c r="A28" s="61" t="s">
        <v>283</v>
      </c>
      <c r="B28" s="61"/>
      <c r="C28" s="294"/>
      <c r="D28" s="294"/>
      <c r="E28" s="250">
        <f t="shared" si="1"/>
        <v>0</v>
      </c>
    </row>
    <row r="29" spans="1:5" ht="12.75">
      <c r="A29" s="61" t="s">
        <v>284</v>
      </c>
      <c r="B29" s="61"/>
      <c r="C29" s="294"/>
      <c r="D29" s="294"/>
      <c r="E29" s="250">
        <f t="shared" si="1"/>
        <v>0</v>
      </c>
    </row>
    <row r="30" spans="1:5" ht="12.75">
      <c r="A30" s="61" t="s">
        <v>448</v>
      </c>
      <c r="B30" s="61"/>
      <c r="C30" s="294"/>
      <c r="D30" s="294"/>
      <c r="E30" s="250">
        <f t="shared" si="1"/>
        <v>0</v>
      </c>
    </row>
    <row r="31" spans="1:5" ht="12.75">
      <c r="A31" s="61" t="s">
        <v>448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0">
        <f t="shared" si="2"/>
        <v>0</v>
      </c>
    </row>
    <row r="44" spans="1:5" ht="12.75">
      <c r="A44" s="61" t="s">
        <v>268</v>
      </c>
      <c r="B44" s="61"/>
      <c r="C44" s="294"/>
      <c r="D44" s="294"/>
      <c r="E44" s="250">
        <f t="shared" si="2"/>
        <v>0</v>
      </c>
    </row>
    <row r="45" spans="1:5" ht="12.75">
      <c r="A45" s="61" t="s">
        <v>269</v>
      </c>
      <c r="B45" s="61"/>
      <c r="C45" s="294"/>
      <c r="D45" s="294"/>
      <c r="E45" s="250">
        <f t="shared" si="2"/>
        <v>0</v>
      </c>
    </row>
    <row r="46" spans="1:5" ht="12.75">
      <c r="A46" s="61" t="s">
        <v>270</v>
      </c>
      <c r="B46" s="61"/>
      <c r="C46" s="294"/>
      <c r="D46" s="294"/>
      <c r="E46" s="250">
        <f t="shared" si="2"/>
        <v>0</v>
      </c>
    </row>
    <row r="47" spans="1:5" ht="12.75">
      <c r="A47" s="61" t="s">
        <v>448</v>
      </c>
      <c r="B47" s="61"/>
      <c r="C47" s="294"/>
      <c r="D47" s="294"/>
      <c r="E47" s="250">
        <f t="shared" si="2"/>
        <v>0</v>
      </c>
    </row>
    <row r="48" spans="1:5" ht="12.75">
      <c r="A48" s="61" t="s">
        <v>448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267</v>
      </c>
      <c r="B55" s="61"/>
      <c r="C55" s="294"/>
      <c r="D55" s="294"/>
      <c r="E55" s="250">
        <f t="shared" si="3"/>
        <v>0</v>
      </c>
    </row>
    <row r="56" spans="1:5" ht="12.75">
      <c r="A56" s="245" t="s">
        <v>268</v>
      </c>
      <c r="B56" s="61"/>
      <c r="C56" s="294"/>
      <c r="D56" s="294"/>
      <c r="E56" s="250">
        <f t="shared" si="3"/>
        <v>0</v>
      </c>
    </row>
    <row r="57" spans="1:5" ht="12.75">
      <c r="A57" s="245" t="s">
        <v>269</v>
      </c>
      <c r="B57" s="61"/>
      <c r="C57" s="294"/>
      <c r="D57" s="294"/>
      <c r="E57" s="250">
        <f t="shared" si="3"/>
        <v>0</v>
      </c>
    </row>
    <row r="58" spans="1:5" ht="12.75">
      <c r="A58" s="245" t="s">
        <v>270</v>
      </c>
      <c r="B58" s="61"/>
      <c r="C58" s="294"/>
      <c r="D58" s="294"/>
      <c r="E58" s="250">
        <f t="shared" si="3"/>
        <v>0</v>
      </c>
    </row>
    <row r="59" spans="1:5" ht="12.75">
      <c r="A59" s="61" t="s">
        <v>448</v>
      </c>
      <c r="B59" s="61"/>
      <c r="C59" s="294"/>
      <c r="D59" s="294"/>
      <c r="E59" s="250">
        <f t="shared" si="3"/>
        <v>0</v>
      </c>
    </row>
    <row r="60" spans="1:5" ht="12.75">
      <c r="A60" s="61" t="s">
        <v>448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8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E92" sqref="E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465</v>
      </c>
      <c r="B5" s="8"/>
      <c r="C5" s="8" t="s">
        <v>2</v>
      </c>
      <c r="D5" s="8"/>
      <c r="E5" s="8"/>
      <c r="F5" s="8"/>
    </row>
    <row r="6" spans="1:6" ht="12.75">
      <c r="A6" s="416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449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>
        <v>392</v>
      </c>
      <c r="D21" s="295"/>
      <c r="E21" s="313">
        <f t="shared" si="0"/>
        <v>392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489" t="s">
        <v>497</v>
      </c>
      <c r="B37" t="s">
        <v>187</v>
      </c>
      <c r="C37" s="295">
        <v>298386</v>
      </c>
      <c r="D37" s="295"/>
      <c r="E37" s="313">
        <f t="shared" si="0"/>
        <v>298386</v>
      </c>
    </row>
    <row r="38" spans="2:5" ht="12.75">
      <c r="B38" t="s">
        <v>187</v>
      </c>
      <c r="C38" s="295"/>
      <c r="D38" s="295"/>
      <c r="E38" s="250">
        <f t="shared" si="0"/>
        <v>0</v>
      </c>
    </row>
    <row r="39" spans="2:5" ht="12.75">
      <c r="B39" t="s">
        <v>187</v>
      </c>
      <c r="C39" s="294"/>
      <c r="D39" s="295"/>
      <c r="E39" s="250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0">
        <f t="shared" si="0"/>
        <v>0</v>
      </c>
    </row>
    <row r="41" spans="1:5" ht="12.75">
      <c r="A41" s="67"/>
      <c r="B41" t="s">
        <v>187</v>
      </c>
      <c r="C41" s="294"/>
      <c r="D41" s="294"/>
      <c r="E41" s="250">
        <f t="shared" si="0"/>
        <v>0</v>
      </c>
    </row>
    <row r="42" spans="1:5" ht="12.75">
      <c r="A42" s="67"/>
      <c r="B42" t="s">
        <v>187</v>
      </c>
      <c r="C42" s="294"/>
      <c r="D42" s="294"/>
      <c r="E42" s="250">
        <f t="shared" si="0"/>
        <v>0</v>
      </c>
    </row>
    <row r="43" spans="1:5" ht="12.75">
      <c r="A43" s="67"/>
      <c r="B43" t="s">
        <v>187</v>
      </c>
      <c r="C43" s="294"/>
      <c r="D43" s="294"/>
      <c r="E43" s="250">
        <f t="shared" si="0"/>
        <v>0</v>
      </c>
    </row>
    <row r="44" spans="1:5" ht="12.75">
      <c r="A44" s="67"/>
      <c r="B44" t="s">
        <v>187</v>
      </c>
      <c r="C44" s="294"/>
      <c r="D44" s="294"/>
      <c r="E44" s="250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0">
        <f>SUM(C17:C45)</f>
        <v>298778</v>
      </c>
      <c r="D46" s="250">
        <f>SUM(D17:D45)</f>
        <v>0</v>
      </c>
      <c r="E46" s="250">
        <f>SUM(E17:E45)</f>
        <v>298778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Contributions in Aid of Construction</v>
      </c>
      <c r="B68" s="273"/>
      <c r="C68" s="250">
        <f t="shared" si="3"/>
        <v>298386</v>
      </c>
      <c r="D68" s="250">
        <f t="shared" si="3"/>
        <v>0</v>
      </c>
      <c r="E68" s="250">
        <f t="shared" si="3"/>
        <v>298386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144</v>
      </c>
      <c r="B77" s="273"/>
      <c r="C77" s="250">
        <f>SUM(C49:C75)</f>
        <v>298386</v>
      </c>
      <c r="D77" s="250">
        <f>SUM(D49:D75)</f>
        <v>0</v>
      </c>
      <c r="E77" s="250">
        <f>SUM(E49:E75)</f>
        <v>298386</v>
      </c>
    </row>
    <row r="78" spans="1:5" ht="12.75">
      <c r="A78" s="276" t="s">
        <v>203</v>
      </c>
      <c r="B78" s="277"/>
      <c r="C78" s="315">
        <f>C46-C77</f>
        <v>392</v>
      </c>
      <c r="D78" s="315">
        <f>D46-D77</f>
        <v>0</v>
      </c>
      <c r="E78" s="315">
        <f>E46-E77</f>
        <v>392</v>
      </c>
    </row>
    <row r="79" spans="1:5" ht="12.75">
      <c r="A79" s="276" t="s">
        <v>170</v>
      </c>
      <c r="B79" s="277"/>
      <c r="C79" s="315">
        <f>C77+C78</f>
        <v>298778</v>
      </c>
      <c r="D79" s="315">
        <f>D77+D78</f>
        <v>0</v>
      </c>
      <c r="E79" s="315">
        <f>E77+E78</f>
        <v>298778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0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0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0">
        <f t="shared" si="5"/>
        <v>0</v>
      </c>
    </row>
    <row r="87" spans="1:5" ht="12.75">
      <c r="A87" s="67" t="s">
        <v>376</v>
      </c>
      <c r="B87" s="8" t="s">
        <v>188</v>
      </c>
      <c r="C87" s="294"/>
      <c r="D87" s="294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0">
        <f t="shared" si="5"/>
        <v>0</v>
      </c>
    </row>
    <row r="92" spans="1:5" ht="12.75">
      <c r="A92" s="489" t="s">
        <v>497</v>
      </c>
      <c r="B92" s="8" t="s">
        <v>188</v>
      </c>
      <c r="C92" s="294">
        <v>298386</v>
      </c>
      <c r="D92" s="294"/>
      <c r="E92" s="250">
        <f t="shared" si="5"/>
        <v>298386</v>
      </c>
    </row>
    <row r="93" spans="1:5" ht="12.75">
      <c r="A93" s="67"/>
      <c r="B93" s="8" t="s">
        <v>188</v>
      </c>
      <c r="C93" s="294"/>
      <c r="D93" s="294"/>
      <c r="E93" s="250">
        <f t="shared" si="5"/>
        <v>0</v>
      </c>
    </row>
    <row r="94" spans="1:5" ht="12.75">
      <c r="A94" s="67"/>
      <c r="B94" s="8" t="s">
        <v>188</v>
      </c>
      <c r="C94" s="294"/>
      <c r="D94" s="294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0">
        <f t="shared" si="5"/>
        <v>0</v>
      </c>
    </row>
    <row r="96" spans="1:5" ht="12.75">
      <c r="A96" s="67" t="s">
        <v>476</v>
      </c>
      <c r="B96" s="8" t="s">
        <v>188</v>
      </c>
      <c r="C96" s="294"/>
      <c r="D96" s="294"/>
      <c r="E96" s="250">
        <f t="shared" si="5"/>
        <v>0</v>
      </c>
    </row>
    <row r="97" spans="1:5" ht="12.75">
      <c r="A97" s="67"/>
      <c r="B97" s="8" t="s">
        <v>188</v>
      </c>
      <c r="C97" s="294"/>
      <c r="D97" s="294"/>
      <c r="E97" s="250">
        <f t="shared" si="5"/>
        <v>0</v>
      </c>
    </row>
    <row r="98" spans="1:5" ht="12.75">
      <c r="A98" s="67"/>
      <c r="B98" s="8" t="s">
        <v>188</v>
      </c>
      <c r="C98" s="294"/>
      <c r="D98" s="294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298386</v>
      </c>
      <c r="D99" s="250">
        <f>SUM(D82:D98)</f>
        <v>0</v>
      </c>
      <c r="E99" s="250">
        <f>SUM(E82:E98)</f>
        <v>298386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5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 t="shared" si="6"/>
        <v>Contributions in Aid of Construction</v>
      </c>
      <c r="B112" s="273"/>
      <c r="C112" s="250">
        <f t="shared" si="7"/>
        <v>298386</v>
      </c>
      <c r="D112" s="250">
        <f t="shared" si="7"/>
        <v>0</v>
      </c>
      <c r="E112" s="250">
        <f t="shared" si="7"/>
        <v>298386</v>
      </c>
    </row>
    <row r="113" spans="1:5" ht="12.75">
      <c r="A113" s="275" t="str">
        <f t="shared" si="6"/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 t="shared" si="6"/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 t="shared" si="6"/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202</v>
      </c>
      <c r="B119" s="273"/>
      <c r="C119" s="250">
        <f>SUM(C102:C118)</f>
        <v>298386</v>
      </c>
      <c r="D119" s="250">
        <f>SUM(D102:D118)</f>
        <v>0</v>
      </c>
      <c r="E119" s="250">
        <f>SUM(E102:E118)</f>
        <v>298386</v>
      </c>
    </row>
    <row r="120" spans="1:5" ht="12.75">
      <c r="A120" s="278" t="s">
        <v>201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171</v>
      </c>
      <c r="B121" s="273"/>
      <c r="C121" s="250">
        <f>C119+C120</f>
        <v>298386</v>
      </c>
      <c r="D121" s="250">
        <f>D119+D120</f>
        <v>0</v>
      </c>
      <c r="E121" s="250">
        <f>E119+E120</f>
        <v>298386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3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4" sqref="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 EB-2011-XXXX</v>
      </c>
    </row>
    <row r="3" spans="1:5" ht="12.75">
      <c r="A3" s="2" t="s">
        <v>384</v>
      </c>
      <c r="E3" s="92"/>
    </row>
    <row r="4" spans="1:6" ht="15.75">
      <c r="A4" s="465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/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453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390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454</v>
      </c>
      <c r="B24" t="s">
        <v>187</v>
      </c>
      <c r="C24" s="295">
        <v>8057</v>
      </c>
      <c r="D24" s="295"/>
      <c r="E24" s="313">
        <f t="shared" si="0"/>
        <v>8057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389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388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432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433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450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451</v>
      </c>
      <c r="C35" s="295"/>
      <c r="D35" s="295"/>
      <c r="E35" s="313">
        <f t="shared" si="0"/>
        <v>0</v>
      </c>
    </row>
    <row r="36" spans="1:5" ht="12.75">
      <c r="A36" s="67" t="s">
        <v>434</v>
      </c>
      <c r="C36" s="295"/>
      <c r="D36" s="295"/>
      <c r="E36" s="313">
        <f t="shared" si="0"/>
        <v>0</v>
      </c>
    </row>
    <row r="37" spans="1:5" ht="12.75">
      <c r="A37" s="67" t="s">
        <v>435</v>
      </c>
      <c r="C37" s="295"/>
      <c r="D37" s="295"/>
      <c r="E37" s="313">
        <f t="shared" si="0"/>
        <v>0</v>
      </c>
    </row>
    <row r="38" spans="1:5" ht="12.75">
      <c r="A38" s="67" t="s">
        <v>457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392</v>
      </c>
      <c r="B40" t="s">
        <v>187</v>
      </c>
      <c r="C40" s="295">
        <v>71000</v>
      </c>
      <c r="D40" s="295"/>
      <c r="E40" s="313">
        <f t="shared" si="0"/>
        <v>71000</v>
      </c>
    </row>
    <row r="41" spans="1:5" ht="12.75">
      <c r="A41" s="81" t="s">
        <v>386</v>
      </c>
      <c r="B41" t="s">
        <v>187</v>
      </c>
      <c r="C41" s="295">
        <v>43357</v>
      </c>
      <c r="D41" s="295"/>
      <c r="E41" s="313">
        <f t="shared" si="0"/>
        <v>43357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492</v>
      </c>
      <c r="B44" t="s">
        <v>187</v>
      </c>
      <c r="C44" s="294"/>
      <c r="D44" s="294"/>
      <c r="E44" s="250">
        <f t="shared" si="0"/>
        <v>0</v>
      </c>
    </row>
    <row r="45" spans="2:5" ht="12.75">
      <c r="B45" t="s">
        <v>187</v>
      </c>
      <c r="C45" s="294"/>
      <c r="D45" s="294"/>
      <c r="E45" s="250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396</v>
      </c>
      <c r="B47" t="s">
        <v>189</v>
      </c>
      <c r="C47" s="250">
        <f>SUM(C19:C46)</f>
        <v>122414</v>
      </c>
      <c r="D47" s="250">
        <f>SUM(D19:D46)</f>
        <v>0</v>
      </c>
      <c r="E47" s="250">
        <f>SUM(E19:E46)</f>
        <v>122414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4"/>
      <c r="D52" s="294"/>
      <c r="E52" s="250">
        <f t="shared" si="1"/>
        <v>0</v>
      </c>
    </row>
    <row r="53" spans="1:5" ht="12.75">
      <c r="A53" t="s">
        <v>388</v>
      </c>
      <c r="B53" s="8" t="s">
        <v>188</v>
      </c>
      <c r="C53" s="294"/>
      <c r="D53" s="294"/>
      <c r="E53" s="250">
        <f t="shared" si="1"/>
        <v>0</v>
      </c>
    </row>
    <row r="54" spans="1:5" ht="12.75">
      <c r="A54" t="s">
        <v>436</v>
      </c>
      <c r="B54" s="8" t="s">
        <v>188</v>
      </c>
      <c r="C54" s="294">
        <v>3689</v>
      </c>
      <c r="D54" s="294"/>
      <c r="E54" s="250">
        <f t="shared" si="1"/>
        <v>3689</v>
      </c>
    </row>
    <row r="55" spans="1:5" ht="12.75">
      <c r="A55" s="67" t="s">
        <v>444</v>
      </c>
      <c r="B55" s="8" t="s">
        <v>188</v>
      </c>
      <c r="C55" s="294"/>
      <c r="D55" s="294"/>
      <c r="E55" s="250">
        <f t="shared" si="1"/>
        <v>0</v>
      </c>
    </row>
    <row r="56" spans="1:5" ht="12.75">
      <c r="A56" s="67" t="s">
        <v>456</v>
      </c>
      <c r="B56" s="8" t="s">
        <v>188</v>
      </c>
      <c r="C56" s="294"/>
      <c r="D56" s="294"/>
      <c r="E56" s="250">
        <f t="shared" si="1"/>
        <v>0</v>
      </c>
    </row>
    <row r="57" spans="1:5" ht="12.75">
      <c r="A57" s="2" t="s">
        <v>452</v>
      </c>
      <c r="B57" s="8" t="s">
        <v>188</v>
      </c>
      <c r="C57" s="294"/>
      <c r="D57" s="294"/>
      <c r="E57" s="250">
        <f t="shared" si="1"/>
        <v>0</v>
      </c>
    </row>
    <row r="58" spans="1:5" ht="12.75">
      <c r="A58" s="67" t="s">
        <v>455</v>
      </c>
      <c r="B58" s="8" t="s">
        <v>188</v>
      </c>
      <c r="C58" s="294"/>
      <c r="D58" s="294"/>
      <c r="E58" s="250">
        <f t="shared" si="1"/>
        <v>0</v>
      </c>
    </row>
    <row r="59" spans="1:5" ht="12.75">
      <c r="A59" s="67"/>
      <c r="B59" s="8" t="s">
        <v>188</v>
      </c>
      <c r="C59" s="294"/>
      <c r="D59" s="294"/>
      <c r="E59" s="250">
        <f t="shared" si="1"/>
        <v>0</v>
      </c>
    </row>
    <row r="60" spans="2:5" ht="12.75">
      <c r="B60" s="8" t="s">
        <v>188</v>
      </c>
      <c r="C60" s="294"/>
      <c r="D60" s="294"/>
      <c r="E60" s="250">
        <f t="shared" si="1"/>
        <v>0</v>
      </c>
    </row>
    <row r="61" spans="2:5" ht="12.75">
      <c r="B61" s="8" t="s">
        <v>188</v>
      </c>
      <c r="C61" s="294"/>
      <c r="D61" s="294"/>
      <c r="E61" s="250">
        <f t="shared" si="1"/>
        <v>0</v>
      </c>
    </row>
    <row r="62" spans="2:5" ht="12.75">
      <c r="B62" s="8" t="s">
        <v>188</v>
      </c>
      <c r="C62" s="294"/>
      <c r="D62" s="294"/>
      <c r="E62" s="250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0">
        <f t="shared" si="2"/>
        <v>0</v>
      </c>
    </row>
    <row r="64" spans="1:5" ht="12.75">
      <c r="A64" s="469" t="s">
        <v>393</v>
      </c>
      <c r="B64" s="8" t="s">
        <v>188</v>
      </c>
      <c r="C64" s="294">
        <f>TAXCALC!G72</f>
        <v>53558.829000000005</v>
      </c>
      <c r="D64" s="294"/>
      <c r="E64" s="250">
        <f t="shared" si="2"/>
        <v>53558.829000000005</v>
      </c>
    </row>
    <row r="65" spans="2:5" ht="12.75">
      <c r="B65" s="8" t="s">
        <v>188</v>
      </c>
      <c r="C65" s="294"/>
      <c r="D65" s="294"/>
      <c r="E65" s="250">
        <f t="shared" si="2"/>
        <v>0</v>
      </c>
    </row>
    <row r="66" spans="1:5" ht="12.75">
      <c r="A66" s="469" t="s">
        <v>386</v>
      </c>
      <c r="B66" s="8" t="s">
        <v>188</v>
      </c>
      <c r="C66" s="294">
        <v>43357</v>
      </c>
      <c r="D66" s="294"/>
      <c r="E66" s="250">
        <f t="shared" si="2"/>
        <v>43357</v>
      </c>
    </row>
    <row r="67" spans="1:5" ht="12.75">
      <c r="A67" s="67"/>
      <c r="B67" s="8" t="s">
        <v>188</v>
      </c>
      <c r="C67" s="294"/>
      <c r="D67" s="294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0">
        <f t="shared" si="2"/>
        <v>0</v>
      </c>
    </row>
    <row r="69" spans="1:5" ht="12.75">
      <c r="A69" s="67"/>
      <c r="B69" s="8" t="s">
        <v>188</v>
      </c>
      <c r="C69" s="294"/>
      <c r="D69" s="294"/>
      <c r="E69" s="250">
        <f t="shared" si="2"/>
        <v>0</v>
      </c>
    </row>
    <row r="70" spans="1:5" ht="12.75">
      <c r="A70" s="67"/>
      <c r="B70" s="8" t="s">
        <v>188</v>
      </c>
      <c r="C70" s="294"/>
      <c r="D70" s="294"/>
      <c r="E70" s="250">
        <f t="shared" si="2"/>
        <v>0</v>
      </c>
    </row>
    <row r="71" spans="1:5" ht="12.75">
      <c r="A71" s="67"/>
      <c r="B71" s="8" t="s">
        <v>188</v>
      </c>
      <c r="C71" s="294"/>
      <c r="D71" s="294"/>
      <c r="E71" s="250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395</v>
      </c>
      <c r="B73" s="8" t="s">
        <v>189</v>
      </c>
      <c r="C73" s="250">
        <f>SUM(C51:C72)</f>
        <v>100604.829</v>
      </c>
      <c r="D73" s="250">
        <f>SUM(D51:D72)</f>
        <v>0</v>
      </c>
      <c r="E73" s="250">
        <f>SUM(E51:E72)</f>
        <v>100604.829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4">
      <selection activeCell="H50" sqref="H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 EB-2011-XXXX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2.75">
      <c r="A4" s="238" t="str">
        <f>REGINFO!A3</f>
        <v>Utility Name: Innisfil Hydro Distribution Systems Limited</v>
      </c>
      <c r="B4" s="343"/>
      <c r="C4" s="343"/>
      <c r="D4" s="343"/>
      <c r="E4" s="343"/>
      <c r="F4" s="343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2.75">
      <c r="A5" s="238" t="str">
        <f>REGINFO!A4</f>
        <v>Reporting period:  2003</v>
      </c>
      <c r="B5" s="343"/>
      <c r="C5" s="343"/>
      <c r="D5" s="343"/>
      <c r="E5" s="343"/>
      <c r="F5" s="343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483</v>
      </c>
      <c r="B8" s="506"/>
      <c r="C8" s="506"/>
      <c r="D8" s="50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467</v>
      </c>
      <c r="B10" s="327"/>
      <c r="C10" s="376" t="s">
        <v>111</v>
      </c>
      <c r="D10" s="376"/>
      <c r="E10" s="376" t="s">
        <v>111</v>
      </c>
      <c r="F10" s="377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4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4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4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3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7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7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472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473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491</v>
      </c>
      <c r="B23" s="500"/>
      <c r="C23" s="500"/>
      <c r="D23" s="500"/>
      <c r="E23" s="500"/>
      <c r="F23" s="500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484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/>
      <c r="E28" s="370" t="s">
        <v>111</v>
      </c>
      <c r="F28" s="371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2003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2003</v>
      </c>
      <c r="C32" s="328">
        <v>0.1312</v>
      </c>
      <c r="D32" s="328"/>
      <c r="E32" s="329">
        <v>0.2612</v>
      </c>
      <c r="F32" s="329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4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485</v>
      </c>
      <c r="B39" s="407" t="s">
        <v>472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486</v>
      </c>
      <c r="B40" s="408" t="s">
        <v>473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335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487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2003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4"/>
      <c r="C50" s="352">
        <v>0.1312</v>
      </c>
      <c r="D50" s="352"/>
      <c r="E50" s="353">
        <v>0.2612</v>
      </c>
      <c r="F50" s="353">
        <v>0.2412</v>
      </c>
      <c r="G50" s="194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0.06</v>
      </c>
      <c r="F51" s="355">
        <v>0.125</v>
      </c>
      <c r="G51" s="194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4"/>
      <c r="C52" s="332">
        <f>SUM(C50:C51)</f>
        <v>0.1912</v>
      </c>
      <c r="D52" s="332"/>
      <c r="E52" s="333">
        <f>SUM(E50:E51)</f>
        <v>0.3212</v>
      </c>
      <c r="F52" s="333">
        <f>SUM(F50:F51)</f>
        <v>0.36619999999999997</v>
      </c>
      <c r="G52" s="194"/>
      <c r="L52" s="189"/>
      <c r="M52" s="189"/>
      <c r="N52" s="189"/>
      <c r="O52" s="189"/>
      <c r="P52" s="189"/>
    </row>
    <row r="53" spans="1:16" ht="13.5" thickBot="1">
      <c r="A53" s="324"/>
      <c r="B53" s="244"/>
      <c r="C53" s="352"/>
      <c r="D53" s="352"/>
      <c r="E53" s="353"/>
      <c r="F53" s="353"/>
      <c r="G53" s="194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3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7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7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472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473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351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B1">
      <selection activeCell="O15" sqref="O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Innisfil Hydro Distribution Systems Limited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397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439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398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-133920.2143379845</v>
      </c>
      <c r="N15" s="392"/>
      <c r="O15" s="397">
        <f t="shared" si="0"/>
        <v>-133920.2143379845</v>
      </c>
    </row>
    <row r="16" spans="1:15" ht="27" customHeight="1">
      <c r="A16" s="81" t="s">
        <v>400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-41262.25666924616</v>
      </c>
      <c r="N17" s="392"/>
      <c r="O17" s="397">
        <f t="shared" si="0"/>
        <v>-41262.25666924616</v>
      </c>
    </row>
    <row r="18" spans="1:15" ht="25.5">
      <c r="A18" s="81" t="s">
        <v>402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403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470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373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-175182.47100723066</v>
      </c>
      <c r="N22" s="391"/>
      <c r="O22" s="451">
        <f>SUM(O11:O20)</f>
        <v>-175182.47100723066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404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406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407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0" t="s">
        <v>408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1"/>
      <c r="Q33" s="421"/>
      <c r="R33" s="421"/>
      <c r="S33" s="421"/>
    </row>
    <row r="34" spans="1:19" ht="12.75">
      <c r="A34" s="509" t="s">
        <v>409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1"/>
      <c r="Q34" s="421"/>
      <c r="R34" s="421"/>
      <c r="S34" s="421"/>
    </row>
    <row r="35" spans="1:19" ht="12.75">
      <c r="A35" s="509" t="s">
        <v>430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1"/>
      <c r="Q35" s="421"/>
      <c r="R35" s="421"/>
      <c r="S35" s="421"/>
    </row>
    <row r="36" spans="1:19" ht="12.75">
      <c r="A36" s="509" t="s">
        <v>410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1"/>
      <c r="Q36" s="421"/>
      <c r="R36" s="421"/>
      <c r="S36" s="421"/>
    </row>
    <row r="37" spans="1:19" ht="12.75">
      <c r="A37" s="438" t="s">
        <v>370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371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411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413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414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415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416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417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418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422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423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424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380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425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426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382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381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383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428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429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9" t="s">
        <v>459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5" t="s">
        <v>372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44" bottom="0.35433070866141736" header="0.1968503937007874" footer="0"/>
  <pageSetup fitToHeight="1" fitToWidth="1" horizontalDpi="600" verticalDpi="600" orientation="portrait" scale="71" r:id="rId1"/>
  <headerFooter alignWithMargins="0"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Stephanie Chan</cp:lastModifiedBy>
  <cp:lastPrinted>2012-04-20T13:53:21Z</cp:lastPrinted>
  <dcterms:created xsi:type="dcterms:W3CDTF">2001-11-07T16:15:53Z</dcterms:created>
  <dcterms:modified xsi:type="dcterms:W3CDTF">2012-04-20T14:00:41Z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