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60" windowWidth="16485" windowHeight="12915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<sst xmlns="http://schemas.openxmlformats.org/spreadsheetml/2006/main" count="2332" uniqueCount="336">
  <si>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</si>
  <si>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</si>
  <si>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</si>
  <si>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</si>
  <si>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</si>
  <si>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</si>
  <si>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</si>
  <si>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</si>
  <si>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</si>
  <si>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</si>
  <si>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</si>
  <si>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</si>
  <si>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</si>
  <si>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</si>
  <si>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</si>
  <si>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</si>
  <si>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</si>
  <si>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</si>
  <si>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</si>
  <si>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</si>
  <si>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</si>
  <si>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</si>
  <si>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</si>
  <si>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</si>
  <si>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</si>
  <si>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</si>
  <si>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</si>
  <si>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</si>
  <si>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</si>
  <si>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</si>
  <si>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</si>
  <si>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</si>
  <si>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</si>
  <si>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</si>
  <si>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</si>
  <si>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</si>
  <si>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</si>
  <si>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</si>
  <si>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</si>
  <si>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</si>
  <si>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</si>
  <si>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</si>
  <si>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</si>
  <si>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</si>
  <si>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</si>
  <si>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</si>
  <si>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</si>
  <si>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</si>
  <si>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</si>
  <si>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</si>
  <si>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</si>
  <si>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</si>
  <si>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</si>
  <si>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</si>
  <si>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</si>
  <si>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</si>
  <si>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</si>
  <si>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</si>
  <si>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</si>
  <si>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</si>
  <si>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</si>
  <si>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</si>
  <si>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</si>
  <si>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</si>
  <si>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</si>
  <si>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</si>
  <si>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</si>
  <si>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</si>
  <si>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</si>
  <si>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</si>
  <si>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</si>
  <si>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</si>
  <si>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</si>
  <si>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</si>
  <si>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</si>
  <si>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</si>
  <si>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</si>
  <si>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</si>
  <si>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</si>
  <si>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</si>
  <si>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</si>
  <si>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</si>
  <si>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</si>
  <si>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</si>
  <si>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</si>
  <si>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</si>
  <si>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</si>
  <si>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</si>
  <si>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</si>
  <si>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</si>
  <si>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</si>
  <si>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</si>
  <si>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</si>
  <si>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</si>
  <si>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</si>
  <si>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</si>
  <si>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</si>
  <si>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</si>
  <si>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</si>
  <si>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</si>
  <si>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</si>
  <si>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</si>
  <si>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</si>
  <si>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</si>
  <si>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</si>
  <si>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</si>
  <si>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</si>
  <si>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</si>
  <si>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</si>
  <si>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</si>
  <si>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</si>
  <si>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</si>
  <si>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</si>
  <si>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</si>
  <si>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</si>
  <si>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</si>
  <si>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</si>
  <si>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</si>
  <si>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</si>
  <si>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</si>
  <si>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</si>
  <si>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</si>
  <si>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</si>
  <si>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</si>
  <si>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</si>
  <si>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</si>
  <si>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</si>
  <si>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</si>
  <si>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</si>
  <si>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</si>
  <si>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</si>
  <si>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</si>
  <si>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</si>
  <si>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</si>
  <si>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</si>
  <si>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</si>
  <si>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</si>
  <si>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</si>
  <si>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</si>
  <si>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</si>
  <si>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</si>
  <si>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</si>
  <si>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</si>
  <si>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</si>
  <si>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</si>
  <si>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</si>
  <si>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</si>
  <si>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</si>
  <si>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</si>
  <si>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</si>
  <si>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</si>
  <si>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</si>
  <si>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</si>
  <si>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</si>
  <si>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</si>
  <si>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</si>
  <si>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</si>
  <si>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</si>
  <si>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</si>
  <si>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</si>
  <si>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</si>
  <si>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</si>
  <si>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</si>
  <si>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</si>
  <si>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</si>
  <si>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</si>
  <si>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</si>
  <si>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</si>
  <si>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</si>
  <si>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</si>
  <si>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</si>
  <si>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</si>
  <si>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</si>
  <si>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</si>
  <si>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</si>
  <si>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</si>
  <si>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</si>
  <si>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</si>
  <si>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</si>
  <si>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</si>
  <si>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</si>
  <si>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</si>
  <si>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</si>
  <si>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</si>
  <si>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</si>
  <si>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</si>
  <si>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</si>
  <si>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</si>
  <si>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</si>
  <si>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</si>
  <si>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</si>
  <si>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</si>
  <si>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</si>
  <si>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</si>
  <si>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</si>
  <si>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</si>
  <si>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</si>
  <si>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</si>
  <si>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</si>
  <si>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</si>
  <si>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</si>
  <si>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</si>
  <si>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</si>
  <si>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</si>
  <si>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</si>
  <si>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</si>
  <si>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</si>
  <si>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</si>
  <si>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</si>
  <si>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</si>
  <si>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</si>
  <si>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</si>
  <si>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</si>
  <si>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</si>
  <si>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</si>
  <si>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</si>
  <si>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</si>
  <si>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</si>
  <si>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</si>
  <si>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</si>
  <si>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</si>
  <si>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</si>
  <si>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</si>
  <si>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</si>
  <si>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</si>
  <si>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</si>
  <si>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</si>
  <si>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</si>
  <si>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</si>
  <si>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</si>
  <si>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</si>
  <si>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</si>
  <si>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</si>
  <si>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</si>
  <si>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</si>
  <si>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</si>
  <si>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</si>
  <si>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</si>
  <si>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</si>
  <si>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</si>
  <si>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</si>
  <si>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</si>
  <si>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</si>
  <si>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</si>
  <si>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</si>
  <si>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</si>
  <si>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</si>
  <si>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</si>
  <si>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</si>
  <si>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</si>
  <si>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</si>
  <si>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</si>
  <si>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</si>
  <si>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</si>
  <si>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</si>
  <si>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</si>
  <si>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</si>
  <si>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</si>
  <si>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</si>
  <si>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</si>
  <si>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</si>
  <si>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</si>
  <si>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</si>
  <si>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</si>
  <si>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</si>
  <si>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</si>
  <si>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</si>
  <si>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</si>
  <si>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</si>
  <si>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</si>
  <si>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</si>
  <si>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</si>
  <si>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</si>
  <si>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</si>
  <si>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</si>
  <si>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</si>
  <si>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</si>
  <si>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</si>
  <si>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</si>
  <si>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</si>
  <si>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</si>
  <si>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</si>
  <si>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</si>
  <si>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</si>
  <si>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</si>
  <si>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</si>
  <si>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</si>
  <si>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</si>
  <si>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</si>
  <si>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</si>
  <si>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</si>
  <si>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</si>
  <si>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</si>
  <si>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</si>
  <si>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</si>
  <si>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</si>
  <si>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</si>
  <si>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</si>
  <si>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</si>
  <si>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</si>
  <si>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</si>
  <si>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</si>
  <si>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</si>
  <si>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</si>
  <si>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</si>
  <si>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</si>
  <si>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</si>
  <si>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</si>
  <si>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</si>
  <si>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</si>
  <si>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</si>
  <si>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</si>
  <si>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</si>
  <si>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</si>
  <si>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</si>
  <si>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</si>
  <si>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</si>
  <si>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</si>
  <si>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</si>
  <si>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</si>
  <si>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</si>
  <si>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</si>
  <si>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</si>
  <si>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Version 1</t>
  </si>
  <si>
    <t>GENERAL SERVICE INTERMEDIATE USE (Scattered Load)</t>
  </si>
  <si>
    <t>Service Calls</t>
  </si>
  <si>
    <t>INTERMEDIATE USE (Scatterd Load)</t>
  </si>
  <si>
    <t>Parry Sound Power Corporation</t>
  </si>
  <si>
    <t>Miles Thompson</t>
  </si>
  <si>
    <t>mthompson@pspower.ca</t>
  </si>
  <si>
    <t>ED-1999-0219</t>
  </si>
  <si>
    <t>705-746-5866</t>
  </si>
  <si>
    <t>Dispute Involvement</t>
  </si>
  <si>
    <t>GENERAL SERVICE INTERMEDIATE USE - Scattered Load</t>
  </si>
  <si>
    <t>RP-2004-0083</t>
  </si>
  <si>
    <t>EB-2004-0069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</si>
</sst>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hertju\Local%20Settings\Temp\GWViewer\KWHK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n%20McKenzie\Local%20Settings\Temporary%20Internet%20Files\OLK22\Parry%20Sound%20Discrepancies%20Workshee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D SEPT2002"/>
      <sheetName val="OCT 2002"/>
      <sheetName val="Nov 2002"/>
      <sheetName val="DEC 2002"/>
    </sheetNames>
    <sheetDataSet>
      <sheetData sheetId="3">
        <row r="17">
          <cell r="P17">
            <v>8958</v>
          </cell>
        </row>
        <row r="18">
          <cell r="P18">
            <v>387376</v>
          </cell>
        </row>
        <row r="19">
          <cell r="P19">
            <v>65054</v>
          </cell>
        </row>
        <row r="26">
          <cell r="P26">
            <v>69830.40000000001</v>
          </cell>
        </row>
        <row r="27">
          <cell r="P27">
            <v>24.9</v>
          </cell>
        </row>
        <row r="28">
          <cell r="P28">
            <v>1075.9</v>
          </cell>
        </row>
        <row r="37">
          <cell r="P37">
            <v>170.41</v>
          </cell>
        </row>
        <row r="39">
          <cell r="P39">
            <v>1203.08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">
          <cell r="F48">
            <v>29878846</v>
          </cell>
        </row>
        <row r="49">
          <cell r="I49">
            <v>814699.0738</v>
          </cell>
        </row>
        <row r="54">
          <cell r="F54">
            <v>28239037</v>
          </cell>
        </row>
        <row r="55">
          <cell r="I55">
            <v>413558.2797</v>
          </cell>
        </row>
        <row r="60">
          <cell r="C60">
            <v>9778733</v>
          </cell>
        </row>
        <row r="62">
          <cell r="I62">
            <v>312400.298</v>
          </cell>
        </row>
        <row r="73">
          <cell r="I73">
            <v>8322.150000000001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hompson@pspower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zoomScalePageLayoutView="0" workbookViewId="0" topLeftCell="A13">
      <selection activeCell="O24" sqref="O24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8" t="s">
        <v>124</v>
      </c>
    </row>
    <row r="3" spans="1:6" ht="18">
      <c r="A3" s="112" t="s">
        <v>0</v>
      </c>
      <c r="B3" s="113" t="s">
        <v>327</v>
      </c>
      <c r="C3" s="109"/>
      <c r="E3" s="112" t="s">
        <v>1</v>
      </c>
      <c r="F3" s="110" t="s">
        <v>330</v>
      </c>
    </row>
    <row r="4" spans="1:6" ht="18">
      <c r="A4" s="112" t="s">
        <v>3</v>
      </c>
      <c r="B4" s="108" t="s">
        <v>328</v>
      </c>
      <c r="C4" s="15"/>
      <c r="E4" s="112" t="s">
        <v>4</v>
      </c>
      <c r="F4" s="108" t="s">
        <v>331</v>
      </c>
    </row>
    <row r="5" spans="1:3" ht="18">
      <c r="A5" s="28" t="s">
        <v>38</v>
      </c>
      <c r="B5" s="269" t="s">
        <v>329</v>
      </c>
      <c r="C5" s="15"/>
    </row>
    <row r="6" spans="1:3" ht="18">
      <c r="A6" s="112" t="s">
        <v>2</v>
      </c>
      <c r="B6" s="108" t="s">
        <v>323</v>
      </c>
      <c r="C6" s="15"/>
    </row>
    <row r="7" spans="1:2" ht="15.75">
      <c r="A7" s="28" t="s">
        <v>39</v>
      </c>
      <c r="B7" s="111">
        <v>38002</v>
      </c>
    </row>
    <row r="8" ht="18">
      <c r="C8" s="15"/>
    </row>
    <row r="9" spans="1:4" ht="16.5" customHeight="1">
      <c r="A9" s="126" t="s">
        <v>125</v>
      </c>
      <c r="C9" s="4"/>
      <c r="D9" s="19"/>
    </row>
    <row r="10" spans="1:4" ht="14.25" customHeight="1">
      <c r="A10" s="126" t="s">
        <v>126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144</v>
      </c>
    </row>
    <row r="14" spans="1:6" ht="15">
      <c r="A14" s="160" t="s">
        <v>127</v>
      </c>
      <c r="B14" s="161" t="s">
        <v>128</v>
      </c>
      <c r="C14" s="151"/>
      <c r="D14" s="161" t="s">
        <v>145</v>
      </c>
      <c r="E14" s="140"/>
      <c r="F14" s="140"/>
    </row>
    <row r="15" spans="1:7" ht="14.25" customHeight="1">
      <c r="A15" s="152"/>
      <c r="B15" s="162" t="s">
        <v>129</v>
      </c>
      <c r="C15" s="153"/>
      <c r="D15" s="161" t="s">
        <v>252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130</v>
      </c>
      <c r="B17" s="163">
        <v>1580</v>
      </c>
      <c r="C17" s="154"/>
      <c r="D17" s="242">
        <v>60045.31</v>
      </c>
      <c r="E17" s="101"/>
      <c r="F17" s="101"/>
      <c r="G17" s="14"/>
    </row>
    <row r="18" spans="1:7" ht="14.25">
      <c r="A18" s="149" t="s">
        <v>131</v>
      </c>
      <c r="B18" s="163">
        <v>1584</v>
      </c>
      <c r="C18" s="154"/>
      <c r="D18" s="242">
        <v>-21657.14</v>
      </c>
      <c r="E18" s="101"/>
      <c r="F18" s="101"/>
      <c r="G18" s="14"/>
    </row>
    <row r="19" spans="1:7" ht="14.25">
      <c r="A19" s="149" t="s">
        <v>132</v>
      </c>
      <c r="B19" s="163">
        <v>1586</v>
      </c>
      <c r="C19" s="154"/>
      <c r="D19" s="242">
        <v>-1515.43</v>
      </c>
      <c r="E19" s="101"/>
      <c r="F19" s="101"/>
      <c r="G19" s="14"/>
    </row>
    <row r="20" spans="1:7" ht="14.25">
      <c r="A20" s="149" t="s">
        <v>133</v>
      </c>
      <c r="B20" s="163">
        <v>1588</v>
      </c>
      <c r="C20" s="154"/>
      <c r="D20" s="243">
        <v>-5251.25</v>
      </c>
      <c r="E20" s="101"/>
      <c r="F20" s="101"/>
      <c r="G20" s="14"/>
    </row>
    <row r="21" spans="1:7" ht="15">
      <c r="A21" s="165" t="s">
        <v>253</v>
      </c>
      <c r="B21" s="163"/>
      <c r="C21" s="154"/>
      <c r="D21" s="166">
        <f>SUM(D17:D20)</f>
        <v>31621.489999999998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134</v>
      </c>
      <c r="B23" s="163">
        <v>1582</v>
      </c>
      <c r="C23" s="154"/>
      <c r="D23" s="242"/>
      <c r="E23" s="101"/>
      <c r="F23" s="101"/>
      <c r="G23" s="14"/>
    </row>
    <row r="24" spans="1:7" ht="14.25">
      <c r="A24" s="149" t="s">
        <v>135</v>
      </c>
      <c r="B24" s="163">
        <v>1508</v>
      </c>
      <c r="C24" s="154"/>
      <c r="D24" s="242">
        <v>3000</v>
      </c>
      <c r="E24" s="101"/>
      <c r="F24" s="101"/>
      <c r="G24" s="14"/>
    </row>
    <row r="25" spans="1:7" ht="14.25">
      <c r="A25" s="149" t="s">
        <v>136</v>
      </c>
      <c r="B25" s="163">
        <v>1518</v>
      </c>
      <c r="C25" s="154"/>
      <c r="D25" s="242"/>
      <c r="E25" s="101"/>
      <c r="F25" s="101"/>
      <c r="G25" s="14"/>
    </row>
    <row r="26" spans="1:7" ht="14.25">
      <c r="A26" s="149" t="s">
        <v>137</v>
      </c>
      <c r="B26" s="163">
        <v>1548</v>
      </c>
      <c r="C26" s="153"/>
      <c r="D26" s="242"/>
      <c r="E26" s="101"/>
      <c r="F26" s="101"/>
      <c r="G26" s="14"/>
    </row>
    <row r="27" spans="1:7" ht="14.25">
      <c r="A27" s="149" t="s">
        <v>138</v>
      </c>
      <c r="B27" s="163">
        <v>1525</v>
      </c>
      <c r="C27" s="154"/>
      <c r="D27" s="242"/>
      <c r="E27" s="101"/>
      <c r="F27" s="101"/>
      <c r="G27" s="14"/>
    </row>
    <row r="28" spans="1:7" ht="14.25">
      <c r="A28" s="149" t="s">
        <v>139</v>
      </c>
      <c r="B28" s="163">
        <v>1562</v>
      </c>
      <c r="C28" s="154"/>
      <c r="D28" s="242">
        <v>101950</v>
      </c>
      <c r="E28" s="101"/>
      <c r="F28" s="101"/>
      <c r="G28" s="14"/>
    </row>
    <row r="29" spans="1:7" ht="14.25">
      <c r="A29" s="151" t="s">
        <v>281</v>
      </c>
      <c r="B29" s="163">
        <v>1563</v>
      </c>
      <c r="C29" s="154"/>
      <c r="D29" s="242"/>
      <c r="E29" s="101"/>
      <c r="F29" s="101"/>
      <c r="G29" s="14"/>
    </row>
    <row r="30" spans="1:7" ht="14.25">
      <c r="A30" s="149" t="s">
        <v>140</v>
      </c>
      <c r="B30" s="163">
        <v>1570</v>
      </c>
      <c r="C30" s="154"/>
      <c r="D30" s="242">
        <v>514802</v>
      </c>
      <c r="E30" s="101"/>
      <c r="F30" s="101"/>
      <c r="G30" s="14"/>
    </row>
    <row r="31" spans="1:7" ht="14.25">
      <c r="A31" s="149" t="s">
        <v>254</v>
      </c>
      <c r="B31" s="163">
        <v>1571</v>
      </c>
      <c r="C31" s="154"/>
      <c r="D31" s="166">
        <f>C32+C33</f>
        <v>121781</v>
      </c>
      <c r="E31" s="101"/>
      <c r="F31" s="101"/>
      <c r="G31" s="14"/>
    </row>
    <row r="32" spans="1:7" ht="14.25">
      <c r="A32" s="151" t="s">
        <v>255</v>
      </c>
      <c r="B32" s="163"/>
      <c r="C32" s="242"/>
      <c r="D32" s="166"/>
      <c r="E32" s="101"/>
      <c r="F32" s="101"/>
      <c r="G32" s="14"/>
    </row>
    <row r="33" spans="1:7" ht="14.25">
      <c r="A33" s="151" t="s">
        <v>256</v>
      </c>
      <c r="B33" s="163"/>
      <c r="C33" s="242">
        <v>121781</v>
      </c>
      <c r="D33" s="166"/>
      <c r="E33" s="101"/>
      <c r="F33" s="101"/>
      <c r="G33" s="14"/>
    </row>
    <row r="34" spans="1:7" ht="14.25">
      <c r="A34" s="149" t="s">
        <v>141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142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143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146</v>
      </c>
      <c r="B38" s="156"/>
      <c r="C38" s="241" t="s">
        <v>257</v>
      </c>
      <c r="D38" s="236">
        <f>SUM(D21:D37)</f>
        <v>773154.49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147</v>
      </c>
      <c r="B40" s="156"/>
      <c r="C40" s="241" t="s">
        <v>258</v>
      </c>
      <c r="D40" s="167">
        <f>D21</f>
        <v>31621.489999999998</v>
      </c>
      <c r="E40" s="154" t="s">
        <v>274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270</v>
      </c>
      <c r="B42" s="159"/>
      <c r="C42" s="153"/>
      <c r="D42" s="168">
        <f>D40/D38</f>
        <v>0.04089931625437498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271</v>
      </c>
      <c r="B44" s="159"/>
      <c r="C44" s="241" t="s">
        <v>259</v>
      </c>
      <c r="D44" s="166">
        <f>D38*0.25</f>
        <v>193288.6225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260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265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261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263</v>
      </c>
      <c r="B55" s="181"/>
      <c r="C55" s="181"/>
      <c r="D55" s="182">
        <f>D44</f>
        <v>193288.6225</v>
      </c>
      <c r="E55" s="181" t="s">
        <v>273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262</v>
      </c>
      <c r="B57" s="181"/>
      <c r="C57" s="181"/>
      <c r="D57" s="201">
        <f>D55*12/11</f>
        <v>210860.31545454543</v>
      </c>
      <c r="E57" s="181" t="s">
        <v>148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279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264</v>
      </c>
      <c r="B60" s="181"/>
      <c r="C60" s="181"/>
      <c r="D60" s="186">
        <f>D40-D55</f>
        <v>-161667.1325</v>
      </c>
      <c r="E60" s="181" t="s">
        <v>280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266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263</v>
      </c>
      <c r="B68" s="181"/>
      <c r="C68" s="181"/>
      <c r="D68" s="186">
        <f>D38*0.25</f>
        <v>193288.6225</v>
      </c>
      <c r="E68" s="181" t="s">
        <v>272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275</v>
      </c>
      <c r="B70" s="181"/>
      <c r="C70" s="181"/>
      <c r="D70" s="186">
        <f>D40</f>
        <v>31621.489999999998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276</v>
      </c>
      <c r="B72" s="181"/>
      <c r="C72" s="181"/>
      <c r="D72" s="201">
        <f>D70*12/11</f>
        <v>34496.170909090906</v>
      </c>
      <c r="E72" s="181" t="s">
        <v>148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267</v>
      </c>
      <c r="B74" s="181"/>
      <c r="C74" s="241" t="s">
        <v>268</v>
      </c>
      <c r="D74" s="186">
        <f>D68-D70</f>
        <v>161667.1325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269</v>
      </c>
      <c r="B76" s="181"/>
      <c r="C76" s="181"/>
      <c r="D76" s="201">
        <f>D74*12/11</f>
        <v>176364.14454545456</v>
      </c>
      <c r="E76" s="181" t="s">
        <v>156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277</v>
      </c>
      <c r="B78" s="157"/>
      <c r="C78" s="157"/>
      <c r="D78" s="167">
        <f>D70+D74</f>
        <v>193288.6225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284</v>
      </c>
      <c r="B82" s="142"/>
      <c r="C82" s="143"/>
      <c r="D82" s="144"/>
      <c r="E82" s="248" t="s">
        <v>285</v>
      </c>
      <c r="F82" s="101"/>
      <c r="G82" s="101"/>
    </row>
    <row r="83" spans="1:7" ht="12.75">
      <c r="A83" s="139"/>
      <c r="B83" s="101"/>
      <c r="C83" s="101"/>
      <c r="D83" s="144"/>
      <c r="E83" s="145" t="s">
        <v>286</v>
      </c>
      <c r="F83" s="101"/>
      <c r="G83" s="101"/>
    </row>
    <row r="84" spans="1:7" ht="15" thickBot="1">
      <c r="A84" s="149" t="s">
        <v>287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289</v>
      </c>
      <c r="B85" s="101"/>
      <c r="C85" s="101"/>
      <c r="D85" s="144"/>
      <c r="E85" s="249"/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290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288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mthompson@pspower.ca"/>
  </hyperlinks>
  <printOptions/>
  <pageMargins left="0.32" right="0.17" top="0.42" bottom="0.58" header="0.32" footer="0.33"/>
  <pageSetup horizontalDpi="600" verticalDpi="600" orientation="portrait" scale="75" r:id="rId2"/>
  <rowBreaks count="1" manualBreakCount="1"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zoomScale="75" zoomScaleNormal="75" zoomScalePageLayoutView="0" workbookViewId="0" topLeftCell="A64">
      <selection activeCell="O24" sqref="O24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327</v>
      </c>
      <c r="E1" s="32"/>
      <c r="F1" s="11" t="s">
        <v>334</v>
      </c>
    </row>
    <row r="2" spans="1:6" ht="15.75">
      <c r="A2" s="32"/>
      <c r="B2" s="32"/>
      <c r="C2" s="32"/>
      <c r="D2" s="137" t="s">
        <v>200</v>
      </c>
      <c r="E2" s="32"/>
      <c r="F2" s="11" t="s">
        <v>335</v>
      </c>
    </row>
    <row r="3" spans="1:5" ht="15.75">
      <c r="A3" s="112"/>
      <c r="D3" s="202" t="s">
        <v>205</v>
      </c>
      <c r="E3" s="112"/>
    </row>
    <row r="4" spans="1:5" ht="15.75">
      <c r="A4" s="112"/>
      <c r="D4" s="32"/>
      <c r="E4" s="112"/>
    </row>
    <row r="5" spans="1:5" ht="15.75">
      <c r="A5" s="127" t="s">
        <v>312</v>
      </c>
      <c r="D5" s="32"/>
      <c r="E5" s="112"/>
    </row>
    <row r="6" spans="1:5" ht="15.75">
      <c r="A6" s="99" t="s">
        <v>207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111</v>
      </c>
      <c r="E10" s="136" t="s">
        <v>113</v>
      </c>
      <c r="F10" s="17">
        <f>'9. Service Charge Adj.'!E22</f>
        <v>15.99</v>
      </c>
      <c r="G10" s="20"/>
      <c r="H10" s="20"/>
    </row>
    <row r="11" spans="1:7" ht="15">
      <c r="A11" s="32"/>
      <c r="B11" s="133"/>
      <c r="C11" s="134" t="s">
        <v>112</v>
      </c>
      <c r="E11" s="136" t="s">
        <v>114</v>
      </c>
      <c r="F11" s="14">
        <f>'9. Service Charge Adj.'!D41</f>
        <v>0.012993130666277228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115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111</v>
      </c>
      <c r="E16" s="136" t="s">
        <v>113</v>
      </c>
      <c r="F16" s="17">
        <f>'9. Service Charge Adj.'!E22</f>
        <v>15.99</v>
      </c>
      <c r="G16" s="14"/>
    </row>
    <row r="17" spans="1:7" ht="15">
      <c r="A17" s="32"/>
      <c r="B17" s="133"/>
      <c r="C17" s="134" t="s">
        <v>112</v>
      </c>
      <c r="E17" s="136" t="s">
        <v>114</v>
      </c>
      <c r="F17" s="14">
        <f>'9. Service Charge Adj.'!D51</f>
        <v>0.012993130666277228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111</v>
      </c>
      <c r="E22" s="136" t="s">
        <v>113</v>
      </c>
      <c r="F22" s="17">
        <f>'9. Service Charge Adj.'!E23</f>
        <v>24.37</v>
      </c>
      <c r="G22" s="21"/>
      <c r="H22" s="20"/>
    </row>
    <row r="23" spans="1:7" ht="15">
      <c r="A23" s="32"/>
      <c r="B23" s="133"/>
      <c r="C23" s="134" t="s">
        <v>112</v>
      </c>
      <c r="E23" s="136" t="s">
        <v>114</v>
      </c>
      <c r="F23" s="14">
        <f>'9. Service Charge Adj.'!D61</f>
        <v>0.009760199144416986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116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111</v>
      </c>
      <c r="E28" s="136" t="s">
        <v>113</v>
      </c>
      <c r="F28" s="17">
        <f>'9. Service Charge Adj.'!E24</f>
        <v>163.46</v>
      </c>
      <c r="G28" s="14"/>
    </row>
    <row r="29" spans="1:7" ht="15">
      <c r="A29" s="32"/>
      <c r="B29" s="133"/>
      <c r="C29" s="134" t="s">
        <v>112</v>
      </c>
      <c r="E29" s="136" t="s">
        <v>117</v>
      </c>
      <c r="F29" s="14">
        <f>'9. Service Charge Adj.'!D71</f>
        <v>3.303052193655666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118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111</v>
      </c>
      <c r="E34" s="136" t="s">
        <v>113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112</v>
      </c>
      <c r="E35" s="136" t="s">
        <v>117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333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111</v>
      </c>
      <c r="E40" s="136" t="s">
        <v>113</v>
      </c>
      <c r="F40" s="17">
        <f>'9. Service Charge Adj.'!E26</f>
        <v>8.6</v>
      </c>
      <c r="G40" s="14"/>
    </row>
    <row r="41" spans="2:7" ht="15">
      <c r="B41" s="133"/>
      <c r="C41" s="134" t="s">
        <v>112</v>
      </c>
      <c r="E41" s="136" t="s">
        <v>114</v>
      </c>
      <c r="F41" s="14">
        <f>'9. Service Charge Adj.'!D91</f>
        <v>0.04485044471229015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111</v>
      </c>
      <c r="E46" s="136" t="s">
        <v>113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112</v>
      </c>
      <c r="E47" s="136" t="s">
        <v>117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327</v>
      </c>
      <c r="E55" s="133"/>
      <c r="F55" s="11" t="s">
        <v>334</v>
      </c>
      <c r="G55" s="14"/>
    </row>
    <row r="56" spans="1:7" ht="15.75">
      <c r="A56" s="32"/>
      <c r="B56" s="133"/>
      <c r="C56" s="133"/>
      <c r="D56" s="137" t="s">
        <v>200</v>
      </c>
      <c r="E56" s="133"/>
      <c r="F56" s="11" t="s">
        <v>335</v>
      </c>
      <c r="G56" s="14"/>
    </row>
    <row r="57" spans="1:7" ht="15">
      <c r="A57" s="32"/>
      <c r="B57" s="133"/>
      <c r="C57" s="133"/>
      <c r="D57" s="202" t="s">
        <v>205</v>
      </c>
      <c r="E57" s="133"/>
      <c r="F57" s="14"/>
      <c r="G57" s="14"/>
    </row>
    <row r="58" spans="1:7" ht="15">
      <c r="A58" s="32"/>
      <c r="B58" s="133"/>
      <c r="C58" s="133"/>
      <c r="D58" s="203" t="s">
        <v>206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119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111</v>
      </c>
      <c r="E63" s="136" t="s">
        <v>113</v>
      </c>
      <c r="F63" s="17">
        <f>'9. Service Charge Adj.'!E28</f>
        <v>1.63</v>
      </c>
      <c r="G63" s="14"/>
    </row>
    <row r="64" spans="1:7" ht="15">
      <c r="A64" s="32"/>
      <c r="B64" s="133"/>
      <c r="C64" s="134" t="s">
        <v>112</v>
      </c>
      <c r="E64" s="136" t="s">
        <v>117</v>
      </c>
      <c r="F64" s="14">
        <f>'9. Service Charge Adj.'!D111</f>
        <v>4.714867138332227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120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111</v>
      </c>
      <c r="E69" s="136" t="s">
        <v>113</v>
      </c>
      <c r="F69" s="17">
        <f>'9. Service Charge Adj.'!E28</f>
        <v>1.63</v>
      </c>
      <c r="G69" s="14"/>
    </row>
    <row r="70" spans="1:7" ht="15">
      <c r="A70" s="32"/>
      <c r="B70" s="133"/>
      <c r="C70" s="134" t="s">
        <v>112</v>
      </c>
      <c r="E70" s="136" t="s">
        <v>117</v>
      </c>
      <c r="F70" s="14">
        <f>'9. Service Charge Adj.'!D122</f>
        <v>-14.554106355643674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121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111</v>
      </c>
      <c r="E75" s="136" t="s">
        <v>113</v>
      </c>
      <c r="F75" s="17">
        <f>'9. Service Charge Adj.'!E29</f>
        <v>0.39</v>
      </c>
      <c r="G75" s="14"/>
    </row>
    <row r="76" spans="1:7" ht="14.25" customHeight="1">
      <c r="A76" s="32"/>
      <c r="B76" s="133"/>
      <c r="C76" s="134" t="s">
        <v>112</v>
      </c>
      <c r="E76" s="136" t="s">
        <v>117</v>
      </c>
      <c r="F76" s="14">
        <f>'9. Service Charge Adj.'!D132</f>
        <v>4.246798676922417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122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111</v>
      </c>
      <c r="E81" s="136" t="s">
        <v>113</v>
      </c>
      <c r="F81" s="17">
        <f>'9. Service Charge Adj.'!E29</f>
        <v>0.39</v>
      </c>
      <c r="G81" s="14"/>
    </row>
    <row r="82" spans="1:7" ht="15">
      <c r="A82" s="32"/>
      <c r="B82" s="133"/>
      <c r="C82" s="134" t="s">
        <v>112</v>
      </c>
      <c r="E82" s="136" t="s">
        <v>117</v>
      </c>
      <c r="F82" s="14">
        <f>'9. Service Charge Adj.'!D143</f>
        <v>-2.437844012918645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201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202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t="s">
        <v>21</v>
      </c>
      <c r="B90" s="5"/>
      <c r="D90" s="134"/>
      <c r="E90" s="10">
        <v>8.8</v>
      </c>
      <c r="F90" s="14"/>
      <c r="G90" s="14"/>
    </row>
    <row r="91" spans="1:7" ht="15">
      <c r="A91" t="s">
        <v>22</v>
      </c>
      <c r="B91" s="5"/>
      <c r="D91" s="134"/>
      <c r="E91" s="10"/>
      <c r="F91" s="14"/>
      <c r="G91" s="14"/>
    </row>
    <row r="92" spans="1:7" ht="15">
      <c r="A92" t="s">
        <v>23</v>
      </c>
      <c r="B92" s="5"/>
      <c r="D92" s="134"/>
      <c r="E92" s="10"/>
      <c r="F92" s="14"/>
      <c r="G92" s="14"/>
    </row>
    <row r="93" spans="1:7" ht="15">
      <c r="A93" t="s">
        <v>24</v>
      </c>
      <c r="B93" s="5"/>
      <c r="D93" s="134"/>
      <c r="E93" s="10">
        <v>5</v>
      </c>
      <c r="F93" s="14"/>
      <c r="G93" s="14"/>
    </row>
    <row r="94" spans="1:7" ht="15">
      <c r="A94" t="s">
        <v>25</v>
      </c>
      <c r="B94" s="5"/>
      <c r="D94" s="32"/>
      <c r="E94" s="10"/>
      <c r="F94" s="14"/>
      <c r="G94" s="14"/>
    </row>
    <row r="95" spans="1:7" ht="15">
      <c r="A95" t="s">
        <v>26</v>
      </c>
      <c r="B95" s="5"/>
      <c r="D95" s="134"/>
      <c r="E95" s="10"/>
      <c r="F95" s="14"/>
      <c r="G95" s="14"/>
    </row>
    <row r="96" spans="1:5" ht="15">
      <c r="A96" t="s">
        <v>332</v>
      </c>
      <c r="B96" s="5"/>
      <c r="D96" s="32"/>
      <c r="E96" s="10">
        <v>5</v>
      </c>
    </row>
    <row r="97" spans="1:5" ht="12.75">
      <c r="A97" t="s">
        <v>27</v>
      </c>
      <c r="B97" s="5"/>
      <c r="E97" s="10">
        <v>7</v>
      </c>
    </row>
    <row r="98" spans="1:5" ht="12.75">
      <c r="A98" t="s">
        <v>28</v>
      </c>
      <c r="B98" s="18"/>
      <c r="E98" s="64">
        <v>0.015</v>
      </c>
    </row>
    <row r="99" spans="1:5" ht="12.75">
      <c r="A99" t="s">
        <v>29</v>
      </c>
      <c r="B99" s="5"/>
      <c r="E99" s="10">
        <v>6</v>
      </c>
    </row>
    <row r="100" spans="1:5" ht="12.75">
      <c r="A100" t="s">
        <v>30</v>
      </c>
      <c r="B100" s="5"/>
      <c r="E100" s="10">
        <v>8.8</v>
      </c>
    </row>
    <row r="101" spans="2:5" ht="12.75">
      <c r="B101" s="5"/>
      <c r="E101" s="10"/>
    </row>
    <row r="102" spans="1:5" ht="12.75">
      <c r="A102" t="s">
        <v>31</v>
      </c>
      <c r="B102" s="5"/>
      <c r="E102" s="10"/>
    </row>
    <row r="103" spans="1:5" ht="12.75">
      <c r="A103" t="s">
        <v>32</v>
      </c>
      <c r="B103" s="5"/>
      <c r="E103" s="10">
        <v>17.6</v>
      </c>
    </row>
    <row r="104" spans="1:5" ht="12.75">
      <c r="A104" t="s">
        <v>33</v>
      </c>
      <c r="B104" s="5"/>
      <c r="E104" s="10"/>
    </row>
    <row r="105" spans="1:5" ht="12.75">
      <c r="A105" t="s">
        <v>325</v>
      </c>
      <c r="B105" s="5"/>
      <c r="E105" s="10"/>
    </row>
    <row r="106" spans="1:5" ht="12.75">
      <c r="A106" t="s">
        <v>34</v>
      </c>
      <c r="B106" s="5"/>
      <c r="E106" s="10"/>
    </row>
    <row r="107" spans="2:5" ht="12.75">
      <c r="B107" s="5"/>
      <c r="E107" s="10"/>
    </row>
    <row r="108" spans="1:5" ht="12.75">
      <c r="A108" t="s">
        <v>35</v>
      </c>
      <c r="B108" s="5"/>
      <c r="E108" s="10"/>
    </row>
    <row r="109" spans="1:5" ht="12.75">
      <c r="A109" t="s">
        <v>36</v>
      </c>
      <c r="B109" s="5"/>
      <c r="E109" s="10"/>
    </row>
    <row r="110" spans="1:5" ht="12.75">
      <c r="A110" t="s">
        <v>37</v>
      </c>
      <c r="B110" s="5"/>
      <c r="E110" s="10"/>
    </row>
    <row r="111" spans="2:5" ht="12.75">
      <c r="B111" s="5"/>
      <c r="E111" s="5"/>
    </row>
    <row r="112" spans="1:5" ht="12.75">
      <c r="A112" t="s">
        <v>106</v>
      </c>
      <c r="B112" t="s">
        <v>108</v>
      </c>
      <c r="E112" s="10"/>
    </row>
    <row r="113" spans="1:5" ht="12.75">
      <c r="A113" t="s">
        <v>107</v>
      </c>
      <c r="B113" t="s">
        <v>109</v>
      </c>
      <c r="E113" s="10"/>
    </row>
  </sheetData>
  <sheetProtection/>
  <printOptions/>
  <pageMargins left="0.59" right="0.42" top="0.46" bottom="0.6" header="0.34" footer="0.35"/>
  <pageSetup fitToHeight="2" horizontalDpi="600" verticalDpi="600" orientation="portrait" scale="86" r:id="rId1"/>
  <headerFooter alignWithMargins="0">
    <oddHeader>&amp;C&amp;"Arial,Bold"&amp;12
</oddHeader>
    <oddFooter>&amp;C&amp;P</oddFooter>
  </headerFooter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364">
      <selection activeCell="O24" sqref="O2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210</v>
      </c>
      <c r="B1" s="15"/>
    </row>
    <row r="2" ht="12.75">
      <c r="A2" s="4" t="s">
        <v>224</v>
      </c>
    </row>
    <row r="3" spans="1:8" ht="18">
      <c r="A3" s="112" t="s">
        <v>0</v>
      </c>
      <c r="B3" s="1"/>
      <c r="C3" s="108" t="str">
        <f>'2. 2002 Base Rate Schedule'!B3</f>
        <v>Parry Sound Power Corporation</v>
      </c>
      <c r="D3" s="109"/>
      <c r="F3" s="112" t="s">
        <v>1</v>
      </c>
      <c r="H3" s="116" t="str">
        <f>'2. 2002 Base Rate Schedule'!F3</f>
        <v>ED-1999-0219</v>
      </c>
    </row>
    <row r="4" spans="1:8" ht="18">
      <c r="A4" s="112" t="s">
        <v>3</v>
      </c>
      <c r="B4" s="1"/>
      <c r="C4" s="108" t="str">
        <f>'2. 2002 Base Rate Schedule'!B4</f>
        <v>Miles Thompson</v>
      </c>
      <c r="D4" s="15"/>
      <c r="F4" s="112" t="s">
        <v>4</v>
      </c>
      <c r="H4" s="116" t="str">
        <f>'2. 2002 Base Rate Schedule'!F4</f>
        <v>705-746-5866</v>
      </c>
    </row>
    <row r="5" spans="1:4" ht="18">
      <c r="A5" s="28" t="s">
        <v>38</v>
      </c>
      <c r="B5" s="15"/>
      <c r="C5" s="108" t="str">
        <f>'2. 2002 Base Rate Schedule'!B5</f>
        <v>mthompson@pspower.ca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39</v>
      </c>
      <c r="B7" s="15"/>
      <c r="C7" s="111">
        <f>'2. 2002 Base Rate Schedule'!B7</f>
        <v>38002</v>
      </c>
      <c r="D7" s="15"/>
    </row>
    <row r="8" ht="18">
      <c r="D8" s="15"/>
    </row>
    <row r="9" ht="14.25">
      <c r="A9" s="126" t="s">
        <v>231</v>
      </c>
    </row>
    <row r="10" ht="14.25">
      <c r="A10" s="126" t="s">
        <v>226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 t="s">
        <v>213</v>
      </c>
      <c r="F13" s="270"/>
      <c r="K13" s="84"/>
    </row>
    <row r="14" spans="1:11" ht="15.75" customHeight="1">
      <c r="A14" s="126" t="s">
        <v>318</v>
      </c>
      <c r="B14" s="85"/>
      <c r="E14" s="270" t="s">
        <v>313</v>
      </c>
      <c r="F14" s="270"/>
      <c r="K14" s="84"/>
    </row>
    <row r="15" spans="5:11" ht="15.75" customHeight="1">
      <c r="E15" s="270" t="s">
        <v>317</v>
      </c>
      <c r="F15" s="270"/>
      <c r="K15" s="84"/>
    </row>
    <row r="16" spans="1:11" ht="18">
      <c r="A16" s="100" t="s">
        <v>44</v>
      </c>
      <c r="B16" s="28"/>
      <c r="D16" s="37"/>
      <c r="E16" s="270" t="s">
        <v>314</v>
      </c>
      <c r="F16" s="270"/>
      <c r="K16" s="84"/>
    </row>
    <row r="17" spans="1:11" ht="18">
      <c r="A17" s="100"/>
      <c r="B17" s="28"/>
      <c r="D17" s="37"/>
      <c r="E17" s="270" t="s">
        <v>315</v>
      </c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216</v>
      </c>
      <c r="B20" s="28"/>
      <c r="D20" s="37"/>
      <c r="E20" s="137"/>
      <c r="F20" s="137"/>
      <c r="K20" s="84"/>
    </row>
    <row r="21" spans="1:11" ht="15.75" customHeight="1">
      <c r="A21" s="126" t="s">
        <v>228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212</v>
      </c>
      <c r="D23" s="48"/>
      <c r="E23" s="48"/>
      <c r="F23" s="48"/>
      <c r="H23" s="97" t="s">
        <v>229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15.99</v>
      </c>
      <c r="H27" s="25" t="s">
        <v>13</v>
      </c>
      <c r="I27" s="33" t="s">
        <v>77</v>
      </c>
      <c r="J27" s="33" t="s">
        <v>77</v>
      </c>
      <c r="K27" s="67">
        <f>'10. 2004 Rate Schedule '!F10</f>
        <v>15.99</v>
      </c>
      <c r="L27" s="67"/>
      <c r="M27" s="67"/>
    </row>
    <row r="28" spans="3:13" ht="25.5">
      <c r="C28" s="25" t="s">
        <v>214</v>
      </c>
      <c r="D28">
        <v>100</v>
      </c>
      <c r="E28" s="205">
        <v>0.0103</v>
      </c>
      <c r="F28" s="67">
        <f>D28*E28</f>
        <v>1.03</v>
      </c>
      <c r="H28" s="25" t="s">
        <v>214</v>
      </c>
      <c r="I28">
        <f>D28</f>
        <v>100</v>
      </c>
      <c r="J28" s="106">
        <f>'10. 2004 Rate Schedule '!F11</f>
        <v>0.012993130666277228</v>
      </c>
      <c r="K28" s="67">
        <f>I28*J28</f>
        <v>1.2993130666277228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23.71</v>
      </c>
      <c r="H32" t="s">
        <v>217</v>
      </c>
      <c r="K32" s="107">
        <f>SUM(K27:K30)</f>
        <v>23.979313066627725</v>
      </c>
      <c r="L32" s="67"/>
      <c r="M32" s="67">
        <f>K32-F32</f>
        <v>0.26931306662772414</v>
      </c>
      <c r="N32" s="90">
        <f>K32/F32-1</f>
        <v>0.011358627862831039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15.99</v>
      </c>
      <c r="H37" s="25" t="s">
        <v>13</v>
      </c>
      <c r="I37" s="33" t="s">
        <v>77</v>
      </c>
      <c r="J37" s="33" t="s">
        <v>77</v>
      </c>
      <c r="K37" s="67">
        <f>K27</f>
        <v>15.99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0.0103</v>
      </c>
      <c r="F38" s="67">
        <f>D38*E38</f>
        <v>2.575</v>
      </c>
      <c r="H38" s="25" t="s">
        <v>214</v>
      </c>
      <c r="I38">
        <f>D38</f>
        <v>250</v>
      </c>
      <c r="J38" s="106">
        <f>J28</f>
        <v>0.012993130666277228</v>
      </c>
      <c r="K38" s="67">
        <f>I38*J38</f>
        <v>3.248282666569307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35.290000000000006</v>
      </c>
      <c r="H42" t="s">
        <v>217</v>
      </c>
      <c r="K42" s="107">
        <f>SUM(K37:K40)</f>
        <v>35.96328266656931</v>
      </c>
      <c r="L42" s="67"/>
      <c r="M42" s="67">
        <f>K42-F42</f>
        <v>0.6732826665693068</v>
      </c>
      <c r="N42" s="90">
        <f>K42/F42-1</f>
        <v>0.019078568052403044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15.99</v>
      </c>
      <c r="H47" s="25" t="s">
        <v>13</v>
      </c>
      <c r="I47" s="33" t="s">
        <v>77</v>
      </c>
      <c r="J47" s="33" t="s">
        <v>77</v>
      </c>
      <c r="K47" s="67">
        <f>K27</f>
        <v>15.99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0.0103</v>
      </c>
      <c r="F48" s="67">
        <f>D48*E48</f>
        <v>5.15</v>
      </c>
      <c r="H48" s="25" t="s">
        <v>214</v>
      </c>
      <c r="I48">
        <f>D48</f>
        <v>500</v>
      </c>
      <c r="J48" s="106">
        <f>J28</f>
        <v>0.012993130666277228</v>
      </c>
      <c r="K48" s="67">
        <f>I48*J48</f>
        <v>6.496565333138614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54.59</v>
      </c>
      <c r="H52" t="s">
        <v>217</v>
      </c>
      <c r="K52" s="107">
        <f>SUM(K47:K50)</f>
        <v>55.93656533313862</v>
      </c>
      <c r="L52" s="67"/>
      <c r="M52" s="67">
        <f>K52-F52</f>
        <v>1.3465653331386136</v>
      </c>
      <c r="N52" s="90">
        <f>K52/F52-1</f>
        <v>0.02466688648357973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15.99</v>
      </c>
      <c r="H57" s="25" t="s">
        <v>13</v>
      </c>
      <c r="I57" s="33" t="s">
        <v>77</v>
      </c>
      <c r="J57" s="33" t="s">
        <v>77</v>
      </c>
      <c r="K57" s="67">
        <f>K27</f>
        <v>15.99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0.0103</v>
      </c>
      <c r="F58" s="67">
        <f>D58*E58</f>
        <v>7.7250000000000005</v>
      </c>
      <c r="H58" s="25" t="s">
        <v>214</v>
      </c>
      <c r="I58">
        <f>D58</f>
        <v>750</v>
      </c>
      <c r="J58" s="106">
        <f>J28</f>
        <v>0.012993130666277228</v>
      </c>
      <c r="K58" s="67">
        <f>I58*J58</f>
        <v>9.744847999707922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73.89</v>
      </c>
      <c r="H62" t="s">
        <v>217</v>
      </c>
      <c r="K62" s="107">
        <f>SUM(K57:K60)</f>
        <v>75.90984799970792</v>
      </c>
      <c r="L62" s="67"/>
      <c r="M62" s="67">
        <f>K62-F62</f>
        <v>2.0198479997079204</v>
      </c>
      <c r="N62" s="90">
        <f>K62/F62-1</f>
        <v>0.027335877652022278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15.99</v>
      </c>
      <c r="H67" s="25" t="s">
        <v>13</v>
      </c>
      <c r="I67" s="33" t="s">
        <v>77</v>
      </c>
      <c r="J67" s="33" t="s">
        <v>77</v>
      </c>
      <c r="K67" s="67">
        <f>K27</f>
        <v>15.99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0.0103</v>
      </c>
      <c r="F68" s="67">
        <f>D68*E68</f>
        <v>10.3</v>
      </c>
      <c r="H68" s="25" t="s">
        <v>214</v>
      </c>
      <c r="I68">
        <f>D68</f>
        <v>1000</v>
      </c>
      <c r="J68" s="106">
        <f>J28</f>
        <v>0.012993130666277228</v>
      </c>
      <c r="K68" s="67">
        <f>I68*J68</f>
        <v>12.993130666277228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93.19</v>
      </c>
      <c r="H73" t="s">
        <v>217</v>
      </c>
      <c r="K73" s="107">
        <f>SUM(K67:K71)</f>
        <v>95.88313066627722</v>
      </c>
      <c r="L73" s="67"/>
      <c r="M73" s="67">
        <f>K73-F73</f>
        <v>2.693130666277227</v>
      </c>
      <c r="N73" s="90">
        <f>K73/F73-1</f>
        <v>0.02889935257299303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15.99</v>
      </c>
      <c r="H78" s="25" t="s">
        <v>13</v>
      </c>
      <c r="I78" s="33" t="s">
        <v>77</v>
      </c>
      <c r="J78" s="33" t="s">
        <v>77</v>
      </c>
      <c r="K78" s="67">
        <f>K27</f>
        <v>15.99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0.0103</v>
      </c>
      <c r="F79" s="67">
        <f>D79*E79</f>
        <v>15.450000000000001</v>
      </c>
      <c r="H79" s="25" t="s">
        <v>214</v>
      </c>
      <c r="I79">
        <f>D79</f>
        <v>1500</v>
      </c>
      <c r="J79" s="106">
        <f>J28</f>
        <v>0.012993130666277228</v>
      </c>
      <c r="K79" s="67">
        <f>I79*J79</f>
        <v>19.489695999415844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131.79000000000002</v>
      </c>
      <c r="H84" t="s">
        <v>217</v>
      </c>
      <c r="K84" s="107">
        <f>SUM(K78:K82)</f>
        <v>135.82969599941583</v>
      </c>
      <c r="L84" s="67"/>
      <c r="M84" s="67">
        <f>K84-F84</f>
        <v>4.039695999415812</v>
      </c>
      <c r="N84" s="90">
        <f>K84/F84-1</f>
        <v>0.030652522948750427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15.99</v>
      </c>
      <c r="H89" s="25" t="s">
        <v>13</v>
      </c>
      <c r="I89" s="33" t="s">
        <v>77</v>
      </c>
      <c r="J89" s="33" t="s">
        <v>77</v>
      </c>
      <c r="K89" s="67">
        <f>K27</f>
        <v>15.99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0.0103</v>
      </c>
      <c r="F90" s="67">
        <f>D90*E90</f>
        <v>20.6</v>
      </c>
      <c r="H90" s="25" t="s">
        <v>214</v>
      </c>
      <c r="I90">
        <f>D90</f>
        <v>2000</v>
      </c>
      <c r="J90" s="106">
        <f>J28</f>
        <v>0.012993130666277228</v>
      </c>
      <c r="K90" s="67">
        <f>I90*J90</f>
        <v>25.986261332554456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170.39000000000001</v>
      </c>
      <c r="H95" t="s">
        <v>217</v>
      </c>
      <c r="K95" s="107">
        <f>SUM(K89:K93)</f>
        <v>175.77626133255447</v>
      </c>
      <c r="L95" s="67"/>
      <c r="M95" s="67">
        <f>K95-F95</f>
        <v>5.386261332554454</v>
      </c>
      <c r="N95" s="90">
        <f>K95/F95-1</f>
        <v>0.031611369989755556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229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94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103</v>
      </c>
      <c r="F108" s="93" t="s">
        <v>71</v>
      </c>
      <c r="I108" s="92"/>
      <c r="J108" s="92" t="s">
        <v>103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8">
        <f>'9. Service Charge Adj.'!E23</f>
        <v>24.37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24.37</v>
      </c>
      <c r="L109" s="67"/>
      <c r="M109" s="67"/>
    </row>
    <row r="110" spans="3:13" ht="25.5">
      <c r="C110" s="25" t="s">
        <v>214</v>
      </c>
      <c r="D110">
        <v>1000</v>
      </c>
      <c r="E110" s="205">
        <v>0.0081</v>
      </c>
      <c r="F110" s="67">
        <f>D110*E110</f>
        <v>8.1</v>
      </c>
      <c r="H110" s="25" t="s">
        <v>214</v>
      </c>
      <c r="I110">
        <f>D110</f>
        <v>1000</v>
      </c>
      <c r="J110" s="106">
        <f>'10. 2004 Rate Schedule '!F23</f>
        <v>0.009760199144416986</v>
      </c>
      <c r="K110" s="67">
        <f>I110*J110</f>
        <v>9.760199144416985</v>
      </c>
      <c r="L110" s="67"/>
      <c r="M110" s="67"/>
    </row>
    <row r="111" spans="3:13" ht="30" customHeight="1">
      <c r="C111" s="25" t="s">
        <v>215</v>
      </c>
      <c r="D111">
        <v>1000</v>
      </c>
      <c r="E111" s="206">
        <v>0.0229</v>
      </c>
      <c r="F111" s="67">
        <f>D111*E111</f>
        <v>22.9</v>
      </c>
      <c r="H111" s="25" t="s">
        <v>215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221</v>
      </c>
      <c r="D112">
        <f>D110</f>
        <v>1000</v>
      </c>
      <c r="E112" s="86">
        <v>0.043</v>
      </c>
      <c r="F112" s="67">
        <f>D112*E112</f>
        <v>43</v>
      </c>
      <c r="H112" s="25" t="s">
        <v>221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212</v>
      </c>
      <c r="F114" s="107">
        <f>SUM(F109:F112)</f>
        <v>98.37</v>
      </c>
      <c r="H114" t="s">
        <v>217</v>
      </c>
      <c r="K114" s="107">
        <f>SUM(K109:K112)</f>
        <v>100.03019914441698</v>
      </c>
      <c r="L114" s="67"/>
      <c r="M114" s="67">
        <f>K114-F114</f>
        <v>1.6601991444169784</v>
      </c>
      <c r="N114" s="90">
        <f>K114/F114-1</f>
        <v>0.016877087978214744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24.37</v>
      </c>
      <c r="H119" s="25" t="s">
        <v>13</v>
      </c>
      <c r="I119" s="33" t="s">
        <v>77</v>
      </c>
      <c r="J119" s="33" t="s">
        <v>77</v>
      </c>
      <c r="K119" s="67">
        <f>K109</f>
        <v>24.37</v>
      </c>
      <c r="L119" s="67"/>
      <c r="M119" s="67"/>
    </row>
    <row r="120" spans="3:13" ht="25.5">
      <c r="C120" s="25" t="s">
        <v>214</v>
      </c>
      <c r="D120">
        <v>2000</v>
      </c>
      <c r="E120" s="86">
        <f>E110</f>
        <v>0.0081</v>
      </c>
      <c r="F120" s="67">
        <f>D120*E120</f>
        <v>16.2</v>
      </c>
      <c r="H120" s="25" t="s">
        <v>214</v>
      </c>
      <c r="I120">
        <f>D120</f>
        <v>2000</v>
      </c>
      <c r="J120" s="106">
        <f>J110</f>
        <v>0.009760199144416986</v>
      </c>
      <c r="K120" s="67">
        <f>I120*J120</f>
        <v>19.52039828883397</v>
      </c>
      <c r="L120" s="67"/>
      <c r="M120" s="67"/>
    </row>
    <row r="121" spans="3:13" ht="25.5" customHeight="1">
      <c r="C121" s="25" t="s">
        <v>215</v>
      </c>
      <c r="D121">
        <v>2000</v>
      </c>
      <c r="E121" s="86">
        <f>E111</f>
        <v>0.0229</v>
      </c>
      <c r="F121" s="67">
        <f>D121*E121</f>
        <v>45.8</v>
      </c>
      <c r="H121" s="25" t="s">
        <v>215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221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212</v>
      </c>
      <c r="F124" s="107">
        <f>SUM(F119:F122)</f>
        <v>172.37</v>
      </c>
      <c r="H124" t="s">
        <v>217</v>
      </c>
      <c r="K124" s="107">
        <f>SUM(K119:K122)</f>
        <v>175.69039828883396</v>
      </c>
      <c r="L124" s="67"/>
      <c r="M124" s="67">
        <f>K124-F124</f>
        <v>3.3203982888339567</v>
      </c>
      <c r="N124" s="90">
        <f>K124/F124-1</f>
        <v>0.01926320292878092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4" t="s">
        <v>76</v>
      </c>
      <c r="E128" s="92" t="s">
        <v>103</v>
      </c>
      <c r="F128" s="93" t="s">
        <v>71</v>
      </c>
      <c r="I128" s="92"/>
      <c r="J128" s="92" t="s">
        <v>103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24.37</v>
      </c>
      <c r="H129" s="25" t="s">
        <v>13</v>
      </c>
      <c r="I129" s="33" t="s">
        <v>77</v>
      </c>
      <c r="J129" s="33" t="s">
        <v>77</v>
      </c>
      <c r="K129" s="67">
        <f>K109</f>
        <v>24.37</v>
      </c>
      <c r="L129" s="67"/>
      <c r="M129" s="67"/>
    </row>
    <row r="130" spans="3:13" ht="25.5">
      <c r="C130" s="25" t="s">
        <v>214</v>
      </c>
      <c r="D130">
        <v>5000</v>
      </c>
      <c r="E130" s="86">
        <f>E110</f>
        <v>0.0081</v>
      </c>
      <c r="F130" s="67">
        <f>D130*E130</f>
        <v>40.5</v>
      </c>
      <c r="H130" s="25" t="s">
        <v>214</v>
      </c>
      <c r="I130">
        <f>D130</f>
        <v>5000</v>
      </c>
      <c r="J130" s="106">
        <f>J110</f>
        <v>0.009760199144416986</v>
      </c>
      <c r="K130" s="67">
        <f>I130*J130</f>
        <v>48.80099572208493</v>
      </c>
      <c r="L130" s="67"/>
      <c r="M130" s="67"/>
    </row>
    <row r="131" spans="3:13" ht="30" customHeight="1">
      <c r="C131" s="25" t="s">
        <v>215</v>
      </c>
      <c r="D131">
        <v>5000</v>
      </c>
      <c r="E131" s="86">
        <f>E111</f>
        <v>0.0229</v>
      </c>
      <c r="F131" s="67">
        <f>D131*E131</f>
        <v>114.5</v>
      </c>
      <c r="H131" s="25" t="s">
        <v>215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221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221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212</v>
      </c>
      <c r="F134" s="107">
        <f>SUM(F129:F132)</f>
        <v>394.37</v>
      </c>
      <c r="H134" t="s">
        <v>217</v>
      </c>
      <c r="K134" s="107">
        <f>SUM(K129:K132)</f>
        <v>402.67099572208485</v>
      </c>
      <c r="L134" s="67"/>
      <c r="M134" s="67">
        <f>K134-F134</f>
        <v>8.30099572208485</v>
      </c>
      <c r="N134" s="90">
        <f>K134/F134-1</f>
        <v>0.02104875046804988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93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4" t="s">
        <v>76</v>
      </c>
      <c r="E138" s="92" t="s">
        <v>103</v>
      </c>
      <c r="F138" s="93" t="s">
        <v>71</v>
      </c>
      <c r="I138" s="92"/>
      <c r="J138" s="92" t="s">
        <v>103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24.37</v>
      </c>
      <c r="H139" s="25" t="s">
        <v>13</v>
      </c>
      <c r="I139" s="33" t="s">
        <v>77</v>
      </c>
      <c r="J139" s="33" t="s">
        <v>77</v>
      </c>
      <c r="K139" s="67">
        <f>K109</f>
        <v>24.37</v>
      </c>
      <c r="L139" s="67"/>
      <c r="M139" s="67"/>
    </row>
    <row r="140" spans="3:13" ht="25.5">
      <c r="C140" s="25" t="s">
        <v>214</v>
      </c>
      <c r="D140">
        <v>10000</v>
      </c>
      <c r="E140" s="86">
        <f>E110</f>
        <v>0.0081</v>
      </c>
      <c r="F140" s="67">
        <f>D140*E140</f>
        <v>81</v>
      </c>
      <c r="H140" s="25" t="s">
        <v>214</v>
      </c>
      <c r="I140">
        <f>D140</f>
        <v>10000</v>
      </c>
      <c r="J140" s="106">
        <f>J110</f>
        <v>0.009760199144416986</v>
      </c>
      <c r="K140" s="67">
        <f>I140*J140</f>
        <v>97.60199144416985</v>
      </c>
      <c r="L140" s="67"/>
      <c r="M140" s="67"/>
    </row>
    <row r="141" spans="3:13" ht="27" customHeight="1">
      <c r="C141" s="25" t="s">
        <v>215</v>
      </c>
      <c r="D141">
        <v>10000</v>
      </c>
      <c r="E141" s="86">
        <f>E111</f>
        <v>0.0229</v>
      </c>
      <c r="F141" s="67">
        <f>D141*E141</f>
        <v>229</v>
      </c>
      <c r="H141" s="25" t="s">
        <v>215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221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221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212</v>
      </c>
      <c r="F144" s="107">
        <f>SUM(F139:F142)</f>
        <v>764.3699999999999</v>
      </c>
      <c r="H144" t="s">
        <v>217</v>
      </c>
      <c r="K144" s="107">
        <f>SUM(K139:K142)</f>
        <v>780.9719914441698</v>
      </c>
      <c r="L144" s="67"/>
      <c r="M144" s="67">
        <f>K144-F144</f>
        <v>16.601991444169926</v>
      </c>
      <c r="N144" s="90">
        <f>K144/F144-1</f>
        <v>0.021719836524418668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93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230</v>
      </c>
      <c r="D148" s="94" t="s">
        <v>76</v>
      </c>
      <c r="E148" s="92" t="s">
        <v>103</v>
      </c>
      <c r="F148" s="93" t="s">
        <v>71</v>
      </c>
      <c r="I148" s="92"/>
      <c r="J148" s="92" t="s">
        <v>103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24.37</v>
      </c>
      <c r="H149" s="25" t="s">
        <v>13</v>
      </c>
      <c r="I149" s="33" t="s">
        <v>77</v>
      </c>
      <c r="J149" s="33" t="s">
        <v>77</v>
      </c>
      <c r="K149" s="67">
        <f>K109</f>
        <v>24.37</v>
      </c>
      <c r="L149" s="67"/>
      <c r="M149" s="67"/>
    </row>
    <row r="150" spans="3:13" ht="25.5">
      <c r="C150" s="25" t="s">
        <v>214</v>
      </c>
      <c r="D150">
        <v>15000</v>
      </c>
      <c r="E150" s="86">
        <f>E110</f>
        <v>0.0081</v>
      </c>
      <c r="F150" s="67">
        <f>D150*E150</f>
        <v>121.5</v>
      </c>
      <c r="H150" s="25" t="s">
        <v>214</v>
      </c>
      <c r="I150">
        <f>D150</f>
        <v>15000</v>
      </c>
      <c r="J150" s="106">
        <f>J110</f>
        <v>0.009760199144416986</v>
      </c>
      <c r="K150" s="67">
        <f>I150*J150</f>
        <v>146.4029871662548</v>
      </c>
      <c r="L150" s="67"/>
      <c r="M150" s="67"/>
    </row>
    <row r="151" spans="3:13" ht="27" customHeight="1">
      <c r="C151" s="25" t="s">
        <v>215</v>
      </c>
      <c r="D151">
        <v>15000</v>
      </c>
      <c r="E151" s="86">
        <f>E111</f>
        <v>0.0229</v>
      </c>
      <c r="F151" s="67">
        <f>D151*E151</f>
        <v>343.5</v>
      </c>
      <c r="H151" s="25" t="s">
        <v>215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221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221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212</v>
      </c>
      <c r="F154" s="107">
        <f>SUM(F149:F152)</f>
        <v>1134.37</v>
      </c>
      <c r="H154" t="s">
        <v>217</v>
      </c>
      <c r="K154" s="107">
        <f>SUM(K149:K152)</f>
        <v>1159.2729871662548</v>
      </c>
      <c r="L154" s="67"/>
      <c r="M154" s="67">
        <f>K154-F154</f>
        <v>24.90298716625489</v>
      </c>
      <c r="N154" s="90">
        <f>K154/F154-1</f>
        <v>0.02195314330091147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234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235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319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236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212</v>
      </c>
      <c r="D165" s="48"/>
      <c r="E165" s="48"/>
      <c r="F165" s="48"/>
      <c r="H165" s="97" t="s">
        <v>229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239</v>
      </c>
      <c r="E167" s="92" t="s">
        <v>68</v>
      </c>
      <c r="F167" s="93" t="s">
        <v>69</v>
      </c>
      <c r="I167" s="92" t="s">
        <v>239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240</v>
      </c>
      <c r="F168" s="93" t="s">
        <v>71</v>
      </c>
      <c r="I168" s="92"/>
      <c r="J168" s="92" t="s">
        <v>240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8">
        <f>'9. Service Charge Adj.'!E24</f>
        <v>163.46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163.46</v>
      </c>
      <c r="L169" s="67"/>
      <c r="M169" s="67"/>
    </row>
    <row r="170" spans="3:13" ht="25.5">
      <c r="C170" s="25" t="s">
        <v>104</v>
      </c>
      <c r="D170">
        <v>60</v>
      </c>
      <c r="E170" s="205">
        <v>2.8726</v>
      </c>
      <c r="F170" s="67">
        <f>D170*E170</f>
        <v>172.356</v>
      </c>
      <c r="H170" s="25" t="s">
        <v>104</v>
      </c>
      <c r="I170">
        <v>60</v>
      </c>
      <c r="J170" s="106">
        <f>'10. 2004 Rate Schedule '!F29</f>
        <v>3.303052193655666</v>
      </c>
      <c r="K170" s="67">
        <f>I170*J170</f>
        <v>198.18313161933995</v>
      </c>
      <c r="L170" s="67"/>
      <c r="M170" s="67"/>
    </row>
    <row r="171" spans="3:13" ht="25.5">
      <c r="C171" s="25" t="s">
        <v>232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232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215</v>
      </c>
      <c r="D172" s="12">
        <v>15000</v>
      </c>
      <c r="E172" s="86">
        <v>0.0132</v>
      </c>
      <c r="F172" s="67">
        <f>D172*E172</f>
        <v>198</v>
      </c>
      <c r="H172" s="25" t="s">
        <v>215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233</v>
      </c>
      <c r="D173" s="12">
        <f>D172</f>
        <v>15000</v>
      </c>
      <c r="E173" s="86">
        <v>0.055</v>
      </c>
      <c r="F173" s="67">
        <f>D173*E173</f>
        <v>825</v>
      </c>
      <c r="H173" s="25" t="s">
        <v>233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212</v>
      </c>
      <c r="F175" s="107">
        <f>SUM(F169:F173)</f>
        <v>1593.4160000000002</v>
      </c>
      <c r="H175" t="s">
        <v>217</v>
      </c>
      <c r="K175" s="107">
        <f>SUM(K169:K173)</f>
        <v>1619.24313161934</v>
      </c>
      <c r="L175" s="67"/>
      <c r="M175" s="67">
        <f>K175-F175</f>
        <v>25.827131619339752</v>
      </c>
      <c r="N175" s="90">
        <f>K175/F175-1</f>
        <v>0.016208655881037703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93</v>
      </c>
      <c r="B179" s="4"/>
      <c r="D179" s="92" t="s">
        <v>239</v>
      </c>
      <c r="E179" s="92" t="s">
        <v>68</v>
      </c>
      <c r="F179" s="93" t="s">
        <v>69</v>
      </c>
      <c r="I179" s="92" t="s">
        <v>239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4" t="s">
        <v>76</v>
      </c>
      <c r="E180" s="92" t="s">
        <v>240</v>
      </c>
      <c r="F180" s="93" t="s">
        <v>71</v>
      </c>
      <c r="I180" s="92"/>
      <c r="J180" s="92" t="s">
        <v>240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163.46</v>
      </c>
      <c r="H181" s="25" t="s">
        <v>13</v>
      </c>
      <c r="I181" s="33" t="s">
        <v>77</v>
      </c>
      <c r="J181" s="33" t="s">
        <v>77</v>
      </c>
      <c r="K181" s="67">
        <f>K169</f>
        <v>163.46</v>
      </c>
      <c r="L181" s="67"/>
      <c r="M181" s="67"/>
    </row>
    <row r="182" spans="3:13" ht="25.5">
      <c r="C182" s="25" t="s">
        <v>237</v>
      </c>
      <c r="D182">
        <v>100</v>
      </c>
      <c r="E182" s="86">
        <f>E170</f>
        <v>2.8726</v>
      </c>
      <c r="F182" s="67">
        <f>D182*E182</f>
        <v>287.26</v>
      </c>
      <c r="H182" s="25" t="s">
        <v>237</v>
      </c>
      <c r="I182">
        <f>D182</f>
        <v>100</v>
      </c>
      <c r="J182" s="106">
        <f>J170</f>
        <v>3.303052193655666</v>
      </c>
      <c r="K182" s="67">
        <f>I182*J182</f>
        <v>330.3052193655666</v>
      </c>
      <c r="L182" s="67"/>
      <c r="M182" s="67"/>
    </row>
    <row r="183" spans="3:13" ht="24.75" customHeight="1">
      <c r="C183" s="25" t="s">
        <v>232</v>
      </c>
      <c r="D183">
        <f>D182</f>
        <v>100</v>
      </c>
      <c r="E183" s="86">
        <v>3.91</v>
      </c>
      <c r="F183" s="67">
        <f>D183*E183</f>
        <v>391</v>
      </c>
      <c r="H183" s="25" t="s">
        <v>232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215</v>
      </c>
      <c r="D184" s="12">
        <v>40000</v>
      </c>
      <c r="E184" s="86">
        <v>0.0132</v>
      </c>
      <c r="F184" s="67">
        <f>D184*E184</f>
        <v>528</v>
      </c>
      <c r="H184" s="25" t="s">
        <v>215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233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233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212</v>
      </c>
      <c r="F187" s="107">
        <f>SUM(F181:F185)</f>
        <v>3569.7200000000003</v>
      </c>
      <c r="H187" t="s">
        <v>217</v>
      </c>
      <c r="K187" s="107">
        <f>SUM(K181:K185)</f>
        <v>3612.7652193655667</v>
      </c>
      <c r="L187" s="67"/>
      <c r="M187" s="67">
        <f>K187-F187</f>
        <v>43.04521936556648</v>
      </c>
      <c r="N187" s="90">
        <f>K187/F187-1</f>
        <v>0.012058430175354573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93</v>
      </c>
      <c r="B191" s="4"/>
      <c r="D191" s="92" t="s">
        <v>239</v>
      </c>
      <c r="E191" s="92" t="s">
        <v>68</v>
      </c>
      <c r="F191" s="93" t="s">
        <v>69</v>
      </c>
      <c r="I191" s="92" t="s">
        <v>239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4" t="s">
        <v>76</v>
      </c>
      <c r="E192" s="92" t="s">
        <v>240</v>
      </c>
      <c r="F192" s="93" t="s">
        <v>71</v>
      </c>
      <c r="I192" s="92"/>
      <c r="J192" s="92" t="s">
        <v>240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163.46</v>
      </c>
      <c r="H193" s="25" t="s">
        <v>13</v>
      </c>
      <c r="I193" s="33" t="s">
        <v>77</v>
      </c>
      <c r="J193" s="33" t="s">
        <v>77</v>
      </c>
      <c r="K193" s="67">
        <f>K169</f>
        <v>163.46</v>
      </c>
      <c r="L193" s="67"/>
      <c r="M193" s="67"/>
    </row>
    <row r="194" spans="3:13" ht="25.5">
      <c r="C194" s="25" t="s">
        <v>237</v>
      </c>
      <c r="D194">
        <v>500</v>
      </c>
      <c r="E194" s="86">
        <f>E170</f>
        <v>2.8726</v>
      </c>
      <c r="F194" s="67">
        <f>D194*E194</f>
        <v>1436.3</v>
      </c>
      <c r="H194" s="25" t="s">
        <v>237</v>
      </c>
      <c r="I194">
        <f>D194</f>
        <v>500</v>
      </c>
      <c r="J194" s="106">
        <f>J170</f>
        <v>3.303052193655666</v>
      </c>
      <c r="K194" s="67">
        <f>I194*J194</f>
        <v>1651.5260968278328</v>
      </c>
      <c r="L194" s="67"/>
      <c r="M194" s="67"/>
    </row>
    <row r="195" spans="3:13" ht="27.75" customHeight="1">
      <c r="C195" s="25" t="s">
        <v>232</v>
      </c>
      <c r="D195">
        <f>D194</f>
        <v>500</v>
      </c>
      <c r="E195" s="86">
        <v>3.91</v>
      </c>
      <c r="F195" s="67">
        <f>D195*E195</f>
        <v>1955</v>
      </c>
      <c r="H195" s="25" t="s">
        <v>232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215</v>
      </c>
      <c r="D196" s="12">
        <v>100000</v>
      </c>
      <c r="E196" s="86">
        <v>0.0132</v>
      </c>
      <c r="F196" s="67">
        <f>D196*E196</f>
        <v>1320</v>
      </c>
      <c r="H196" s="25" t="s">
        <v>215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233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233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212</v>
      </c>
      <c r="F199" s="107">
        <f>SUM(F193:F197)</f>
        <v>10374.76</v>
      </c>
      <c r="H199" t="s">
        <v>217</v>
      </c>
      <c r="K199" s="107">
        <f>SUM(K193:K197)</f>
        <v>10589.986096827834</v>
      </c>
      <c r="L199" s="67"/>
      <c r="M199" s="67">
        <f>K199-F199</f>
        <v>215.22609682783332</v>
      </c>
      <c r="N199" s="90">
        <f>K199/F199-1</f>
        <v>0.020745163919727583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93</v>
      </c>
      <c r="B203" s="4"/>
      <c r="D203" s="92" t="s">
        <v>239</v>
      </c>
      <c r="E203" s="92" t="s">
        <v>68</v>
      </c>
      <c r="F203" s="93" t="s">
        <v>69</v>
      </c>
      <c r="I203" s="92" t="s">
        <v>239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4" t="s">
        <v>76</v>
      </c>
      <c r="E204" s="92" t="s">
        <v>240</v>
      </c>
      <c r="F204" s="93" t="s">
        <v>71</v>
      </c>
      <c r="I204" s="92"/>
      <c r="J204" s="92" t="s">
        <v>240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163.46</v>
      </c>
      <c r="H205" s="25" t="s">
        <v>13</v>
      </c>
      <c r="I205" s="33" t="s">
        <v>77</v>
      </c>
      <c r="J205" s="33" t="s">
        <v>77</v>
      </c>
      <c r="K205" s="67">
        <f>K169</f>
        <v>163.46</v>
      </c>
      <c r="L205" s="67"/>
      <c r="M205" s="67"/>
    </row>
    <row r="206" spans="3:13" ht="25.5">
      <c r="C206" s="25" t="s">
        <v>237</v>
      </c>
      <c r="D206">
        <v>1000</v>
      </c>
      <c r="E206" s="86">
        <f>E170</f>
        <v>2.8726</v>
      </c>
      <c r="F206" s="67">
        <f>D206*E206</f>
        <v>2872.6</v>
      </c>
      <c r="H206" s="25" t="s">
        <v>237</v>
      </c>
      <c r="I206">
        <f>D206</f>
        <v>1000</v>
      </c>
      <c r="J206" s="106">
        <f>J170</f>
        <v>3.303052193655666</v>
      </c>
      <c r="K206" s="67">
        <f>I206*J206</f>
        <v>3303.0521936556656</v>
      </c>
      <c r="L206" s="67"/>
      <c r="M206" s="67"/>
    </row>
    <row r="207" spans="3:13" ht="30" customHeight="1">
      <c r="C207" s="25" t="s">
        <v>232</v>
      </c>
      <c r="D207">
        <f>D206</f>
        <v>1000</v>
      </c>
      <c r="E207" s="86">
        <v>3.91</v>
      </c>
      <c r="F207" s="67">
        <f>D207*E207</f>
        <v>3910</v>
      </c>
      <c r="H207" s="25" t="s">
        <v>232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215</v>
      </c>
      <c r="D208" s="130">
        <v>400000</v>
      </c>
      <c r="E208" s="86">
        <v>0.0132</v>
      </c>
      <c r="F208" s="67">
        <f>D208*E208</f>
        <v>5280</v>
      </c>
      <c r="H208" s="25" t="s">
        <v>215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233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233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212</v>
      </c>
      <c r="F211" s="107">
        <f>SUM(F205:F209)</f>
        <v>34226.06</v>
      </c>
      <c r="H211" t="s">
        <v>217</v>
      </c>
      <c r="K211" s="107">
        <f>SUM(K205:K209)</f>
        <v>34656.51219365567</v>
      </c>
      <c r="L211" s="67"/>
      <c r="M211" s="67">
        <f>K211-F211</f>
        <v>430.45219365567027</v>
      </c>
      <c r="N211" s="90">
        <f>K211/F211-1</f>
        <v>0.012576738124565612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93</v>
      </c>
      <c r="B215" s="4"/>
      <c r="D215" s="92" t="s">
        <v>239</v>
      </c>
      <c r="E215" s="92" t="s">
        <v>68</v>
      </c>
      <c r="F215" s="93" t="s">
        <v>69</v>
      </c>
      <c r="I215" s="92" t="s">
        <v>239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4" t="s">
        <v>76</v>
      </c>
      <c r="E216" s="92" t="s">
        <v>240</v>
      </c>
      <c r="F216" s="93" t="s">
        <v>71</v>
      </c>
      <c r="I216" s="92"/>
      <c r="J216" s="92" t="s">
        <v>240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163.46</v>
      </c>
      <c r="H217" s="25" t="s">
        <v>13</v>
      </c>
      <c r="I217" s="33" t="s">
        <v>77</v>
      </c>
      <c r="J217" s="33" t="s">
        <v>77</v>
      </c>
      <c r="K217" s="67">
        <f>K169</f>
        <v>163.46</v>
      </c>
      <c r="L217" s="67"/>
      <c r="M217" s="67"/>
    </row>
    <row r="218" spans="3:13" ht="25.5">
      <c r="C218" s="25" t="s">
        <v>237</v>
      </c>
      <c r="D218">
        <v>3000</v>
      </c>
      <c r="E218" s="86">
        <f>E170</f>
        <v>2.8726</v>
      </c>
      <c r="F218" s="67">
        <f>D218*E218</f>
        <v>8617.8</v>
      </c>
      <c r="H218" s="25" t="s">
        <v>237</v>
      </c>
      <c r="I218">
        <f>D218</f>
        <v>3000</v>
      </c>
      <c r="J218" s="106">
        <f>J170</f>
        <v>3.303052193655666</v>
      </c>
      <c r="K218" s="67">
        <f>I218*J218</f>
        <v>9909.156580966997</v>
      </c>
      <c r="L218" s="67"/>
      <c r="M218" s="67"/>
    </row>
    <row r="219" spans="3:13" ht="27" customHeight="1">
      <c r="C219" s="25" t="s">
        <v>232</v>
      </c>
      <c r="D219">
        <f>D218</f>
        <v>3000</v>
      </c>
      <c r="E219" s="86">
        <v>3.91</v>
      </c>
      <c r="F219" s="67">
        <f>D219*E219</f>
        <v>11730</v>
      </c>
      <c r="H219" s="25" t="s">
        <v>232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215</v>
      </c>
      <c r="D220" s="12">
        <v>1000000</v>
      </c>
      <c r="E220" s="86">
        <v>0.0132</v>
      </c>
      <c r="F220" s="67">
        <f>D220*E220</f>
        <v>13200</v>
      </c>
      <c r="H220" s="25" t="s">
        <v>215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233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233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212</v>
      </c>
      <c r="F223" s="107">
        <f>SUM(F217:F221)</f>
        <v>88711.26</v>
      </c>
      <c r="H223" t="s">
        <v>217</v>
      </c>
      <c r="K223" s="107">
        <f>SUM(K217:K221)</f>
        <v>90002.616580967</v>
      </c>
      <c r="L223" s="67"/>
      <c r="M223" s="67">
        <f>K223-F223</f>
        <v>1291.3565809670108</v>
      </c>
      <c r="N223" s="90">
        <f>K223/F223-1</f>
        <v>0.014556850854863468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93</v>
      </c>
      <c r="B227" s="4"/>
      <c r="D227" s="92" t="s">
        <v>239</v>
      </c>
      <c r="E227" s="92" t="s">
        <v>68</v>
      </c>
      <c r="F227" s="93" t="s">
        <v>69</v>
      </c>
      <c r="I227" s="92" t="s">
        <v>239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4" t="s">
        <v>76</v>
      </c>
      <c r="E228" s="92" t="s">
        <v>240</v>
      </c>
      <c r="F228" s="93" t="s">
        <v>71</v>
      </c>
      <c r="I228" s="92"/>
      <c r="J228" s="92" t="s">
        <v>240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163.46</v>
      </c>
      <c r="H229" s="25" t="s">
        <v>13</v>
      </c>
      <c r="I229" s="33" t="s">
        <v>77</v>
      </c>
      <c r="J229" s="33" t="s">
        <v>77</v>
      </c>
      <c r="K229" s="67">
        <f>K169</f>
        <v>163.46</v>
      </c>
      <c r="L229" s="67"/>
      <c r="M229" s="67"/>
    </row>
    <row r="230" spans="3:13" ht="25.5">
      <c r="C230" s="25" t="s">
        <v>237</v>
      </c>
      <c r="D230">
        <v>4000</v>
      </c>
      <c r="E230" s="86">
        <f>E170</f>
        <v>2.8726</v>
      </c>
      <c r="F230" s="67">
        <f>D230*E230</f>
        <v>11490.4</v>
      </c>
      <c r="H230" s="25" t="s">
        <v>237</v>
      </c>
      <c r="I230">
        <f>D230</f>
        <v>4000</v>
      </c>
      <c r="J230" s="105">
        <f>J170</f>
        <v>3.303052193655666</v>
      </c>
      <c r="K230" s="67">
        <f>I230*J230</f>
        <v>13212.208774622663</v>
      </c>
      <c r="L230" s="67"/>
      <c r="M230" s="67"/>
    </row>
    <row r="231" spans="3:13" ht="33" customHeight="1">
      <c r="C231" s="25" t="s">
        <v>232</v>
      </c>
      <c r="D231">
        <f>D230</f>
        <v>4000</v>
      </c>
      <c r="E231" s="86">
        <v>3.91</v>
      </c>
      <c r="F231" s="67">
        <f>D231*E231</f>
        <v>15640</v>
      </c>
      <c r="H231" s="25" t="s">
        <v>232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215</v>
      </c>
      <c r="D232" s="12">
        <v>1800000</v>
      </c>
      <c r="E232" s="86">
        <v>0.0132</v>
      </c>
      <c r="F232" s="67">
        <f>D232*E232</f>
        <v>23760</v>
      </c>
      <c r="H232" s="25" t="s">
        <v>215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233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233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212</v>
      </c>
      <c r="F235" s="107">
        <f>SUM(F229:F233)</f>
        <v>150053.86</v>
      </c>
      <c r="H235" t="s">
        <v>217</v>
      </c>
      <c r="K235" s="107">
        <f>SUM(K229:K233)</f>
        <v>151775.66877462267</v>
      </c>
      <c r="L235" s="67"/>
      <c r="M235" s="67">
        <f>K235-F235</f>
        <v>1721.808774622681</v>
      </c>
      <c r="N235" s="90">
        <f>K235/F235-1</f>
        <v>0.011474605015976858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241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235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319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236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212</v>
      </c>
      <c r="D245" s="48"/>
      <c r="E245" s="48"/>
      <c r="F245" s="48"/>
      <c r="H245" s="97" t="s">
        <v>229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239</v>
      </c>
      <c r="E248" s="92" t="s">
        <v>68</v>
      </c>
      <c r="F248" s="93" t="s">
        <v>69</v>
      </c>
      <c r="I248" s="92" t="s">
        <v>239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240</v>
      </c>
      <c r="F249" s="93" t="s">
        <v>71</v>
      </c>
      <c r="I249" s="92"/>
      <c r="J249" s="92" t="s">
        <v>240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8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0</v>
      </c>
      <c r="L250" s="67"/>
      <c r="M250" s="67"/>
    </row>
    <row r="251" spans="3:13" ht="25.5">
      <c r="C251" s="25" t="s">
        <v>104</v>
      </c>
      <c r="D251">
        <v>60</v>
      </c>
      <c r="E251" s="205">
        <v>0</v>
      </c>
      <c r="F251" s="67">
        <f>D251*E251</f>
        <v>0</v>
      </c>
      <c r="H251" s="25" t="s">
        <v>104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232</v>
      </c>
      <c r="D252">
        <f>D251</f>
        <v>60</v>
      </c>
      <c r="E252" s="86">
        <v>4.2138</v>
      </c>
      <c r="F252" s="67">
        <f>D252*E252</f>
        <v>252.828</v>
      </c>
      <c r="H252" s="25" t="s">
        <v>232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215</v>
      </c>
      <c r="D253" s="12">
        <v>15000</v>
      </c>
      <c r="E253" s="86">
        <v>0.0132</v>
      </c>
      <c r="F253" s="67">
        <f>D253*E253</f>
        <v>198</v>
      </c>
      <c r="H253" s="25" t="s">
        <v>215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233</v>
      </c>
      <c r="D254" s="12">
        <f>D253</f>
        <v>15000</v>
      </c>
      <c r="E254" s="86">
        <v>0.055</v>
      </c>
      <c r="F254" s="67">
        <f>D254*E254</f>
        <v>825</v>
      </c>
      <c r="H254" s="25" t="s">
        <v>233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212</v>
      </c>
      <c r="F256" s="107">
        <f>SUM(F250:F254)</f>
        <v>1275.828</v>
      </c>
      <c r="H256" t="s">
        <v>217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93</v>
      </c>
      <c r="B260" s="4"/>
      <c r="D260" s="92" t="s">
        <v>239</v>
      </c>
      <c r="E260" s="92" t="s">
        <v>68</v>
      </c>
      <c r="F260" s="93" t="s">
        <v>69</v>
      </c>
      <c r="I260" s="92" t="s">
        <v>239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4" t="s">
        <v>76</v>
      </c>
      <c r="E261" s="92" t="s">
        <v>240</v>
      </c>
      <c r="F261" s="93" t="s">
        <v>71</v>
      </c>
      <c r="I261" s="92"/>
      <c r="J261" s="92" t="s">
        <v>240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0</v>
      </c>
      <c r="H262" s="25" t="s">
        <v>13</v>
      </c>
      <c r="I262" s="33" t="s">
        <v>77</v>
      </c>
      <c r="J262" s="33" t="s">
        <v>77</v>
      </c>
      <c r="K262" s="67">
        <f>K250</f>
        <v>0</v>
      </c>
      <c r="L262" s="67"/>
      <c r="M262" s="67"/>
    </row>
    <row r="263" spans="3:13" ht="25.5">
      <c r="C263" s="25" t="s">
        <v>237</v>
      </c>
      <c r="D263">
        <v>100</v>
      </c>
      <c r="E263" s="86">
        <f>E251</f>
        <v>0</v>
      </c>
      <c r="F263" s="67">
        <f>D263*E263</f>
        <v>0</v>
      </c>
      <c r="H263" s="25" t="s">
        <v>237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232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232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215</v>
      </c>
      <c r="D265" s="12">
        <v>40000</v>
      </c>
      <c r="E265" s="86">
        <v>0.0132</v>
      </c>
      <c r="F265" s="67">
        <f>D265*E265</f>
        <v>528</v>
      </c>
      <c r="H265" s="25" t="s">
        <v>215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233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233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212</v>
      </c>
      <c r="F268" s="107">
        <f>SUM(F262:F266)</f>
        <v>3149.38</v>
      </c>
      <c r="H268" t="s">
        <v>217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93</v>
      </c>
      <c r="B272" s="4"/>
      <c r="D272" s="92" t="s">
        <v>239</v>
      </c>
      <c r="E272" s="92" t="s">
        <v>68</v>
      </c>
      <c r="F272" s="93" t="s">
        <v>69</v>
      </c>
      <c r="I272" s="92" t="s">
        <v>239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4" t="s">
        <v>76</v>
      </c>
      <c r="E273" s="92" t="s">
        <v>240</v>
      </c>
      <c r="F273" s="93" t="s">
        <v>71</v>
      </c>
      <c r="I273" s="92"/>
      <c r="J273" s="92" t="s">
        <v>240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0</v>
      </c>
      <c r="H274" s="25" t="s">
        <v>13</v>
      </c>
      <c r="I274" s="33" t="s">
        <v>77</v>
      </c>
      <c r="J274" s="33" t="s">
        <v>77</v>
      </c>
      <c r="K274" s="67">
        <f>K250</f>
        <v>0</v>
      </c>
      <c r="L274" s="67"/>
      <c r="M274" s="67"/>
    </row>
    <row r="275" spans="3:13" ht="25.5">
      <c r="C275" s="25" t="s">
        <v>237</v>
      </c>
      <c r="D275">
        <v>500</v>
      </c>
      <c r="E275" s="86">
        <f>E251</f>
        <v>0</v>
      </c>
      <c r="F275" s="67">
        <f>D275*E275</f>
        <v>0</v>
      </c>
      <c r="H275" s="25" t="s">
        <v>237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232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232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215</v>
      </c>
      <c r="D277" s="12">
        <v>100000</v>
      </c>
      <c r="E277" s="86">
        <v>0.0132</v>
      </c>
      <c r="F277" s="67">
        <f>D277*E277</f>
        <v>1320</v>
      </c>
      <c r="H277" s="25" t="s">
        <v>215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233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233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212</v>
      </c>
      <c r="F280" s="107">
        <f>SUM(F274:F278)</f>
        <v>8926.9</v>
      </c>
      <c r="H280" t="s">
        <v>217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93</v>
      </c>
      <c r="B284" s="4"/>
      <c r="D284" s="92" t="s">
        <v>239</v>
      </c>
      <c r="E284" s="92" t="s">
        <v>68</v>
      </c>
      <c r="F284" s="93" t="s">
        <v>69</v>
      </c>
      <c r="I284" s="92" t="s">
        <v>239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4" t="s">
        <v>76</v>
      </c>
      <c r="E285" s="92" t="s">
        <v>240</v>
      </c>
      <c r="F285" s="93" t="s">
        <v>71</v>
      </c>
      <c r="I285" s="92"/>
      <c r="J285" s="92" t="s">
        <v>240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0</v>
      </c>
      <c r="H286" s="25" t="s">
        <v>13</v>
      </c>
      <c r="I286" s="33" t="s">
        <v>77</v>
      </c>
      <c r="J286" s="33" t="s">
        <v>77</v>
      </c>
      <c r="K286" s="67">
        <f>K250</f>
        <v>0</v>
      </c>
      <c r="L286" s="67"/>
      <c r="M286" s="67"/>
    </row>
    <row r="287" spans="3:13" ht="25.5">
      <c r="C287" s="25" t="s">
        <v>237</v>
      </c>
      <c r="D287">
        <v>1000</v>
      </c>
      <c r="E287" s="86">
        <f>E251</f>
        <v>0</v>
      </c>
      <c r="F287" s="67">
        <f>D287*E287</f>
        <v>0</v>
      </c>
      <c r="H287" s="25" t="s">
        <v>237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232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232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215</v>
      </c>
      <c r="D289" s="130">
        <v>400000</v>
      </c>
      <c r="E289" s="86">
        <v>0.0132</v>
      </c>
      <c r="F289" s="67">
        <f>D289*E289</f>
        <v>5280</v>
      </c>
      <c r="H289" s="25" t="s">
        <v>215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233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233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212</v>
      </c>
      <c r="F292" s="107">
        <f>SUM(F286:F290)</f>
        <v>31493.8</v>
      </c>
      <c r="H292" t="s">
        <v>217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93</v>
      </c>
      <c r="B296" s="4"/>
      <c r="D296" s="92" t="s">
        <v>239</v>
      </c>
      <c r="E296" s="92" t="s">
        <v>68</v>
      </c>
      <c r="F296" s="93" t="s">
        <v>69</v>
      </c>
      <c r="I296" s="92" t="s">
        <v>239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4" t="s">
        <v>76</v>
      </c>
      <c r="E297" s="92" t="s">
        <v>240</v>
      </c>
      <c r="F297" s="93" t="s">
        <v>71</v>
      </c>
      <c r="I297" s="92"/>
      <c r="J297" s="92" t="s">
        <v>240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0</v>
      </c>
      <c r="H298" s="25" t="s">
        <v>13</v>
      </c>
      <c r="I298" s="33" t="s">
        <v>77</v>
      </c>
      <c r="J298" s="33" t="s">
        <v>77</v>
      </c>
      <c r="K298" s="67">
        <f>K250</f>
        <v>0</v>
      </c>
      <c r="L298" s="67"/>
      <c r="M298" s="67"/>
    </row>
    <row r="299" spans="3:13" ht="25.5">
      <c r="C299" s="25" t="s">
        <v>237</v>
      </c>
      <c r="D299">
        <v>3000</v>
      </c>
      <c r="E299" s="86">
        <f>E251</f>
        <v>0</v>
      </c>
      <c r="F299" s="67">
        <f>D299*E299</f>
        <v>0</v>
      </c>
      <c r="H299" s="25" t="s">
        <v>237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232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232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215</v>
      </c>
      <c r="D301" s="12">
        <v>1000000</v>
      </c>
      <c r="E301" s="86">
        <v>0.0132</v>
      </c>
      <c r="F301" s="67">
        <f>D301*E301</f>
        <v>13200</v>
      </c>
      <c r="H301" s="25" t="s">
        <v>215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233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233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212</v>
      </c>
      <c r="F304" s="107">
        <f>SUM(F298:F302)</f>
        <v>80841.4</v>
      </c>
      <c r="H304" t="s">
        <v>217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93</v>
      </c>
      <c r="B308" s="4"/>
      <c r="D308" s="92" t="s">
        <v>239</v>
      </c>
      <c r="E308" s="92" t="s">
        <v>68</v>
      </c>
      <c r="F308" s="93" t="s">
        <v>69</v>
      </c>
      <c r="I308" s="92" t="s">
        <v>239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4" t="s">
        <v>76</v>
      </c>
      <c r="E309" s="92" t="s">
        <v>240</v>
      </c>
      <c r="F309" s="93" t="s">
        <v>71</v>
      </c>
      <c r="I309" s="92"/>
      <c r="J309" s="92" t="s">
        <v>240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0</v>
      </c>
      <c r="H310" s="25" t="s">
        <v>13</v>
      </c>
      <c r="I310" s="33" t="s">
        <v>77</v>
      </c>
      <c r="J310" s="33" t="s">
        <v>77</v>
      </c>
      <c r="K310" s="67">
        <f>K250</f>
        <v>0</v>
      </c>
      <c r="L310" s="67"/>
      <c r="M310" s="67"/>
    </row>
    <row r="311" spans="3:13" ht="25.5">
      <c r="C311" s="25" t="s">
        <v>237</v>
      </c>
      <c r="D311">
        <v>4000</v>
      </c>
      <c r="E311" s="86">
        <f>E251</f>
        <v>0</v>
      </c>
      <c r="F311" s="67">
        <f>D311*E311</f>
        <v>0</v>
      </c>
      <c r="H311" s="25" t="s">
        <v>237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232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232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215</v>
      </c>
      <c r="D313" s="12">
        <v>1800000</v>
      </c>
      <c r="E313" s="86">
        <v>0.0132</v>
      </c>
      <c r="F313" s="67">
        <f>D313*E313</f>
        <v>23760</v>
      </c>
      <c r="H313" s="25" t="s">
        <v>215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233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233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212</v>
      </c>
      <c r="F316" s="107">
        <f>SUM(F310:F314)</f>
        <v>139615.2</v>
      </c>
      <c r="H316" t="s">
        <v>217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242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241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235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319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236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212</v>
      </c>
      <c r="D328" s="48"/>
      <c r="E328" s="48"/>
      <c r="F328" s="48"/>
      <c r="H328" s="97" t="s">
        <v>229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239</v>
      </c>
      <c r="E331" s="92" t="s">
        <v>68</v>
      </c>
      <c r="F331" s="93" t="s">
        <v>69</v>
      </c>
      <c r="I331" s="92" t="s">
        <v>239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4" t="s">
        <v>76</v>
      </c>
      <c r="E332" s="92" t="s">
        <v>240</v>
      </c>
      <c r="F332" s="93" t="s">
        <v>71</v>
      </c>
      <c r="I332" s="92"/>
      <c r="J332" s="92" t="s">
        <v>240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243</v>
      </c>
      <c r="B333" s="37"/>
      <c r="C333" s="25" t="s">
        <v>13</v>
      </c>
      <c r="D333" s="33" t="s">
        <v>77</v>
      </c>
      <c r="E333" s="33" t="s">
        <v>77</v>
      </c>
      <c r="F333" s="268">
        <f>'9. Service Charge Adj.'!E26</f>
        <v>8.6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8.6</v>
      </c>
      <c r="L333" s="67"/>
      <c r="M333" s="67"/>
    </row>
    <row r="334" spans="3:13" ht="25.5">
      <c r="C334" s="25" t="s">
        <v>104</v>
      </c>
      <c r="D334">
        <v>3000</v>
      </c>
      <c r="E334" s="205">
        <v>0.044</v>
      </c>
      <c r="F334" s="67">
        <f>D334*E334</f>
        <v>132</v>
      </c>
      <c r="H334" s="25" t="s">
        <v>104</v>
      </c>
      <c r="I334">
        <f>D334</f>
        <v>3000</v>
      </c>
      <c r="J334" s="106">
        <f>'10. 2004 Rate Schedule '!F41</f>
        <v>0.04485044471229015</v>
      </c>
      <c r="K334" s="67">
        <f>I334*J334</f>
        <v>134.55133413687045</v>
      </c>
      <c r="L334" s="67"/>
      <c r="M334" s="67"/>
    </row>
    <row r="335" spans="3:13" ht="25.5">
      <c r="C335" s="25" t="s">
        <v>232</v>
      </c>
      <c r="D335">
        <f>D334</f>
        <v>3000</v>
      </c>
      <c r="E335" s="86">
        <v>4.2138</v>
      </c>
      <c r="F335" s="67">
        <f>D335*E335</f>
        <v>12641.4</v>
      </c>
      <c r="H335" s="25" t="s">
        <v>232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215</v>
      </c>
      <c r="D336" s="12">
        <v>800000</v>
      </c>
      <c r="E336" s="86">
        <v>0.0132</v>
      </c>
      <c r="F336" s="67">
        <f>D336*E336</f>
        <v>10560</v>
      </c>
      <c r="H336" s="25" t="s">
        <v>215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233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233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212</v>
      </c>
      <c r="F339" s="107">
        <f>SUM(F333:F337)</f>
        <v>67342</v>
      </c>
      <c r="H339" t="s">
        <v>217</v>
      </c>
      <c r="K339" s="107">
        <f>SUM(K333:K337)</f>
        <v>67344.55133413686</v>
      </c>
      <c r="L339" s="67"/>
      <c r="M339" s="67">
        <f>K339-F339</f>
        <v>2.5513341368641704</v>
      </c>
      <c r="N339" s="90">
        <f>K339/F339-1</f>
        <v>3.78862245977718E-05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93</v>
      </c>
      <c r="B343" s="4"/>
      <c r="D343" s="92" t="s">
        <v>239</v>
      </c>
      <c r="E343" s="92" t="s">
        <v>68</v>
      </c>
      <c r="F343" s="93" t="s">
        <v>69</v>
      </c>
      <c r="I343" s="92" t="s">
        <v>239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244</v>
      </c>
      <c r="D344" s="94" t="s">
        <v>76</v>
      </c>
      <c r="E344" s="92" t="s">
        <v>240</v>
      </c>
      <c r="F344" s="93" t="s">
        <v>71</v>
      </c>
      <c r="I344" s="92"/>
      <c r="J344" s="92" t="s">
        <v>240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8.6</v>
      </c>
      <c r="H345" s="25" t="s">
        <v>13</v>
      </c>
      <c r="I345" s="33" t="s">
        <v>77</v>
      </c>
      <c r="J345" s="33" t="s">
        <v>77</v>
      </c>
      <c r="K345" s="67">
        <f>K333</f>
        <v>8.6</v>
      </c>
      <c r="L345" s="67"/>
      <c r="M345" s="67"/>
    </row>
    <row r="346" spans="3:13" ht="25.5">
      <c r="C346" s="25" t="s">
        <v>237</v>
      </c>
      <c r="D346">
        <v>3000</v>
      </c>
      <c r="E346" s="86">
        <f>E334</f>
        <v>0.044</v>
      </c>
      <c r="F346" s="67">
        <f>D346*E346</f>
        <v>132</v>
      </c>
      <c r="H346" s="25" t="s">
        <v>237</v>
      </c>
      <c r="I346">
        <f>D346</f>
        <v>3000</v>
      </c>
      <c r="J346" s="106">
        <f>J334</f>
        <v>0.04485044471229015</v>
      </c>
      <c r="K346" s="67">
        <f>I346*J346</f>
        <v>134.55133413687045</v>
      </c>
      <c r="L346" s="67"/>
      <c r="M346" s="67"/>
    </row>
    <row r="347" spans="3:13" ht="25.5">
      <c r="C347" s="25" t="s">
        <v>232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232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215</v>
      </c>
      <c r="D348" s="12">
        <v>1000000</v>
      </c>
      <c r="E348" s="86">
        <v>0.0132</v>
      </c>
      <c r="F348" s="67">
        <f>D348*E348</f>
        <v>13200</v>
      </c>
      <c r="H348" s="25" t="s">
        <v>215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233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233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212</v>
      </c>
      <c r="F351" s="107">
        <f>SUM(F345:F349)</f>
        <v>80982</v>
      </c>
      <c r="H351" t="s">
        <v>217</v>
      </c>
      <c r="K351" s="107">
        <f>SUM(K345:K349)</f>
        <v>80984.55133413686</v>
      </c>
      <c r="L351" s="67"/>
      <c r="M351" s="67">
        <f>K351-F351</f>
        <v>2.5513341368641704</v>
      </c>
      <c r="N351" s="90">
        <f>K351/F351-1</f>
        <v>3.150495340764614E-05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93</v>
      </c>
      <c r="B355" s="4"/>
      <c r="D355" s="92" t="s">
        <v>239</v>
      </c>
      <c r="E355" s="92" t="s">
        <v>68</v>
      </c>
      <c r="F355" s="93" t="s">
        <v>69</v>
      </c>
      <c r="I355" s="92" t="s">
        <v>239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4" t="s">
        <v>76</v>
      </c>
      <c r="E356" s="92" t="s">
        <v>240</v>
      </c>
      <c r="F356" s="93" t="s">
        <v>71</v>
      </c>
      <c r="I356" s="92"/>
      <c r="J356" s="92" t="s">
        <v>240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8.6</v>
      </c>
      <c r="H357" s="25" t="s">
        <v>13</v>
      </c>
      <c r="I357" s="33" t="s">
        <v>77</v>
      </c>
      <c r="J357" s="33" t="s">
        <v>77</v>
      </c>
      <c r="K357" s="67">
        <f>K333</f>
        <v>8.6</v>
      </c>
      <c r="L357" s="67"/>
      <c r="M357" s="67"/>
    </row>
    <row r="358" spans="3:13" ht="25.5">
      <c r="C358" s="25" t="s">
        <v>237</v>
      </c>
      <c r="D358">
        <v>4000</v>
      </c>
      <c r="E358" s="86">
        <f>E334</f>
        <v>0.044</v>
      </c>
      <c r="F358" s="67">
        <f>D358*E358</f>
        <v>176</v>
      </c>
      <c r="H358" s="25" t="s">
        <v>237</v>
      </c>
      <c r="I358">
        <f>D358</f>
        <v>4000</v>
      </c>
      <c r="J358" s="106">
        <f>J334</f>
        <v>0.04485044471229015</v>
      </c>
      <c r="K358" s="67">
        <f>I358*J358</f>
        <v>179.4017788491606</v>
      </c>
      <c r="L358" s="67"/>
      <c r="M358" s="67"/>
    </row>
    <row r="359" spans="3:13" ht="25.5">
      <c r="C359" s="25" t="s">
        <v>232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232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215</v>
      </c>
      <c r="D360" s="12">
        <v>1200000</v>
      </c>
      <c r="E360" s="86">
        <v>0.0132</v>
      </c>
      <c r="F360" s="67">
        <f>D360*E360</f>
        <v>15840</v>
      </c>
      <c r="H360" s="25" t="s">
        <v>215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233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233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212</v>
      </c>
      <c r="F363" s="107">
        <f>SUM(F357:F361)</f>
        <v>98879.8</v>
      </c>
      <c r="H363" t="s">
        <v>217</v>
      </c>
      <c r="K363" s="107">
        <f>SUM(K357:K361)</f>
        <v>98883.20177884916</v>
      </c>
      <c r="L363" s="67"/>
      <c r="M363" s="67">
        <f>K363-F363</f>
        <v>3.4017788491619285</v>
      </c>
      <c r="N363" s="90">
        <f>K363/F363-1</f>
        <v>3.440317283365246E-05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93</v>
      </c>
      <c r="B367" s="4"/>
      <c r="D367" s="92" t="s">
        <v>239</v>
      </c>
      <c r="E367" s="92" t="s">
        <v>68</v>
      </c>
      <c r="F367" s="93" t="s">
        <v>69</v>
      </c>
      <c r="I367" s="92" t="s">
        <v>239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245</v>
      </c>
      <c r="D368" s="94" t="s">
        <v>76</v>
      </c>
      <c r="E368" s="92" t="s">
        <v>240</v>
      </c>
      <c r="F368" s="93" t="s">
        <v>71</v>
      </c>
      <c r="I368" s="92"/>
      <c r="J368" s="92" t="s">
        <v>240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8.6</v>
      </c>
      <c r="H369" s="25" t="s">
        <v>13</v>
      </c>
      <c r="I369" s="33" t="s">
        <v>77</v>
      </c>
      <c r="J369" s="33" t="s">
        <v>77</v>
      </c>
      <c r="K369" s="67">
        <f>K333</f>
        <v>8.6</v>
      </c>
      <c r="L369" s="67"/>
      <c r="M369" s="67"/>
    </row>
    <row r="370" spans="3:13" ht="25.5">
      <c r="C370" s="25" t="s">
        <v>237</v>
      </c>
      <c r="D370">
        <v>4000</v>
      </c>
      <c r="E370" s="86">
        <f>E334</f>
        <v>0.044</v>
      </c>
      <c r="F370" s="67">
        <f>D370*E370</f>
        <v>176</v>
      </c>
      <c r="H370" s="25" t="s">
        <v>237</v>
      </c>
      <c r="I370">
        <f>D370</f>
        <v>4000</v>
      </c>
      <c r="J370" s="106">
        <f>J334</f>
        <v>0.04485044471229015</v>
      </c>
      <c r="K370" s="67">
        <f>I370*J370</f>
        <v>179.4017788491606</v>
      </c>
      <c r="L370" s="67"/>
      <c r="M370" s="67"/>
    </row>
    <row r="371" spans="3:13" ht="25.5">
      <c r="C371" s="25" t="s">
        <v>232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232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215</v>
      </c>
      <c r="D372" s="130">
        <v>1800000</v>
      </c>
      <c r="E372" s="86">
        <v>0.0132</v>
      </c>
      <c r="F372" s="67">
        <f>D372*E372</f>
        <v>23760</v>
      </c>
      <c r="H372" s="25" t="s">
        <v>215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233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233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212</v>
      </c>
      <c r="F375" s="107">
        <f>SUM(F369:F373)</f>
        <v>139799.8</v>
      </c>
      <c r="H375" t="s">
        <v>217</v>
      </c>
      <c r="K375" s="107">
        <f>SUM(K369:K373)</f>
        <v>139803.20177884918</v>
      </c>
      <c r="L375" s="67"/>
      <c r="M375" s="67">
        <f>K375-F375</f>
        <v>3.4017788491910324</v>
      </c>
      <c r="N375" s="90">
        <f>K375/F375-1</f>
        <v>2.433321685146872E-05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246</v>
      </c>
    </row>
    <row r="380" ht="15.75">
      <c r="A380" s="28"/>
    </row>
    <row r="381" ht="15">
      <c r="A381" s="126" t="s">
        <v>247</v>
      </c>
    </row>
    <row r="382" ht="14.25">
      <c r="A382" s="126" t="s">
        <v>235</v>
      </c>
    </row>
    <row r="383" ht="14.25">
      <c r="A383" s="126" t="s">
        <v>238</v>
      </c>
    </row>
    <row r="384" ht="14.25">
      <c r="A384" s="126" t="s">
        <v>236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212</v>
      </c>
      <c r="D386" s="48"/>
      <c r="E386" s="48"/>
      <c r="F386" s="48"/>
      <c r="H386" s="97" t="s">
        <v>229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239</v>
      </c>
      <c r="E389" s="92" t="s">
        <v>68</v>
      </c>
      <c r="F389" s="93" t="s">
        <v>69</v>
      </c>
      <c r="I389" s="92" t="s">
        <v>239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4" t="s">
        <v>76</v>
      </c>
      <c r="E390" s="92" t="s">
        <v>240</v>
      </c>
      <c r="F390" s="93" t="s">
        <v>71</v>
      </c>
      <c r="I390" s="92"/>
      <c r="J390" s="92" t="s">
        <v>240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320</v>
      </c>
      <c r="B391" s="37"/>
      <c r="C391" s="25" t="s">
        <v>13</v>
      </c>
      <c r="D391" s="33" t="s">
        <v>77</v>
      </c>
      <c r="E391" s="33" t="s">
        <v>77</v>
      </c>
      <c r="F391" s="268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104</v>
      </c>
      <c r="D392">
        <v>6000</v>
      </c>
      <c r="E392" s="205">
        <v>0</v>
      </c>
      <c r="F392" s="67">
        <f>D392*E392</f>
        <v>0</v>
      </c>
      <c r="H392" s="25" t="s">
        <v>104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232</v>
      </c>
      <c r="D393">
        <f>D392</f>
        <v>6000</v>
      </c>
      <c r="E393" s="86">
        <v>4.7369</v>
      </c>
      <c r="F393" s="67">
        <f>D393*E393</f>
        <v>28421.4</v>
      </c>
      <c r="H393" s="25" t="s">
        <v>232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215</v>
      </c>
      <c r="D394" s="12">
        <v>2800000</v>
      </c>
      <c r="E394" s="86">
        <v>0.0132</v>
      </c>
      <c r="F394" s="67">
        <f>D394*E394</f>
        <v>36960</v>
      </c>
      <c r="H394" s="25" t="s">
        <v>215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233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233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212</v>
      </c>
      <c r="F397" s="107">
        <f>SUM(F391:F395)</f>
        <v>205381.4</v>
      </c>
      <c r="H397" t="s">
        <v>217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93</v>
      </c>
      <c r="B401" s="4"/>
      <c r="D401" s="92" t="s">
        <v>239</v>
      </c>
      <c r="E401" s="92" t="s">
        <v>68</v>
      </c>
      <c r="F401" s="93" t="s">
        <v>69</v>
      </c>
      <c r="I401" s="92" t="s">
        <v>239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248</v>
      </c>
      <c r="D402" s="94" t="s">
        <v>76</v>
      </c>
      <c r="E402" s="92" t="s">
        <v>240</v>
      </c>
      <c r="F402" s="93" t="s">
        <v>71</v>
      </c>
      <c r="I402" s="92"/>
      <c r="J402" s="92" t="s">
        <v>240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237</v>
      </c>
      <c r="D404">
        <v>15000</v>
      </c>
      <c r="E404" s="86">
        <f>E392</f>
        <v>0</v>
      </c>
      <c r="F404" s="67">
        <f>D404*E404</f>
        <v>0</v>
      </c>
      <c r="H404" s="25" t="s">
        <v>237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232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232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215</v>
      </c>
      <c r="D406" s="12">
        <v>10000000</v>
      </c>
      <c r="E406" s="86">
        <v>0.0132</v>
      </c>
      <c r="F406" s="67">
        <f>D406*E406</f>
        <v>132000</v>
      </c>
      <c r="H406" s="25" t="s">
        <v>215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233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233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212</v>
      </c>
      <c r="F409" s="107">
        <f>SUM(F403:F407)</f>
        <v>703053.5</v>
      </c>
      <c r="H409" t="s">
        <v>217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fitToHeight="6" horizontalDpi="600" verticalDpi="600" orientation="portrait" scale="55" r:id="rId1"/>
  <rowBreaks count="4" manualBreakCount="4">
    <brk id="136" max="255" man="1"/>
    <brk id="202" max="255" man="1"/>
    <brk id="271" max="255" man="1"/>
    <brk id="3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24">
      <selection activeCell="O24" sqref="O2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210</v>
      </c>
      <c r="B1" s="15"/>
    </row>
    <row r="2" ht="12.75">
      <c r="A2" s="4" t="s">
        <v>225</v>
      </c>
    </row>
    <row r="3" spans="1:8" ht="18">
      <c r="A3" s="112" t="s">
        <v>0</v>
      </c>
      <c r="B3" s="1"/>
      <c r="C3" s="108" t="str">
        <f>'2. 2002 Base Rate Schedule'!B3</f>
        <v>Parry Sound Power Corporation</v>
      </c>
      <c r="D3" s="109"/>
      <c r="F3" s="112" t="s">
        <v>1</v>
      </c>
      <c r="H3" s="116" t="str">
        <f>'2. 2002 Base Rate Schedule'!F3</f>
        <v>ED-1999-0219</v>
      </c>
    </row>
    <row r="4" spans="1:8" ht="18">
      <c r="A4" s="112" t="s">
        <v>3</v>
      </c>
      <c r="B4" s="1"/>
      <c r="C4" s="108" t="str">
        <f>'2. 2002 Base Rate Schedule'!B4</f>
        <v>Miles Thompson</v>
      </c>
      <c r="D4" s="15"/>
      <c r="F4" s="112" t="s">
        <v>4</v>
      </c>
      <c r="H4" s="116" t="str">
        <f>'2. 2002 Base Rate Schedule'!F4</f>
        <v>705-746-5866</v>
      </c>
    </row>
    <row r="5" spans="1:4" ht="18">
      <c r="A5" s="28" t="s">
        <v>38</v>
      </c>
      <c r="B5" s="15"/>
      <c r="C5" s="108" t="str">
        <f>'2. 2002 Base Rate Schedule'!B5</f>
        <v>mthompson@pspower.ca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39</v>
      </c>
      <c r="B7" s="15"/>
      <c r="C7" s="111">
        <f>'2. 2002 Base Rate Schedule'!B7</f>
        <v>38002</v>
      </c>
      <c r="D7" s="15"/>
    </row>
    <row r="8" ht="18">
      <c r="D8" s="15"/>
    </row>
    <row r="9" ht="14.25">
      <c r="A9" s="126" t="s">
        <v>211</v>
      </c>
    </row>
    <row r="10" ht="14.25">
      <c r="A10" s="126" t="s">
        <v>220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/>
      <c r="F13" s="270"/>
      <c r="K13" s="84"/>
    </row>
    <row r="14" spans="1:11" ht="15.75" customHeight="1">
      <c r="A14" s="126" t="s">
        <v>316</v>
      </c>
      <c r="B14" s="85"/>
      <c r="E14" s="270"/>
      <c r="F14" s="270"/>
      <c r="K14" s="84"/>
    </row>
    <row r="15" spans="5:11" ht="15.75" customHeight="1">
      <c r="E15" s="270"/>
      <c r="F15" s="270"/>
      <c r="K15" s="84"/>
    </row>
    <row r="16" spans="1:11" ht="18">
      <c r="A16" s="100" t="s">
        <v>44</v>
      </c>
      <c r="B16" s="28"/>
      <c r="D16" s="37"/>
      <c r="E16" s="270"/>
      <c r="F16" s="270"/>
      <c r="K16" s="84"/>
    </row>
    <row r="17" spans="1:11" ht="18">
      <c r="A17" s="100"/>
      <c r="B17" s="28"/>
      <c r="D17" s="37"/>
      <c r="E17" s="270"/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227</v>
      </c>
      <c r="D20" s="37"/>
      <c r="E20" s="137"/>
      <c r="F20" s="137"/>
      <c r="K20" s="84"/>
    </row>
    <row r="21" spans="1:11" ht="15.75" customHeight="1">
      <c r="A21" s="126" t="s">
        <v>228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212</v>
      </c>
      <c r="D23" s="48"/>
      <c r="E23" s="48"/>
      <c r="F23" s="48"/>
      <c r="H23" s="97" t="s">
        <v>219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15.99</v>
      </c>
      <c r="H27" s="25" t="s">
        <v>13</v>
      </c>
      <c r="I27" s="33" t="s">
        <v>77</v>
      </c>
      <c r="J27" s="33" t="s">
        <v>77</v>
      </c>
      <c r="K27" s="67">
        <f>'10. 2004 Rate Schedule '!F10</f>
        <v>15.99</v>
      </c>
      <c r="L27" s="67"/>
      <c r="M27" s="67"/>
    </row>
    <row r="28" spans="3:13" ht="25.5">
      <c r="C28" s="25" t="s">
        <v>214</v>
      </c>
      <c r="D28">
        <v>100</v>
      </c>
      <c r="E28" s="205">
        <f>'11.Bill Impact (no commod. in.)'!E28</f>
        <v>0.0103</v>
      </c>
      <c r="F28" s="67">
        <f>D28*E28</f>
        <v>1.03</v>
      </c>
      <c r="H28" s="25" t="s">
        <v>214</v>
      </c>
      <c r="I28">
        <f>D28</f>
        <v>100</v>
      </c>
      <c r="J28" s="106">
        <f>'10. 2004 Rate Schedule '!F11</f>
        <v>0.012993130666277228</v>
      </c>
      <c r="K28" s="67">
        <f>I28*J28</f>
        <v>1.2993130666277228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23.71</v>
      </c>
      <c r="H32" t="s">
        <v>217</v>
      </c>
      <c r="K32" s="107">
        <f>SUM(K27:K30)</f>
        <v>24.379313066627724</v>
      </c>
      <c r="L32" s="67"/>
      <c r="M32" s="67">
        <f>K32-F32</f>
        <v>0.6693130666277227</v>
      </c>
      <c r="N32" s="90">
        <f>K32/F32-1</f>
        <v>0.028229146631283175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15.99</v>
      </c>
      <c r="H37" s="25" t="s">
        <v>13</v>
      </c>
      <c r="I37" s="33" t="s">
        <v>77</v>
      </c>
      <c r="J37" s="33" t="s">
        <v>77</v>
      </c>
      <c r="K37" s="67">
        <f>K27</f>
        <v>15.99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0.0103</v>
      </c>
      <c r="F38" s="67">
        <f>D38*E38</f>
        <v>2.575</v>
      </c>
      <c r="H38" s="25" t="s">
        <v>214</v>
      </c>
      <c r="I38">
        <f>D38</f>
        <v>250</v>
      </c>
      <c r="J38" s="106">
        <f>J28</f>
        <v>0.012993130666277228</v>
      </c>
      <c r="K38" s="67">
        <f>I38*J38</f>
        <v>3.248282666569307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35.290000000000006</v>
      </c>
      <c r="H42" t="s">
        <v>217</v>
      </c>
      <c r="K42" s="107">
        <f>SUM(K37:K40)</f>
        <v>36.96328266656931</v>
      </c>
      <c r="L42" s="67"/>
      <c r="M42" s="67">
        <f>K42-F42</f>
        <v>1.6732826665693068</v>
      </c>
      <c r="N42" s="90">
        <f>K42/F42-1</f>
        <v>0.04741520732698512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15.99</v>
      </c>
      <c r="H47" s="25" t="s">
        <v>13</v>
      </c>
      <c r="I47" s="33" t="s">
        <v>77</v>
      </c>
      <c r="J47" s="33" t="s">
        <v>77</v>
      </c>
      <c r="K47" s="67">
        <f>K27</f>
        <v>15.99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0.0103</v>
      </c>
      <c r="F48" s="67">
        <f>D48*E48</f>
        <v>5.15</v>
      </c>
      <c r="H48" s="25" t="s">
        <v>214</v>
      </c>
      <c r="I48">
        <f>D48</f>
        <v>500</v>
      </c>
      <c r="J48" s="106">
        <f>J28</f>
        <v>0.012993130666277228</v>
      </c>
      <c r="K48" s="67">
        <f>I48*J48</f>
        <v>6.496565333138614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54.59</v>
      </c>
      <c r="H52" t="s">
        <v>217</v>
      </c>
      <c r="K52" s="107">
        <f>SUM(K47:K50)</f>
        <v>57.93656533313862</v>
      </c>
      <c r="L52" s="67"/>
      <c r="M52" s="67">
        <f>K52-F52</f>
        <v>3.3465653331386136</v>
      </c>
      <c r="N52" s="90">
        <f>K52/F52-1</f>
        <v>0.0613036331404766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15.99</v>
      </c>
      <c r="H57" s="25" t="s">
        <v>13</v>
      </c>
      <c r="I57" s="33" t="s">
        <v>77</v>
      </c>
      <c r="J57" s="33" t="s">
        <v>77</v>
      </c>
      <c r="K57" s="67">
        <f>K27</f>
        <v>15.99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0.0103</v>
      </c>
      <c r="F58" s="67">
        <f>D58*E58</f>
        <v>7.7250000000000005</v>
      </c>
      <c r="H58" s="25" t="s">
        <v>214</v>
      </c>
      <c r="I58">
        <f>D58</f>
        <v>750</v>
      </c>
      <c r="J58" s="106">
        <f>J28</f>
        <v>0.012993130666277228</v>
      </c>
      <c r="K58" s="67">
        <f>I58*J58</f>
        <v>9.744847999707922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73.89</v>
      </c>
      <c r="H62" t="s">
        <v>217</v>
      </c>
      <c r="K62" s="107">
        <f>SUM(K57:K60)</f>
        <v>78.90984799970792</v>
      </c>
      <c r="L62" s="67"/>
      <c r="M62" s="67">
        <f>K62-F62</f>
        <v>5.01984799970792</v>
      </c>
      <c r="N62" s="90">
        <f>K62/F62-1</f>
        <v>0.06793677087167294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15.99</v>
      </c>
      <c r="H67" s="25" t="s">
        <v>13</v>
      </c>
      <c r="I67" s="33" t="s">
        <v>77</v>
      </c>
      <c r="J67" s="33" t="s">
        <v>77</v>
      </c>
      <c r="K67" s="67">
        <f>K27</f>
        <v>15.99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0.0103</v>
      </c>
      <c r="F68" s="67">
        <f>D68*E68</f>
        <v>10.3</v>
      </c>
      <c r="H68" s="25" t="s">
        <v>214</v>
      </c>
      <c r="I68">
        <f>D68</f>
        <v>1000</v>
      </c>
      <c r="J68" s="106">
        <f>J28</f>
        <v>0.012993130666277228</v>
      </c>
      <c r="K68" s="67">
        <f>I68*J68</f>
        <v>12.993130666277228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221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93.19</v>
      </c>
      <c r="H73" t="s">
        <v>217</v>
      </c>
      <c r="K73" s="107">
        <f>SUM(K67:K71)</f>
        <v>101.88313066627722</v>
      </c>
      <c r="L73" s="67"/>
      <c r="M73" s="67">
        <f>K73-F73</f>
        <v>8.693130666277227</v>
      </c>
      <c r="N73" s="90">
        <f>K73/F73-1</f>
        <v>0.09328394319430444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15.99</v>
      </c>
      <c r="H78" s="25" t="s">
        <v>13</v>
      </c>
      <c r="I78" s="33" t="s">
        <v>77</v>
      </c>
      <c r="J78" s="33" t="s">
        <v>77</v>
      </c>
      <c r="K78" s="67">
        <f>K27</f>
        <v>15.99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0.0103</v>
      </c>
      <c r="F79" s="67">
        <f>D79*E79</f>
        <v>15.450000000000001</v>
      </c>
      <c r="H79" s="25" t="s">
        <v>214</v>
      </c>
      <c r="I79">
        <f>D79</f>
        <v>1500</v>
      </c>
      <c r="J79" s="106">
        <f>J28</f>
        <v>0.012993130666277228</v>
      </c>
      <c r="K79" s="67">
        <f>I79*J79</f>
        <v>19.489695999415844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221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131.79000000000002</v>
      </c>
      <c r="H84" t="s">
        <v>217</v>
      </c>
      <c r="K84" s="107">
        <f>SUM(K78:K82)</f>
        <v>147.82969599941583</v>
      </c>
      <c r="L84" s="67"/>
      <c r="M84" s="67">
        <f>K84-F84</f>
        <v>16.039695999415812</v>
      </c>
      <c r="N84" s="90">
        <f>K84/F84-1</f>
        <v>0.12170647241380839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15.99</v>
      </c>
      <c r="H89" s="25" t="s">
        <v>13</v>
      </c>
      <c r="I89" s="33" t="s">
        <v>77</v>
      </c>
      <c r="J89" s="33" t="s">
        <v>77</v>
      </c>
      <c r="K89" s="67">
        <f>K27</f>
        <v>15.99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0.0103</v>
      </c>
      <c r="F90" s="67">
        <f>D90*E90</f>
        <v>20.6</v>
      </c>
      <c r="H90" s="25" t="s">
        <v>214</v>
      </c>
      <c r="I90">
        <f>D90</f>
        <v>2000</v>
      </c>
      <c r="J90" s="106">
        <f>J28</f>
        <v>0.012993130666277228</v>
      </c>
      <c r="K90" s="67">
        <f>I90*J90</f>
        <v>25.986261332554456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221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170.39000000000001</v>
      </c>
      <c r="H95" t="s">
        <v>217</v>
      </c>
      <c r="K95" s="107">
        <f>SUM(K89:K93)</f>
        <v>193.77626133255447</v>
      </c>
      <c r="L95" s="67"/>
      <c r="M95" s="67">
        <f>K95-F95</f>
        <v>23.386261332554454</v>
      </c>
      <c r="N95" s="90">
        <f>K95/F95-1</f>
        <v>0.13725137233731122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219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85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4" t="s">
        <v>76</v>
      </c>
      <c r="E107" s="92" t="s">
        <v>103</v>
      </c>
      <c r="F107" s="93" t="s">
        <v>71</v>
      </c>
      <c r="I107" s="92"/>
      <c r="J107" s="92" t="s">
        <v>103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24.37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24.37</v>
      </c>
      <c r="L108" s="67"/>
      <c r="M108" s="67"/>
    </row>
    <row r="109" spans="3:13" ht="25.5">
      <c r="C109" s="25" t="s">
        <v>214</v>
      </c>
      <c r="D109">
        <v>1000</v>
      </c>
      <c r="E109" s="205">
        <f>'11.Bill Impact (no commod. in.)'!E110</f>
        <v>0.0081</v>
      </c>
      <c r="F109" s="67">
        <f>D109*E109</f>
        <v>8.1</v>
      </c>
      <c r="H109" s="25" t="s">
        <v>214</v>
      </c>
      <c r="I109">
        <f>D109</f>
        <v>1000</v>
      </c>
      <c r="J109" s="105">
        <f>'10. 2004 Rate Schedule '!F23</f>
        <v>0.009760199144416986</v>
      </c>
      <c r="K109" s="67">
        <f>I109*J109</f>
        <v>9.760199144416985</v>
      </c>
      <c r="L109" s="67"/>
      <c r="M109" s="67"/>
    </row>
    <row r="110" spans="3:13" ht="25.5">
      <c r="C110" s="25" t="s">
        <v>215</v>
      </c>
      <c r="D110">
        <v>1000</v>
      </c>
      <c r="E110" s="86">
        <v>0.0229</v>
      </c>
      <c r="F110" s="67">
        <f>D110*E110</f>
        <v>22.9</v>
      </c>
      <c r="H110" s="25" t="s">
        <v>215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221</v>
      </c>
      <c r="D111">
        <f>D109</f>
        <v>1000</v>
      </c>
      <c r="E111" s="86">
        <v>0.043</v>
      </c>
      <c r="F111" s="67">
        <f>D111*E111</f>
        <v>43</v>
      </c>
      <c r="H111" s="25" t="s">
        <v>221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221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212</v>
      </c>
      <c r="F114" s="107">
        <f>SUM(F108:F111)</f>
        <v>98.37</v>
      </c>
      <c r="H114" t="s">
        <v>217</v>
      </c>
      <c r="K114" s="107">
        <f>SUM(K108:K112)</f>
        <v>106.03019914441698</v>
      </c>
      <c r="L114" s="67"/>
      <c r="M114" s="67">
        <f>K114-F114</f>
        <v>7.660199144416978</v>
      </c>
      <c r="N114" s="90">
        <f>K114/F114-1</f>
        <v>0.07787129352868738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85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24.37</v>
      </c>
      <c r="H119" s="25" t="s">
        <v>13</v>
      </c>
      <c r="I119" s="33" t="s">
        <v>77</v>
      </c>
      <c r="J119" s="33" t="s">
        <v>77</v>
      </c>
      <c r="K119" s="67">
        <f>K108</f>
        <v>24.37</v>
      </c>
      <c r="L119" s="67"/>
      <c r="M119" s="67"/>
    </row>
    <row r="120" spans="3:13" ht="25.5">
      <c r="C120" s="25" t="s">
        <v>214</v>
      </c>
      <c r="D120">
        <v>2000</v>
      </c>
      <c r="E120" s="86">
        <f>E109</f>
        <v>0.0081</v>
      </c>
      <c r="F120" s="67">
        <f>D120*E120</f>
        <v>16.2</v>
      </c>
      <c r="H120" s="25" t="s">
        <v>214</v>
      </c>
      <c r="I120">
        <f>D120</f>
        <v>2000</v>
      </c>
      <c r="J120" s="106">
        <f>J109</f>
        <v>0.009760199144416986</v>
      </c>
      <c r="K120" s="67">
        <f>I120*J120</f>
        <v>19.52039828883397</v>
      </c>
      <c r="L120" s="67"/>
      <c r="M120" s="67"/>
    </row>
    <row r="121" spans="3:13" ht="25.5">
      <c r="C121" s="25" t="s">
        <v>215</v>
      </c>
      <c r="D121">
        <v>2000</v>
      </c>
      <c r="E121" s="86">
        <f>E110</f>
        <v>0.0229</v>
      </c>
      <c r="F121" s="67">
        <f>D121*E121</f>
        <v>45.8</v>
      </c>
      <c r="H121" s="25" t="s">
        <v>215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221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221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212</v>
      </c>
      <c r="F125" s="107">
        <f>SUM(F119:F122)</f>
        <v>172.37</v>
      </c>
      <c r="H125" t="s">
        <v>217</v>
      </c>
      <c r="K125" s="107">
        <f>SUM(K119:K123)</f>
        <v>193.69039828883396</v>
      </c>
      <c r="L125" s="67"/>
      <c r="M125" s="67">
        <f>K125-F125</f>
        <v>21.320398288833957</v>
      </c>
      <c r="N125" s="90">
        <f>K125/F125-1</f>
        <v>0.1236897272659625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85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249</v>
      </c>
      <c r="D129" s="94" t="s">
        <v>76</v>
      </c>
      <c r="E129" s="92" t="s">
        <v>103</v>
      </c>
      <c r="F129" s="93" t="s">
        <v>71</v>
      </c>
      <c r="I129" s="92"/>
      <c r="J129" s="92" t="s">
        <v>103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24.37</v>
      </c>
      <c r="H130" s="25" t="s">
        <v>13</v>
      </c>
      <c r="I130" s="33" t="s">
        <v>77</v>
      </c>
      <c r="J130" s="33" t="s">
        <v>77</v>
      </c>
      <c r="K130" s="67">
        <f>K108</f>
        <v>24.37</v>
      </c>
      <c r="L130" s="67"/>
      <c r="M130" s="67"/>
    </row>
    <row r="131" spans="3:13" ht="25.5">
      <c r="C131" s="25" t="s">
        <v>214</v>
      </c>
      <c r="D131">
        <v>5000</v>
      </c>
      <c r="E131" s="86">
        <f>E109</f>
        <v>0.0081</v>
      </c>
      <c r="F131" s="67">
        <f>D131*E131</f>
        <v>40.5</v>
      </c>
      <c r="H131" s="25" t="s">
        <v>214</v>
      </c>
      <c r="I131">
        <f>D131</f>
        <v>5000</v>
      </c>
      <c r="J131" s="106">
        <f>J109</f>
        <v>0.009760199144416986</v>
      </c>
      <c r="K131" s="67">
        <f>I131*J131</f>
        <v>48.80099572208493</v>
      </c>
      <c r="L131" s="67"/>
      <c r="M131" s="67"/>
    </row>
    <row r="132" spans="3:13" ht="25.5">
      <c r="C132" s="25" t="s">
        <v>215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215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221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221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221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212</v>
      </c>
      <c r="F136" s="107">
        <f>SUM(F130:F133)</f>
        <v>394.37</v>
      </c>
      <c r="H136" t="s">
        <v>217</v>
      </c>
      <c r="K136" s="107">
        <f>SUM(K130:K134)</f>
        <v>456.6709957220849</v>
      </c>
      <c r="L136" s="67"/>
      <c r="M136" s="67">
        <f>K136-F136</f>
        <v>62.300995722084906</v>
      </c>
      <c r="N136" s="90">
        <f>K136/F136-1</f>
        <v>0.15797600152670066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85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250</v>
      </c>
      <c r="D140" s="94" t="s">
        <v>76</v>
      </c>
      <c r="E140" s="92" t="s">
        <v>103</v>
      </c>
      <c r="F140" s="93" t="s">
        <v>71</v>
      </c>
      <c r="I140" s="92"/>
      <c r="J140" s="92" t="s">
        <v>103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24.37</v>
      </c>
      <c r="H141" s="25" t="s">
        <v>13</v>
      </c>
      <c r="I141" s="33" t="s">
        <v>77</v>
      </c>
      <c r="J141" s="33" t="s">
        <v>77</v>
      </c>
      <c r="K141" s="67">
        <f>K108</f>
        <v>24.37</v>
      </c>
      <c r="L141" s="67"/>
      <c r="M141" s="67"/>
    </row>
    <row r="142" spans="3:13" ht="25.5">
      <c r="C142" s="25" t="s">
        <v>214</v>
      </c>
      <c r="D142">
        <v>10000</v>
      </c>
      <c r="E142" s="86">
        <f>E109</f>
        <v>0.0081</v>
      </c>
      <c r="F142" s="67">
        <f>D142*E142</f>
        <v>81</v>
      </c>
      <c r="H142" s="25" t="s">
        <v>214</v>
      </c>
      <c r="I142">
        <f>D142</f>
        <v>10000</v>
      </c>
      <c r="J142" s="106">
        <f>J109</f>
        <v>0.009760199144416986</v>
      </c>
      <c r="K142" s="67">
        <f>I142*J142</f>
        <v>97.60199144416985</v>
      </c>
      <c r="L142" s="67"/>
      <c r="M142" s="67"/>
    </row>
    <row r="143" spans="3:15" ht="25.5">
      <c r="C143" s="25" t="s">
        <v>215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215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221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221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221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212</v>
      </c>
      <c r="F147" s="107">
        <f>SUM(F141:F144)</f>
        <v>764.3699999999999</v>
      </c>
      <c r="H147" t="s">
        <v>217</v>
      </c>
      <c r="K147" s="107">
        <f>SUM(K141:K145)</f>
        <v>894.9719914441698</v>
      </c>
      <c r="L147" s="67"/>
      <c r="M147" s="67">
        <f>K147-F147</f>
        <v>130.60199144416993</v>
      </c>
      <c r="N147" s="90">
        <f>K147/F147-1</f>
        <v>0.17086226754604428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85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251</v>
      </c>
      <c r="D151" s="94" t="s">
        <v>76</v>
      </c>
      <c r="E151" s="92" t="s">
        <v>103</v>
      </c>
      <c r="F151" s="93" t="s">
        <v>71</v>
      </c>
      <c r="I151" s="92"/>
      <c r="J151" s="92" t="s">
        <v>103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24.37</v>
      </c>
      <c r="H152" s="25" t="s">
        <v>13</v>
      </c>
      <c r="I152" s="33" t="s">
        <v>77</v>
      </c>
      <c r="J152" s="33" t="s">
        <v>77</v>
      </c>
      <c r="K152" s="67">
        <f>K108</f>
        <v>24.37</v>
      </c>
      <c r="L152" s="67"/>
      <c r="M152" s="67"/>
      <c r="O152" s="37"/>
      <c r="P152" s="37"/>
    </row>
    <row r="153" spans="3:16" ht="25.5">
      <c r="C153" s="25" t="s">
        <v>214</v>
      </c>
      <c r="D153">
        <v>15000</v>
      </c>
      <c r="E153" s="86">
        <f>E109</f>
        <v>0.0081</v>
      </c>
      <c r="F153" s="67">
        <f>D153*E153</f>
        <v>121.5</v>
      </c>
      <c r="H153" s="25" t="s">
        <v>214</v>
      </c>
      <c r="I153">
        <f>D153</f>
        <v>15000</v>
      </c>
      <c r="J153" s="106">
        <f>J109</f>
        <v>0.009760199144416986</v>
      </c>
      <c r="K153" s="67">
        <f>I153*J153</f>
        <v>146.4029871662548</v>
      </c>
      <c r="L153" s="67"/>
      <c r="M153" s="67"/>
      <c r="O153" s="37"/>
      <c r="P153" s="37"/>
    </row>
    <row r="154" spans="3:16" ht="25.5">
      <c r="C154" s="25" t="s">
        <v>215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215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221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221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221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212</v>
      </c>
      <c r="F158" s="107">
        <f>SUM(F152:F155)</f>
        <v>1134.37</v>
      </c>
      <c r="H158" t="s">
        <v>217</v>
      </c>
      <c r="K158" s="107">
        <f>SUM(K152:K156)</f>
        <v>1333.2729871662548</v>
      </c>
      <c r="L158" s="67"/>
      <c r="M158" s="67">
        <f>K158-F158</f>
        <v>198.9029871662549</v>
      </c>
      <c r="N158" s="90">
        <f>K158/F158-1</f>
        <v>0.17534224914820995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  <rowBreaks count="2" manualBreakCount="2">
    <brk id="64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37">
      <selection activeCell="O24" sqref="O24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8" t="s">
        <v>124</v>
      </c>
    </row>
    <row r="3" spans="1:6" ht="18">
      <c r="A3" s="112" t="s">
        <v>0</v>
      </c>
      <c r="B3" s="113" t="str">
        <f>'1. Dec. 31, 2002 Reg. Assets'!B3</f>
        <v>Parry Sound Power Corporation</v>
      </c>
      <c r="C3" s="109"/>
      <c r="E3" s="112" t="s">
        <v>1</v>
      </c>
      <c r="F3" s="110" t="str">
        <f>'1. Dec. 31, 2002 Reg. Assets'!F3</f>
        <v>ED-1999-0219</v>
      </c>
    </row>
    <row r="4" spans="1:6" ht="18">
      <c r="A4" s="112" t="s">
        <v>3</v>
      </c>
      <c r="B4" s="113" t="str">
        <f>'1. Dec. 31, 2002 Reg. Assets'!B4</f>
        <v>Miles Thompson</v>
      </c>
      <c r="C4" s="15"/>
      <c r="E4" s="112" t="s">
        <v>4</v>
      </c>
      <c r="F4" s="110" t="str">
        <f>'1. Dec. 31, 2002 Reg. Assets'!F4</f>
        <v>705-746-5866</v>
      </c>
    </row>
    <row r="5" spans="1:3" ht="18">
      <c r="A5" s="28" t="s">
        <v>38</v>
      </c>
      <c r="B5" s="113" t="str">
        <f>'1. Dec. 31, 2002 Reg. Assets'!B5</f>
        <v>mthompson@pspower.ca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2" ht="15.75">
      <c r="A7" s="28" t="s">
        <v>39</v>
      </c>
      <c r="B7" s="245">
        <f>'1. Dec. 31, 2002 Reg. Assets'!B7</f>
        <v>38002</v>
      </c>
    </row>
    <row r="8" ht="18">
      <c r="C8" s="15"/>
    </row>
    <row r="9" spans="1:4" ht="16.5" customHeight="1">
      <c r="A9" s="126" t="s">
        <v>151</v>
      </c>
      <c r="C9" s="4"/>
      <c r="D9" s="19"/>
    </row>
    <row r="10" spans="1:4" ht="14.25" customHeight="1">
      <c r="A10" s="126" t="s">
        <v>152</v>
      </c>
      <c r="B10" s="2"/>
      <c r="C10" s="4"/>
      <c r="D10" s="19"/>
    </row>
    <row r="11" spans="1:4" ht="13.5" customHeight="1">
      <c r="A11" s="126" t="s">
        <v>150</v>
      </c>
      <c r="B11" s="2"/>
      <c r="C11" s="4"/>
      <c r="D11" s="19"/>
    </row>
    <row r="12" spans="1:4" ht="15" customHeight="1">
      <c r="A12" s="126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0.0088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13.66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0.0088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13.66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0.0069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20.82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2.4544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139.69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/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/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324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0.0372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7.26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/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/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4.4256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1.4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/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/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2.8773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/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/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201</v>
      </c>
    </row>
    <row r="95" ht="14.25">
      <c r="A95" s="126" t="s">
        <v>203</v>
      </c>
    </row>
    <row r="96" ht="14.25">
      <c r="A96" s="126" t="s">
        <v>204</v>
      </c>
    </row>
    <row r="97" ht="14.25">
      <c r="A97" s="126" t="s">
        <v>153</v>
      </c>
    </row>
    <row r="100" spans="1:3" ht="12.75">
      <c r="A100" t="s">
        <v>21</v>
      </c>
      <c r="B100" s="5"/>
      <c r="C100" s="10">
        <v>8.8</v>
      </c>
    </row>
    <row r="101" spans="1:3" ht="12.75">
      <c r="A101" t="s">
        <v>22</v>
      </c>
      <c r="B101" s="5"/>
      <c r="C101" s="10"/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5</v>
      </c>
    </row>
    <row r="104" spans="1:3" ht="12.75">
      <c r="A104" t="s">
        <v>25</v>
      </c>
      <c r="B104" s="5"/>
      <c r="C104" s="10"/>
    </row>
    <row r="105" spans="1:3" ht="12.75">
      <c r="A105" t="s">
        <v>26</v>
      </c>
      <c r="B105" s="5"/>
      <c r="C105" s="10"/>
    </row>
    <row r="106" spans="1:3" ht="12.75">
      <c r="A106" t="s">
        <v>332</v>
      </c>
      <c r="B106" s="5"/>
      <c r="C106" s="10">
        <v>5</v>
      </c>
    </row>
    <row r="107" spans="1:3" ht="12.75">
      <c r="A107" t="s">
        <v>27</v>
      </c>
      <c r="B107" s="5"/>
      <c r="C107" s="10">
        <v>7</v>
      </c>
    </row>
    <row r="108" spans="1:3" ht="12.75">
      <c r="A108" t="s">
        <v>28</v>
      </c>
      <c r="B108" s="18"/>
      <c r="C108" s="64">
        <v>0.015</v>
      </c>
    </row>
    <row r="109" spans="1:3" ht="12.75">
      <c r="A109" t="s">
        <v>29</v>
      </c>
      <c r="B109" s="5"/>
      <c r="C109" s="10">
        <v>6</v>
      </c>
    </row>
    <row r="110" spans="1:3" ht="12.75">
      <c r="A110" t="s">
        <v>30</v>
      </c>
      <c r="B110" s="5"/>
      <c r="C110" s="10">
        <v>8.8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17.6</v>
      </c>
    </row>
    <row r="114" spans="1:3" ht="12.75">
      <c r="A114" t="s">
        <v>33</v>
      </c>
      <c r="B114" s="5"/>
      <c r="C114" s="10"/>
    </row>
    <row r="115" spans="1:3" ht="12.75">
      <c r="A115" t="s">
        <v>325</v>
      </c>
      <c r="B115" s="5"/>
      <c r="C115" s="10"/>
    </row>
    <row r="116" spans="1:3" ht="12.75">
      <c r="A116" t="s">
        <v>34</v>
      </c>
      <c r="B116" s="5"/>
      <c r="C116" s="10"/>
    </row>
    <row r="117" spans="2:3" ht="12.75">
      <c r="B117" s="5"/>
      <c r="C117" s="10"/>
    </row>
    <row r="118" spans="1:3" ht="12.75">
      <c r="A118" t="s">
        <v>35</v>
      </c>
      <c r="B118" s="5"/>
      <c r="C118" s="10"/>
    </row>
    <row r="119" spans="1:3" ht="12.75">
      <c r="A119" t="s">
        <v>36</v>
      </c>
      <c r="B119" s="5"/>
      <c r="C119" s="10"/>
    </row>
    <row r="120" spans="1:3" ht="12.75">
      <c r="A120" t="s">
        <v>37</v>
      </c>
      <c r="B120" s="5"/>
      <c r="C120" s="10"/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/>
    </row>
    <row r="123" spans="1:3" ht="12.75">
      <c r="A123" t="s">
        <v>107</v>
      </c>
      <c r="B123" t="s">
        <v>109</v>
      </c>
      <c r="C123" s="10"/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39">
      <selection activeCell="O24" sqref="O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2" t="s">
        <v>0</v>
      </c>
      <c r="B3" s="113" t="str">
        <f>'1. Dec. 31, 2002 Reg. Assets'!B3</f>
        <v>Parry Sound Power Corporation</v>
      </c>
      <c r="C3" s="109"/>
      <c r="E3" s="112" t="s">
        <v>1</v>
      </c>
      <c r="F3" s="1"/>
      <c r="G3" s="115" t="str">
        <f>'1. Dec. 31, 2002 Reg. Assets'!F3</f>
        <v>ED-1999-0219</v>
      </c>
    </row>
    <row r="4" spans="1:7" ht="18">
      <c r="A4" s="112" t="s">
        <v>3</v>
      </c>
      <c r="B4" s="113" t="str">
        <f>'1. Dec. 31, 2002 Reg. Assets'!B4</f>
        <v>Miles Thompson</v>
      </c>
      <c r="C4" s="15"/>
      <c r="E4" s="112" t="s">
        <v>4</v>
      </c>
      <c r="F4" s="1"/>
      <c r="G4" s="115" t="str">
        <f>'1. Dec. 31, 2002 Reg. Assets'!F4</f>
        <v>705-746-5866</v>
      </c>
    </row>
    <row r="5" spans="1:3" ht="18">
      <c r="A5" s="28" t="s">
        <v>38</v>
      </c>
      <c r="B5" s="113" t="str">
        <f>'1. Dec. 31, 2002 Reg. Assets'!B5</f>
        <v>mthompson@pspower.ca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3" ht="18">
      <c r="A7" s="28" t="s">
        <v>39</v>
      </c>
      <c r="B7" s="245">
        <f>'1. Dec. 31, 2002 Reg. Assets'!B7</f>
        <v>38002</v>
      </c>
      <c r="C7" s="15"/>
    </row>
    <row r="8" ht="18">
      <c r="C8" s="15"/>
    </row>
    <row r="9" spans="1:2" ht="14.25">
      <c r="A9" s="126" t="s">
        <v>158</v>
      </c>
      <c r="B9" s="4"/>
    </row>
    <row r="10" ht="14.25">
      <c r="A10" s="126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282</v>
      </c>
      <c r="B13" s="9"/>
      <c r="C13" s="5"/>
      <c r="F13" s="24"/>
      <c r="G13" s="10">
        <f>'1. Dec. 31, 2002 Reg. Assets'!D72</f>
        <v>34496.170909090906</v>
      </c>
    </row>
    <row r="14" spans="1:7" ht="14.25">
      <c r="A14" s="126" t="s">
        <v>157</v>
      </c>
      <c r="B14" s="9"/>
      <c r="C14" s="5"/>
      <c r="F14" s="24"/>
      <c r="G14" s="24"/>
    </row>
    <row r="15" spans="1:7" ht="14.25">
      <c r="A15" s="126" t="s">
        <v>185</v>
      </c>
      <c r="B15" s="9"/>
      <c r="C15" s="5"/>
      <c r="F15" s="24"/>
      <c r="G15" s="8"/>
    </row>
    <row r="16" ht="12.75">
      <c r="C16" s="7"/>
    </row>
    <row r="17" ht="14.25">
      <c r="A17" s="126" t="s">
        <v>155</v>
      </c>
    </row>
    <row r="18" ht="14.25">
      <c r="A18" s="126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f>'[2]Sheet1'!$F$48</f>
        <v>29878846</v>
      </c>
      <c r="D22" s="120">
        <v>2642</v>
      </c>
      <c r="E22" s="51">
        <f>'[2]Sheet1'!$I$49</f>
        <v>814699.0738</v>
      </c>
      <c r="F22" s="190">
        <f aca="true" t="shared" si="0" ref="F22:F29">C22/C$31</f>
        <v>0.4370935991636034</v>
      </c>
      <c r="G22" s="41">
        <f>G32*F22</f>
        <v>15078.055500017337</v>
      </c>
      <c r="H22" s="27"/>
    </row>
    <row r="23" spans="1:8" ht="12.75">
      <c r="A23" s="60" t="s">
        <v>83</v>
      </c>
      <c r="B23" s="40" t="s">
        <v>48</v>
      </c>
      <c r="C23" s="50">
        <f>'[2]Sheet1'!$F$54</f>
        <v>28239037</v>
      </c>
      <c r="D23" s="120">
        <v>632</v>
      </c>
      <c r="E23" s="51">
        <f>'[2]Sheet1'!$I$55</f>
        <v>413558.2797</v>
      </c>
      <c r="F23" s="190">
        <f t="shared" si="0"/>
        <v>0.41310505496912986</v>
      </c>
      <c r="G23" s="41">
        <f>G32*F23</f>
        <v>14250.542579624496</v>
      </c>
      <c r="H23" s="27"/>
    </row>
    <row r="24" spans="1:8" ht="12.75">
      <c r="A24" s="60" t="s">
        <v>84</v>
      </c>
      <c r="B24" s="52">
        <f>'[1]DEC 2002'!$P$26</f>
        <v>69830.40000000001</v>
      </c>
      <c r="C24" s="50">
        <f>'[2]Sheet1'!$C$60</f>
        <v>9778733</v>
      </c>
      <c r="D24" s="120">
        <v>57</v>
      </c>
      <c r="E24" s="51">
        <f>'[2]Sheet1'!$I$62</f>
        <v>312400.298</v>
      </c>
      <c r="F24" s="190">
        <f t="shared" si="0"/>
        <v>0.14305176318489346</v>
      </c>
      <c r="G24" s="41">
        <f>G32*F24</f>
        <v>4934.738071672883</v>
      </c>
      <c r="H24" s="27"/>
    </row>
    <row r="25" spans="1:8" ht="12.75">
      <c r="A25" s="60" t="s">
        <v>75</v>
      </c>
      <c r="B25" s="120"/>
      <c r="C25" s="50"/>
      <c r="D25" s="120"/>
      <c r="E25" s="124"/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326</v>
      </c>
      <c r="B26" s="120">
        <f>C26</f>
        <v>65054</v>
      </c>
      <c r="C26" s="50">
        <f>'[1]DEC 2002'!$P$19</f>
        <v>65054</v>
      </c>
      <c r="D26" s="120">
        <v>22</v>
      </c>
      <c r="E26" s="124">
        <f>C26*'2. 2002 Base Rate Schedule'!B51+'[1]DEC 2002'!$P$39</f>
        <v>3623.0887999999995</v>
      </c>
      <c r="F26" s="190">
        <f t="shared" si="0"/>
        <v>0.00095166617211351</v>
      </c>
      <c r="G26" s="41">
        <f>G32*F26</f>
        <v>32.82883892162796</v>
      </c>
      <c r="H26" s="29"/>
    </row>
    <row r="27" spans="1:8" ht="12.75">
      <c r="A27" s="60" t="s">
        <v>47</v>
      </c>
      <c r="B27" s="120"/>
      <c r="C27" s="50"/>
      <c r="D27" s="120"/>
      <c r="E27" s="124"/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45</v>
      </c>
      <c r="B28" s="52">
        <f>'[1]DEC 2002'!$P$27</f>
        <v>24.9</v>
      </c>
      <c r="C28" s="50">
        <f>'[1]DEC 2002'!$P$17</f>
        <v>8958</v>
      </c>
      <c r="D28" s="120">
        <v>22</v>
      </c>
      <c r="E28" s="54">
        <f>B28*'2. 2002 Base Rate Schedule'!B65+'[1]DEC 2002'!$P$37</f>
        <v>280.60744</v>
      </c>
      <c r="F28" s="190">
        <f t="shared" si="0"/>
        <v>0.00013104537107315188</v>
      </c>
      <c r="G28" s="41">
        <f>G32*F28</f>
        <v>4.5205635173846845</v>
      </c>
      <c r="H28" s="27"/>
    </row>
    <row r="29" spans="1:8" ht="12.75">
      <c r="A29" s="60" t="s">
        <v>46</v>
      </c>
      <c r="B29" s="53">
        <f>'[1]DEC 2002'!$P$28</f>
        <v>1075.9</v>
      </c>
      <c r="C29" s="188">
        <f>'[1]DEC 2002'!$P$18</f>
        <v>387376</v>
      </c>
      <c r="D29" s="189">
        <v>1004</v>
      </c>
      <c r="E29" s="55">
        <f>'[2]Sheet1'!$I$73</f>
        <v>8322.150000000001</v>
      </c>
      <c r="F29" s="191">
        <f t="shared" si="0"/>
        <v>0.005666871139186568</v>
      </c>
      <c r="G29" s="42">
        <f>G32*F29</f>
        <v>195.48535533717452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SUM(C22:C29)</f>
        <v>68358004</v>
      </c>
      <c r="D31" s="192">
        <f>SUM(D22:D29)</f>
        <v>4379</v>
      </c>
      <c r="E31" s="121">
        <f>SUM(E22:E29)</f>
        <v>1552883.4977399998</v>
      </c>
      <c r="F31" s="122">
        <f>SUM(F22:F29)</f>
        <v>0.9999999999999999</v>
      </c>
      <c r="G31" s="46">
        <f>SUM(G22:G29)</f>
        <v>34496.1709090909</v>
      </c>
      <c r="H31" s="5"/>
    </row>
    <row r="32" spans="1:8" ht="12.75">
      <c r="A32" s="36"/>
      <c r="B32" s="37"/>
      <c r="C32" s="37" t="s">
        <v>162</v>
      </c>
      <c r="F32" s="37"/>
      <c r="G32" s="89">
        <f>G13</f>
        <v>34496.170909090906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15078.055500017337</v>
      </c>
      <c r="C43" s="5">
        <f>D43*C41</f>
        <v>0</v>
      </c>
      <c r="D43" s="5">
        <f>G22</f>
        <v>15078.055500017337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29878846</v>
      </c>
    </row>
    <row r="48" spans="1:2" ht="12.75">
      <c r="A48" t="s">
        <v>50</v>
      </c>
      <c r="B48" s="61">
        <f>B43/B46</f>
        <v>0.0005046398210967497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14250.542579624496</v>
      </c>
      <c r="C61" s="5">
        <f>D61*C59</f>
        <v>0</v>
      </c>
      <c r="D61" s="5">
        <f>G23</f>
        <v>14250.542579624496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28239037</v>
      </c>
    </row>
    <row r="66" spans="1:2" ht="12.75">
      <c r="A66" t="s">
        <v>50</v>
      </c>
      <c r="B66" s="61">
        <f>B61/B64</f>
        <v>0.0005046398210967497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4934.738071672883</v>
      </c>
      <c r="C79" s="5">
        <f>D79*C77</f>
        <v>0</v>
      </c>
      <c r="D79" s="5">
        <f>G24</f>
        <v>4934.738071672883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69830.40000000001</v>
      </c>
    </row>
    <row r="84" spans="1:2" ht="12.75">
      <c r="A84" t="s">
        <v>57</v>
      </c>
      <c r="B84" s="61">
        <f>B79/B82</f>
        <v>0.07066747536420932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6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32.82883892162796</v>
      </c>
      <c r="C115" s="5">
        <f>D115*C113</f>
        <v>0</v>
      </c>
      <c r="D115" s="5">
        <f>G26</f>
        <v>32.82883892162796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65054</v>
      </c>
    </row>
    <row r="120" spans="1:2" ht="12.75">
      <c r="A120" t="s">
        <v>57</v>
      </c>
      <c r="B120" s="61">
        <f>B115/B118</f>
        <v>0.0005046398210967498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4.5205635173846845</v>
      </c>
      <c r="C151" s="5">
        <f>D151*C149</f>
        <v>0</v>
      </c>
      <c r="D151" s="5">
        <f>G28</f>
        <v>4.5205635173846845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24.9</v>
      </c>
    </row>
    <row r="156" spans="1:2" ht="12.75">
      <c r="A156" t="s">
        <v>57</v>
      </c>
      <c r="B156" s="61">
        <f>B151/B154</f>
        <v>0.18154873563793913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195.48535533717452</v>
      </c>
      <c r="C169" s="5">
        <f>D169*C167</f>
        <v>0</v>
      </c>
      <c r="D169" s="5">
        <f>G29</f>
        <v>195.48535533717452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1075.9</v>
      </c>
    </row>
    <row r="174" spans="1:2" ht="12.75">
      <c r="A174" t="s">
        <v>57</v>
      </c>
      <c r="B174" s="61">
        <f>B169/B172</f>
        <v>0.1816947256596101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fitToHeight="3" horizontalDpi="600" verticalDpi="600" orientation="portrait" scale="65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6">
      <selection activeCell="O24" sqref="O2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2" t="s">
        <v>0</v>
      </c>
      <c r="B3" s="113" t="str">
        <f>'2. 2002 Base Rate Schedule'!B3</f>
        <v>Parry Sound Power Corporation</v>
      </c>
      <c r="C3" s="109"/>
      <c r="E3" s="112" t="s">
        <v>1</v>
      </c>
      <c r="F3" s="108" t="str">
        <f>'2. 2002 Base Rate Schedule'!F3</f>
        <v>ED-1999-0219</v>
      </c>
    </row>
    <row r="4" spans="1:6" ht="18">
      <c r="A4" s="112" t="s">
        <v>3</v>
      </c>
      <c r="B4" s="108" t="str">
        <f>'2. 2002 Base Rate Schedule'!B4</f>
        <v>Miles Thompson</v>
      </c>
      <c r="C4" s="15"/>
      <c r="E4" s="112" t="s">
        <v>4</v>
      </c>
      <c r="F4" s="108" t="str">
        <f>'2. 2002 Base Rate Schedule'!F4</f>
        <v>705-746-5866</v>
      </c>
    </row>
    <row r="5" spans="1:3" ht="18">
      <c r="A5" s="28" t="s">
        <v>38</v>
      </c>
      <c r="B5" s="108" t="str">
        <f>'2. 2002 Base Rate Schedule'!B5</f>
        <v>mthompson@pspower.ca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39</v>
      </c>
      <c r="B7" s="111">
        <f>'2. 2002 Base Rate Schedule'!B7</f>
        <v>38002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174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0.00930463982109675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13.66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0.00930463982109675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13.66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0.00740463982109675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20.82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2.5250674753642093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139.69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>
        <f>'2. 2002 Base Rate Schedule'!B51+'3. 2002 Data &amp; add 4 RSVAs'!B120</f>
        <v>0.037704639821096744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7.26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4.6071487356379395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1.4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0.18154873563793913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3.05899472565961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0.1816947256596101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24">
      <selection activeCell="O24" sqref="O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2" t="s">
        <v>0</v>
      </c>
      <c r="B3" s="113" t="str">
        <f>'2. 2002 Base Rate Schedule'!B3</f>
        <v>Parry Sound Power Corporation</v>
      </c>
      <c r="C3" s="109"/>
      <c r="E3" s="112" t="s">
        <v>1</v>
      </c>
      <c r="F3" s="1"/>
      <c r="G3" s="115" t="str">
        <f>'2. 2002 Base Rate Schedule'!F3</f>
        <v>ED-1999-0219</v>
      </c>
    </row>
    <row r="4" spans="1:7" ht="18">
      <c r="A4" s="112" t="s">
        <v>3</v>
      </c>
      <c r="B4" s="114" t="str">
        <f>'2. 2002 Base Rate Schedule'!B4</f>
        <v>Miles Thompson</v>
      </c>
      <c r="C4" s="15"/>
      <c r="E4" s="112" t="s">
        <v>4</v>
      </c>
      <c r="F4" s="1"/>
      <c r="G4" s="114" t="str">
        <f>'2. 2002 Base Rate Schedule'!F4</f>
        <v>705-746-5866</v>
      </c>
    </row>
    <row r="5" spans="1:3" ht="18">
      <c r="A5" s="28" t="s">
        <v>38</v>
      </c>
      <c r="B5" s="114" t="str">
        <f>'2. 2002 Base Rate Schedule'!B5</f>
        <v>mthompson@pspower.ca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39</v>
      </c>
      <c r="B7" s="246">
        <f>'2. 2002 Base Rate Schedule'!B7</f>
        <v>38002</v>
      </c>
      <c r="C7" s="15"/>
    </row>
    <row r="8" ht="18">
      <c r="C8" s="15"/>
    </row>
    <row r="9" spans="1:2" ht="14.25">
      <c r="A9" s="126" t="s">
        <v>178</v>
      </c>
      <c r="B9" s="4"/>
    </row>
    <row r="10" ht="14.25">
      <c r="A10" s="126" t="s">
        <v>179</v>
      </c>
    </row>
    <row r="11" ht="12.75" customHeight="1"/>
    <row r="12" ht="14.25">
      <c r="A12" s="126" t="s">
        <v>180</v>
      </c>
    </row>
    <row r="13" spans="2:3" ht="12.75">
      <c r="B13" s="9"/>
      <c r="C13" s="66"/>
    </row>
    <row r="14" spans="1:7" ht="14.25">
      <c r="A14" s="126" t="s">
        <v>283</v>
      </c>
      <c r="B14" s="9"/>
      <c r="C14" s="67"/>
      <c r="F14" s="66"/>
      <c r="G14" s="65">
        <f>'1. Dec. 31, 2002 Reg. Assets'!D76</f>
        <v>176364.14454545456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29878846</v>
      </c>
      <c r="D22" s="194">
        <f>'3. 2002 Data &amp; add 4 RSVAs'!D22</f>
        <v>2642</v>
      </c>
      <c r="E22" s="69">
        <f>'3. 2002 Data &amp; add 4 RSVAs'!E22</f>
        <v>814699.0738</v>
      </c>
      <c r="F22" s="195">
        <f>E22/E$31</f>
        <v>0.5246363136614423</v>
      </c>
      <c r="G22" s="70">
        <f>G32*F22</f>
        <v>92527.03465638105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28239037</v>
      </c>
      <c r="D23" s="194">
        <f>'3. 2002 Data &amp; add 4 RSVAs'!D23</f>
        <v>632</v>
      </c>
      <c r="E23" s="69">
        <f>'3. 2002 Data &amp; add 4 RSVAs'!E23</f>
        <v>413558.2797</v>
      </c>
      <c r="F23" s="195">
        <f aca="true" t="shared" si="0" ref="F23:F29">E23/E$31</f>
        <v>0.26631635940614673</v>
      </c>
      <c r="G23" s="70">
        <f>G32*F23</f>
        <v>46968.65690512489</v>
      </c>
      <c r="H23" s="71"/>
    </row>
    <row r="24" spans="1:8" ht="12.75">
      <c r="A24" s="60" t="s">
        <v>84</v>
      </c>
      <c r="B24" s="72">
        <f>'3. 2002 Data &amp; add 4 RSVAs'!B24</f>
        <v>69830.40000000001</v>
      </c>
      <c r="C24" s="50">
        <f>'3. 2002 Data &amp; add 4 RSVAs'!C24</f>
        <v>9778733</v>
      </c>
      <c r="D24" s="194">
        <f>'3. 2002 Data &amp; add 4 RSVAs'!D24</f>
        <v>57</v>
      </c>
      <c r="E24" s="69">
        <f>'3. 2002 Data &amp; add 4 RSVAs'!E24</f>
        <v>312400.298</v>
      </c>
      <c r="F24" s="195">
        <f t="shared" si="0"/>
        <v>0.20117433049849137</v>
      </c>
      <c r="G24" s="70">
        <f>G32*F24</f>
        <v>35479.93870287098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65054</v>
      </c>
      <c r="C26" s="50">
        <f>'3. 2002 Data &amp; add 4 RSVAs'!C26</f>
        <v>65054</v>
      </c>
      <c r="D26" s="194">
        <f>'3. 2002 Data &amp; add 4 RSVAs'!D26</f>
        <v>22</v>
      </c>
      <c r="E26" s="69">
        <f>'3. 2002 Data &amp; add 4 RSVAs'!E26</f>
        <v>3623.0887999999995</v>
      </c>
      <c r="F26" s="195">
        <f t="shared" si="0"/>
        <v>0.0023331362624903207</v>
      </c>
      <c r="G26" s="70">
        <f>G32*F26</f>
        <v>411.48158104208454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24.9</v>
      </c>
      <c r="C28" s="50">
        <f>'3. 2002 Data &amp; add 4 RSVAs'!C28</f>
        <v>8958</v>
      </c>
      <c r="D28" s="194">
        <f>'3. 2002 Data &amp; add 4 RSVAs'!D28</f>
        <v>22</v>
      </c>
      <c r="E28" s="69">
        <f>'3. 2002 Data &amp; add 4 RSVAs'!E28</f>
        <v>280.60744</v>
      </c>
      <c r="F28" s="195">
        <f t="shared" si="0"/>
        <v>0.00018070089637012954</v>
      </c>
      <c r="G28" s="70">
        <f>G32*F28</f>
        <v>31.86915900691473</v>
      </c>
      <c r="H28" s="71"/>
    </row>
    <row r="29" spans="1:8" ht="12.75">
      <c r="A29" s="60" t="s">
        <v>46</v>
      </c>
      <c r="B29" s="74">
        <f>'3. 2002 Data &amp; add 4 RSVAs'!B29</f>
        <v>1075.9</v>
      </c>
      <c r="C29" s="188">
        <f>'3. 2002 Data &amp; add 4 RSVAs'!C29</f>
        <v>387376</v>
      </c>
      <c r="D29" s="196">
        <f>'3. 2002 Data &amp; add 4 RSVAs'!D29</f>
        <v>1004</v>
      </c>
      <c r="E29" s="125">
        <f>'3. 2002 Data &amp; add 4 RSVAs'!E29</f>
        <v>8322.150000000001</v>
      </c>
      <c r="F29" s="197">
        <f t="shared" si="0"/>
        <v>0.005359159275059399</v>
      </c>
      <c r="G29" s="75">
        <f>G32*F29</f>
        <v>945.1635410286893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68358004</v>
      </c>
      <c r="D31" s="198">
        <f>SUM(D22:D29)</f>
        <v>4379</v>
      </c>
      <c r="E31" s="123">
        <f>SUM(E22:E29)</f>
        <v>1552883.4977399998</v>
      </c>
      <c r="F31" s="199">
        <f>SUM(F22:F29)</f>
        <v>1.0000000000000002</v>
      </c>
      <c r="G31" s="46">
        <f>SUM(G22:G29)</f>
        <v>176364.1445454546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176364.14454545456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92527.03465638105</v>
      </c>
      <c r="C43" s="67">
        <f>D43*C41</f>
        <v>0</v>
      </c>
      <c r="D43" s="67">
        <f>G22</f>
        <v>92527.03465638105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29878846</v>
      </c>
    </row>
    <row r="48" spans="1:2" ht="12.75">
      <c r="A48" t="s">
        <v>50</v>
      </c>
      <c r="B48" s="81">
        <f>B43/B46</f>
        <v>0.003096740572121863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46968.65690512489</v>
      </c>
      <c r="C61" s="67">
        <f>D61*C59</f>
        <v>0</v>
      </c>
      <c r="D61" s="67">
        <f>G23</f>
        <v>46968.65690512489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28239037</v>
      </c>
    </row>
    <row r="66" spans="1:2" ht="12.75">
      <c r="A66" t="s">
        <v>50</v>
      </c>
      <c r="B66" s="81">
        <f>B61/B64</f>
        <v>0.001663252783907783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35479.93870287098</v>
      </c>
      <c r="C79" s="67">
        <f>D79*C77</f>
        <v>0</v>
      </c>
      <c r="D79" s="67">
        <f>G24</f>
        <v>35479.93870287098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69830.40000000001</v>
      </c>
    </row>
    <row r="84" spans="1:2" ht="12.75">
      <c r="A84" t="s">
        <v>57</v>
      </c>
      <c r="B84" s="81">
        <f>B79/B82</f>
        <v>0.5080872901038943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411.48158104208454</v>
      </c>
      <c r="C115" s="67">
        <f>D115*C113</f>
        <v>0</v>
      </c>
      <c r="D115" s="67">
        <f>G26</f>
        <v>411.48158104208454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65054</v>
      </c>
    </row>
    <row r="120" spans="1:2" ht="12.75">
      <c r="A120" t="s">
        <v>57</v>
      </c>
      <c r="B120" s="81">
        <f>B115/B118</f>
        <v>0.0063252310548480425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31.86915900691473</v>
      </c>
      <c r="C151" s="67">
        <f>D151*C149</f>
        <v>0</v>
      </c>
      <c r="D151" s="67">
        <f>G28</f>
        <v>31.86915900691473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24.9</v>
      </c>
    </row>
    <row r="156" spans="1:2" ht="12.75">
      <c r="A156" t="s">
        <v>57</v>
      </c>
      <c r="B156" s="81">
        <f>B151/B154</f>
        <v>1.279885903892158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945.1635410286893</v>
      </c>
      <c r="C169" s="67">
        <f>D169*C167</f>
        <v>0</v>
      </c>
      <c r="D169" s="67">
        <f>G29</f>
        <v>945.1635410286893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1075.9</v>
      </c>
    </row>
    <row r="174" spans="1:2" ht="12.75">
      <c r="A174" t="s">
        <v>57</v>
      </c>
      <c r="B174" s="81">
        <f>B169/B172</f>
        <v>0.8784864216271858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  <rowBreaks count="3" manualBreakCount="3">
    <brk id="52" max="255" man="1"/>
    <brk id="106" max="255" man="1"/>
    <brk id="1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3">
      <selection activeCell="O24" sqref="O2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2" t="s">
        <v>0</v>
      </c>
      <c r="B3" s="113" t="str">
        <f>'2. 2002 Base Rate Schedule'!B3</f>
        <v>Parry Sound Power Corporation</v>
      </c>
      <c r="C3" s="109"/>
      <c r="E3" s="112" t="s">
        <v>1</v>
      </c>
      <c r="F3" s="108" t="str">
        <f>'2. 2002 Base Rate Schedule'!F3</f>
        <v>ED-1999-0219</v>
      </c>
    </row>
    <row r="4" spans="1:6" ht="18">
      <c r="A4" s="112" t="s">
        <v>3</v>
      </c>
      <c r="B4" s="108" t="str">
        <f>'2. 2002 Base Rate Schedule'!B4</f>
        <v>Miles Thompson</v>
      </c>
      <c r="C4" s="15"/>
      <c r="E4" s="112" t="s">
        <v>4</v>
      </c>
      <c r="F4" s="108" t="str">
        <f>'2. 2002 Base Rate Schedule'!F4</f>
        <v>705-746-5866</v>
      </c>
    </row>
    <row r="5" spans="1:3" ht="18">
      <c r="A5" s="28" t="s">
        <v>38</v>
      </c>
      <c r="B5" s="108" t="str">
        <f>'2. 2002 Base Rate Schedule'!B5</f>
        <v>mthompson@pspower.ca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39</v>
      </c>
      <c r="B7" s="111">
        <f>'2. 2002 Base Rate Schedule'!B7</f>
        <v>38002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190</v>
      </c>
      <c r="B11" s="4"/>
    </row>
    <row r="12" ht="14.25">
      <c r="A12" s="126" t="s">
        <v>191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0.012401380393218612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13.66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0.012401380393218612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13.66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0.009067892605004534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20.82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3.0331547654681037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139.69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>
        <f>'4. 2004 Rate Sch. with 4 RSVAs'!B51+'5. 2002 Data &amp; Int. Reg. Assets'!B120</f>
        <v>0.04402987087594479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7.26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5.887034639530097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1.4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1.461434639530097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3.9374811472867957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1.060181147286796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27">
      <selection activeCell="O24" sqref="O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2" t="s">
        <v>0</v>
      </c>
      <c r="B3" s="113" t="str">
        <f>'2. 2002 Base Rate Schedule'!B3</f>
        <v>Parry Sound Power Corporation</v>
      </c>
      <c r="C3" s="109"/>
      <c r="E3" s="112" t="s">
        <v>1</v>
      </c>
      <c r="F3" s="1"/>
      <c r="G3" s="115" t="str">
        <f>'2. 2002 Base Rate Schedule'!F3</f>
        <v>ED-1999-0219</v>
      </c>
    </row>
    <row r="4" spans="1:7" ht="18">
      <c r="A4" s="112" t="s">
        <v>3</v>
      </c>
      <c r="B4" s="114" t="str">
        <f>'2. 2002 Base Rate Schedule'!B4</f>
        <v>Miles Thompson</v>
      </c>
      <c r="C4" s="15"/>
      <c r="E4" s="112" t="s">
        <v>4</v>
      </c>
      <c r="F4" s="1"/>
      <c r="G4" s="114" t="str">
        <f>'2. 2002 Base Rate Schedule'!F4</f>
        <v>705-746-5866</v>
      </c>
    </row>
    <row r="5" spans="1:3" ht="18">
      <c r="A5" s="28" t="s">
        <v>38</v>
      </c>
      <c r="B5" s="114" t="str">
        <f>'2. 2002 Base Rate Schedule'!B5</f>
        <v>mthompson@pspower.ca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39</v>
      </c>
      <c r="B7" s="246">
        <f>'2. 2002 Base Rate Schedule'!B7</f>
        <v>38002</v>
      </c>
      <c r="C7" s="15"/>
    </row>
    <row r="8" ht="18">
      <c r="C8" s="15"/>
    </row>
    <row r="9" spans="1:2" ht="14.25">
      <c r="A9" s="126" t="s">
        <v>193</v>
      </c>
      <c r="B9" s="4"/>
    </row>
    <row r="10" ht="14.25">
      <c r="A10" s="126" t="s">
        <v>194</v>
      </c>
    </row>
    <row r="11" ht="12.75" customHeight="1"/>
    <row r="12" ht="14.25">
      <c r="A12" s="126" t="s">
        <v>195</v>
      </c>
    </row>
    <row r="13" spans="2:3" ht="12.75">
      <c r="B13" s="9"/>
      <c r="C13" s="66"/>
    </row>
    <row r="14" spans="1:7" ht="14.25">
      <c r="A14" s="126" t="s">
        <v>278</v>
      </c>
      <c r="B14" s="9"/>
      <c r="C14" s="67"/>
      <c r="F14" s="66"/>
      <c r="G14" s="65">
        <v>174504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29878846</v>
      </c>
      <c r="D22" s="194">
        <f>'3. 2002 Data &amp; add 4 RSVAs'!D22</f>
        <v>2642</v>
      </c>
      <c r="E22" s="69">
        <f>'3. 2002 Data &amp; add 4 RSVAs'!E22</f>
        <v>814699.0738</v>
      </c>
      <c r="F22" s="195">
        <f aca="true" t="shared" si="0" ref="F22:F29">E22/E$31</f>
        <v>0.5246363136614423</v>
      </c>
      <c r="G22" s="70">
        <f>G32*F22</f>
        <v>91551.13527917632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28239037</v>
      </c>
      <c r="D23" s="194">
        <f>'3. 2002 Data &amp; add 4 RSVAs'!D23</f>
        <v>632</v>
      </c>
      <c r="E23" s="69">
        <f>'3. 2002 Data &amp; add 4 RSVAs'!E23</f>
        <v>413558.2797</v>
      </c>
      <c r="F23" s="195">
        <f t="shared" si="0"/>
        <v>0.26631635940614673</v>
      </c>
      <c r="G23" s="70">
        <f>G32*F23</f>
        <v>46473.26998181023</v>
      </c>
      <c r="H23" s="71"/>
    </row>
    <row r="24" spans="1:8" ht="12.75">
      <c r="A24" s="60" t="s">
        <v>84</v>
      </c>
      <c r="B24" s="72">
        <f>'3. 2002 Data &amp; add 4 RSVAs'!B24</f>
        <v>69830.40000000001</v>
      </c>
      <c r="C24" s="50">
        <f>'3. 2002 Data &amp; add 4 RSVAs'!C24</f>
        <v>9778733</v>
      </c>
      <c r="D24" s="194">
        <f>'3. 2002 Data &amp; add 4 RSVAs'!D24</f>
        <v>57</v>
      </c>
      <c r="E24" s="69">
        <f>'3. 2002 Data &amp; add 4 RSVAs'!E24</f>
        <v>312400.298</v>
      </c>
      <c r="F24" s="195">
        <f t="shared" si="0"/>
        <v>0.20117433049849137</v>
      </c>
      <c r="G24" s="70">
        <f>G32*F24</f>
        <v>35105.72536930874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65054</v>
      </c>
      <c r="C26" s="50">
        <f>'3. 2002 Data &amp; add 4 RSVAs'!C26</f>
        <v>65054</v>
      </c>
      <c r="D26" s="50">
        <f>'3. 2002 Data &amp; add 4 RSVAs'!D26</f>
        <v>22</v>
      </c>
      <c r="E26" s="69">
        <f>'3. 2002 Data &amp; add 4 RSVAs'!E26</f>
        <v>3623.0887999999995</v>
      </c>
      <c r="F26" s="195">
        <f t="shared" si="0"/>
        <v>0.0023331362624903207</v>
      </c>
      <c r="G26" s="70">
        <f>G32*F26</f>
        <v>407.1416103496109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24.9</v>
      </c>
      <c r="C28" s="50">
        <f>'3. 2002 Data &amp; add 4 RSVAs'!C28</f>
        <v>8958</v>
      </c>
      <c r="D28" s="50">
        <f>'3. 2002 Data &amp; add 4 RSVAs'!D28</f>
        <v>22</v>
      </c>
      <c r="E28" s="69">
        <f>'3. 2002 Data &amp; add 4 RSVAs'!E28</f>
        <v>280.60744</v>
      </c>
      <c r="F28" s="195">
        <f t="shared" si="0"/>
        <v>0.00018070089637012954</v>
      </c>
      <c r="G28" s="70">
        <f>G32*F28</f>
        <v>31.533029220173088</v>
      </c>
      <c r="H28" s="71"/>
    </row>
    <row r="29" spans="1:8" ht="12.75">
      <c r="A29" s="60" t="s">
        <v>46</v>
      </c>
      <c r="B29" s="74">
        <f>'3. 2002 Data &amp; add 4 RSVAs'!B29</f>
        <v>1075.9</v>
      </c>
      <c r="C29" s="188">
        <f>'3. 2002 Data &amp; add 4 RSVAs'!C29</f>
        <v>387376</v>
      </c>
      <c r="D29" s="196">
        <f>'3. 2002 Data &amp; add 4 RSVAs'!D29</f>
        <v>1004</v>
      </c>
      <c r="E29" s="125">
        <f>'3. 2002 Data &amp; add 4 RSVAs'!E29</f>
        <v>8322.150000000001</v>
      </c>
      <c r="F29" s="197">
        <f t="shared" si="0"/>
        <v>0.005359159275059399</v>
      </c>
      <c r="G29" s="75">
        <f>G32*F29</f>
        <v>935.1947301349654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68358004</v>
      </c>
      <c r="D31" s="198">
        <f>SUM(D22:D29)</f>
        <v>4379</v>
      </c>
      <c r="E31" s="123">
        <f>SUM(E22:E29)</f>
        <v>1552883.4977399998</v>
      </c>
      <c r="F31" s="199">
        <f>SUM(F22:F29)</f>
        <v>1.0000000000000002</v>
      </c>
      <c r="G31" s="46">
        <f>SUM(G22:G29)</f>
        <v>174504.00000000003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174504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91551.13527917632</v>
      </c>
      <c r="C43" s="67">
        <f>D43*C41</f>
        <v>0</v>
      </c>
      <c r="D43" s="67">
        <f>G22</f>
        <v>91551.13527917632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29878846</v>
      </c>
    </row>
    <row r="48" spans="1:2" ht="12.75">
      <c r="A48" t="s">
        <v>50</v>
      </c>
      <c r="B48" s="81">
        <f>B43/B46</f>
        <v>0.003064078688955267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46473.26998181023</v>
      </c>
      <c r="C61" s="67">
        <f>D61*C59</f>
        <v>0</v>
      </c>
      <c r="D61" s="67">
        <f>G23</f>
        <v>46473.26998181023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28239037</v>
      </c>
    </row>
    <row r="66" spans="1:2" ht="12.75">
      <c r="A66" t="s">
        <v>50</v>
      </c>
      <c r="B66" s="81">
        <f>B61/B64</f>
        <v>0.0016457101558318091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35105.72536930874</v>
      </c>
      <c r="C79" s="67">
        <f>D79*C77</f>
        <v>0</v>
      </c>
      <c r="D79" s="67">
        <f>G24</f>
        <v>35105.72536930874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69830.40000000001</v>
      </c>
    </row>
    <row r="84" spans="1:2" ht="12.75">
      <c r="A84" t="s">
        <v>57</v>
      </c>
      <c r="B84" s="81">
        <f>B79/B82</f>
        <v>0.5027284015172294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407.1416103496109</v>
      </c>
      <c r="C115" s="67">
        <f>D115*C113</f>
        <v>0</v>
      </c>
      <c r="D115" s="67">
        <f>G26</f>
        <v>407.1416103496109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65054</v>
      </c>
    </row>
    <row r="120" spans="1:2" ht="12.75">
      <c r="A120" t="s">
        <v>57</v>
      </c>
      <c r="B120" s="81">
        <f>B115/B118</f>
        <v>0.006258517698367678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7">
        <f>D151*B149</f>
        <v>31.533029220173088</v>
      </c>
      <c r="C151" s="67">
        <f>D151*C149</f>
        <v>0</v>
      </c>
      <c r="D151" s="67">
        <f>G28</f>
        <v>31.533029220173088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24.9</v>
      </c>
    </row>
    <row r="156" spans="1:2" ht="12.75">
      <c r="A156" t="s">
        <v>57</v>
      </c>
      <c r="B156" s="81">
        <f>B151/B154</f>
        <v>1.266386715669602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7">
        <f>D169*B167</f>
        <v>935.1947301349654</v>
      </c>
      <c r="C169" s="67">
        <f>D169*C167</f>
        <v>0</v>
      </c>
      <c r="D169" s="67">
        <f>G29</f>
        <v>935.1947301349654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1075.9</v>
      </c>
    </row>
    <row r="174" spans="1:2" ht="12.75">
      <c r="A174" t="s">
        <v>57</v>
      </c>
      <c r="B174" s="81">
        <f>B169/B172</f>
        <v>0.8692208663769545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  <rowBreaks count="3" manualBreakCount="3">
    <brk id="52" max="255" man="1"/>
    <brk id="106" max="255" man="1"/>
    <brk id="1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9">
      <selection activeCell="O24" sqref="O2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2" t="s">
        <v>0</v>
      </c>
      <c r="B3" s="113" t="str">
        <f>'2. 2002 Base Rate Schedule'!B3</f>
        <v>Parry Sound Power Corporation</v>
      </c>
      <c r="C3" s="109"/>
      <c r="E3" s="112" t="s">
        <v>1</v>
      </c>
      <c r="F3" s="108" t="str">
        <f>'2. 2002 Base Rate Schedule'!F3</f>
        <v>ED-1999-0219</v>
      </c>
    </row>
    <row r="4" spans="1:6" ht="18">
      <c r="A4" s="112" t="s">
        <v>3</v>
      </c>
      <c r="B4" s="108" t="str">
        <f>'2. 2002 Base Rate Schedule'!B4</f>
        <v>Miles Thompson</v>
      </c>
      <c r="C4" s="15"/>
      <c r="E4" s="112" t="s">
        <v>4</v>
      </c>
      <c r="F4" s="108" t="str">
        <f>'2. 2002 Base Rate Schedule'!F4</f>
        <v>705-746-5866</v>
      </c>
    </row>
    <row r="5" spans="1:3" ht="18">
      <c r="A5" s="28" t="s">
        <v>38</v>
      </c>
      <c r="B5" s="108" t="str">
        <f>'2. 2002 Base Rate Schedule'!B5</f>
        <v>mthompson@pspower.ca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39</v>
      </c>
      <c r="B7" s="111">
        <f>'2. 2002 Base Rate Schedule'!B7</f>
        <v>38002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209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0.01546545908217388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13.66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0.01546545908217388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13.66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0.010713602760836343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20.82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3.5358831669853332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139.69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>
        <f>'6. 2004 Rate Sch. with Interims'!B51+'7. 2002 Data &amp; 2004 PILs'!B120</f>
        <v>0.05028838857431246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7.26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7.153421355199699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1.4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2.727821355199699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4.806702013663751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0.34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1.9294020136637504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3"/>
  <sheetViews>
    <sheetView zoomScale="75" zoomScaleNormal="75" zoomScalePageLayoutView="0" workbookViewId="0" topLeftCell="A82">
      <selection activeCell="O24" sqref="O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2" t="s">
        <v>0</v>
      </c>
      <c r="B3" s="113" t="str">
        <f>'2. 2002 Base Rate Schedule'!B3</f>
        <v>Parry Sound Power Corporation</v>
      </c>
      <c r="C3" s="109"/>
      <c r="E3" s="112" t="s">
        <v>1</v>
      </c>
      <c r="F3" s="1"/>
      <c r="G3" s="115" t="str">
        <f>'2. 2002 Base Rate Schedule'!F3</f>
        <v>ED-1999-0219</v>
      </c>
    </row>
    <row r="4" spans="1:7" ht="18">
      <c r="A4" s="112" t="s">
        <v>3</v>
      </c>
      <c r="B4" s="114" t="str">
        <f>'2. 2002 Base Rate Schedule'!B4</f>
        <v>Miles Thompson</v>
      </c>
      <c r="C4" s="15"/>
      <c r="E4" s="112" t="s">
        <v>4</v>
      </c>
      <c r="F4" s="1"/>
      <c r="G4" s="114" t="str">
        <f>'2. 2002 Base Rate Schedule'!F4</f>
        <v>705-746-5866</v>
      </c>
    </row>
    <row r="5" spans="1:3" ht="18">
      <c r="A5" s="28" t="s">
        <v>38</v>
      </c>
      <c r="B5" s="114" t="str">
        <f>'2. 2002 Base Rate Schedule'!B5</f>
        <v>mthompson@pspower.ca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39</v>
      </c>
      <c r="B7" s="246">
        <f>'2. 2002 Base Rate Schedule'!B7</f>
        <v>38002</v>
      </c>
      <c r="C7" s="15"/>
    </row>
    <row r="8" ht="18">
      <c r="C8" s="15"/>
    </row>
    <row r="9" ht="15">
      <c r="A9" s="32" t="s">
        <v>292</v>
      </c>
    </row>
    <row r="10" spans="1:5" ht="15">
      <c r="A10" s="32" t="s">
        <v>293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321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5" t="s">
        <v>298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29878846</v>
      </c>
      <c r="D22" s="194">
        <f>'3. 2002 Data &amp; add 4 RSVAs'!D22</f>
        <v>2642</v>
      </c>
      <c r="E22" s="256">
        <v>15.99</v>
      </c>
      <c r="F22" s="195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28239037</v>
      </c>
      <c r="D23" s="194">
        <f>'3. 2002 Data &amp; add 4 RSVAs'!D23</f>
        <v>632</v>
      </c>
      <c r="E23" s="256">
        <v>24.37</v>
      </c>
      <c r="F23" s="195"/>
      <c r="G23" s="77"/>
      <c r="H23" s="71"/>
    </row>
    <row r="24" spans="1:8" ht="12.75">
      <c r="A24" s="60" t="s">
        <v>84</v>
      </c>
      <c r="B24" s="72">
        <f>'3. 2002 Data &amp; add 4 RSVAs'!B24</f>
        <v>69830.40000000001</v>
      </c>
      <c r="C24" s="50">
        <f>'3. 2002 Data &amp; add 4 RSVAs'!C24</f>
        <v>9778733</v>
      </c>
      <c r="D24" s="194">
        <f>'3. 2002 Data &amp; add 4 RSVAs'!D24</f>
        <v>57</v>
      </c>
      <c r="E24" s="256">
        <v>163.46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f>'2. 2002 Base Rate Schedule'!B46</f>
        <v>0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65054</v>
      </c>
      <c r="C26" s="50">
        <f>'3. 2002 Data &amp; add 4 RSVAs'!C26</f>
        <v>65054</v>
      </c>
      <c r="D26" s="50">
        <f>'3. 2002 Data &amp; add 4 RSVAs'!D26</f>
        <v>22</v>
      </c>
      <c r="E26" s="256">
        <v>8.6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24.9</v>
      </c>
      <c r="C28" s="50">
        <f>'3. 2002 Data &amp; add 4 RSVAs'!C28</f>
        <v>8958</v>
      </c>
      <c r="D28" s="50">
        <f>'3. 2002 Data &amp; add 4 RSVAs'!D28</f>
        <v>22</v>
      </c>
      <c r="E28" s="256">
        <v>1.63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1075.9</v>
      </c>
      <c r="C29" s="188">
        <f>'3. 2002 Data &amp; add 4 RSVAs'!C29</f>
        <v>387376</v>
      </c>
      <c r="D29" s="196">
        <f>'3. 2002 Data &amp; add 4 RSVAs'!D29</f>
        <v>1004</v>
      </c>
      <c r="E29" s="257">
        <v>0.39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68358004</v>
      </c>
      <c r="D31" s="198">
        <f>SUM(D22:D29)</f>
        <v>4379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50"/>
      <c r="B35" s="32"/>
      <c r="C35" s="32"/>
    </row>
    <row r="36" spans="1:3" ht="17.25" customHeight="1">
      <c r="A36" s="85" t="s">
        <v>299</v>
      </c>
      <c r="B36" s="85"/>
      <c r="C36" s="260">
        <f>E22*D22*12</f>
        <v>506946.96</v>
      </c>
    </row>
    <row r="37" spans="1:4" ht="15.75" customHeight="1">
      <c r="A37" s="85" t="s">
        <v>302</v>
      </c>
      <c r="B37" s="85"/>
      <c r="C37" s="261">
        <f>'8. 2004 Rate Sch. with PILs'!B18*D22*12</f>
        <v>433076.64</v>
      </c>
      <c r="D37" s="25"/>
    </row>
    <row r="38" spans="1:3" ht="12.75">
      <c r="A38" s="85" t="s">
        <v>294</v>
      </c>
      <c r="B38" s="85"/>
      <c r="C38" s="260">
        <f>C36-C37</f>
        <v>73870.32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295</v>
      </c>
      <c r="B40" s="258" t="s">
        <v>103</v>
      </c>
      <c r="C40" s="259">
        <f>C38/C22</f>
        <v>0.0024723284158966515</v>
      </c>
      <c r="D40" s="25"/>
    </row>
    <row r="41" spans="1:4" ht="13.5" thickBot="1">
      <c r="A41" s="85" t="s">
        <v>296</v>
      </c>
      <c r="B41" s="258" t="s">
        <v>103</v>
      </c>
      <c r="D41" s="262">
        <f>'8. 2004 Rate Sch. with PILs'!B16-C40</f>
        <v>0.012993130666277228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301</v>
      </c>
    </row>
    <row r="45" spans="1:3" ht="12" customHeight="1">
      <c r="A45" s="250"/>
      <c r="B45" s="32"/>
      <c r="C45" s="32"/>
    </row>
    <row r="46" spans="1:3" ht="12.75">
      <c r="A46" s="85" t="s">
        <v>299</v>
      </c>
      <c r="B46" s="85"/>
      <c r="C46" s="260">
        <f>E22*D22*12</f>
        <v>506946.96</v>
      </c>
    </row>
    <row r="47" spans="1:4" ht="12.75">
      <c r="A47" s="85" t="s">
        <v>302</v>
      </c>
      <c r="B47" s="85"/>
      <c r="C47" s="261">
        <f>'8. 2004 Rate Sch. with PILs'!B18*D22*12</f>
        <v>433076.64</v>
      </c>
      <c r="D47" s="25"/>
    </row>
    <row r="48" spans="1:3" ht="12.75">
      <c r="A48" s="85" t="s">
        <v>294</v>
      </c>
      <c r="B48" s="85"/>
      <c r="C48" s="260">
        <f>C46-C47</f>
        <v>73870.32</v>
      </c>
    </row>
    <row r="49" spans="1:4" ht="12.75">
      <c r="A49" s="85"/>
      <c r="B49" s="85"/>
      <c r="C49" s="85"/>
      <c r="D49" s="35"/>
    </row>
    <row r="50" spans="1:4" ht="13.5" thickBot="1">
      <c r="A50" s="85" t="s">
        <v>295</v>
      </c>
      <c r="B50" s="258" t="s">
        <v>103</v>
      </c>
      <c r="C50" s="259">
        <f>C38/C22</f>
        <v>0.0024723284158966515</v>
      </c>
      <c r="D50" s="25"/>
    </row>
    <row r="51" spans="1:4" ht="13.5" thickBot="1">
      <c r="A51" s="85" t="s">
        <v>296</v>
      </c>
      <c r="B51" s="258" t="s">
        <v>103</v>
      </c>
      <c r="D51" s="262">
        <f>'8. 2004 Rate Sch. with PILs'!B23-C50</f>
        <v>0.012993130666277228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300</v>
      </c>
    </row>
    <row r="55" spans="1:3" ht="12" customHeight="1">
      <c r="A55" s="250"/>
      <c r="B55" s="32"/>
      <c r="C55" s="32"/>
    </row>
    <row r="56" spans="1:3" ht="12.75">
      <c r="A56" s="85" t="s">
        <v>299</v>
      </c>
      <c r="B56" s="85"/>
      <c r="C56" s="260">
        <f>E23*D23*12</f>
        <v>184822.08000000002</v>
      </c>
    </row>
    <row r="57" spans="1:3" ht="12.75">
      <c r="A57" s="85" t="s">
        <v>302</v>
      </c>
      <c r="B57" s="85"/>
      <c r="C57" s="261">
        <f>'8. 2004 Rate Sch. with PILs'!B32*D23*12</f>
        <v>157898.88</v>
      </c>
    </row>
    <row r="58" spans="1:3" ht="12.75">
      <c r="A58" s="85" t="s">
        <v>294</v>
      </c>
      <c r="B58" s="85"/>
      <c r="C58" s="260">
        <f>C56-C57</f>
        <v>26923.20000000001</v>
      </c>
    </row>
    <row r="59" spans="1:3" ht="12.75">
      <c r="A59" s="85"/>
      <c r="B59" s="85"/>
      <c r="C59" s="85"/>
    </row>
    <row r="60" spans="1:3" ht="13.5" thickBot="1">
      <c r="A60" s="85" t="s">
        <v>295</v>
      </c>
      <c r="B60" s="258" t="s">
        <v>103</v>
      </c>
      <c r="C60" s="259">
        <f>C58/C23</f>
        <v>0.0009534036164193563</v>
      </c>
    </row>
    <row r="61" spans="1:4" ht="13.5" thickBot="1">
      <c r="A61" s="85" t="s">
        <v>296</v>
      </c>
      <c r="B61" s="258" t="s">
        <v>103</v>
      </c>
      <c r="D61" s="262">
        <f>'8. 2004 Rate Sch. with PILs'!B30-C60</f>
        <v>0.009760199144416986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303</v>
      </c>
    </row>
    <row r="65" spans="1:3" ht="13.5" customHeight="1">
      <c r="A65" s="250"/>
      <c r="B65" s="32"/>
      <c r="C65" s="32"/>
    </row>
    <row r="66" spans="1:3" ht="13.5" customHeight="1">
      <c r="A66" s="85" t="s">
        <v>299</v>
      </c>
      <c r="B66" s="85"/>
      <c r="C66" s="260">
        <f>E24*D24*12</f>
        <v>111806.64000000001</v>
      </c>
    </row>
    <row r="67" spans="1:3" ht="12.75">
      <c r="A67" s="85" t="s">
        <v>302</v>
      </c>
      <c r="B67" s="85"/>
      <c r="C67" s="261">
        <f>'8. 2004 Rate Sch. with PILs'!B39*D24*12</f>
        <v>95547.95999999999</v>
      </c>
    </row>
    <row r="68" spans="1:3" ht="12.75">
      <c r="A68" s="85" t="s">
        <v>294</v>
      </c>
      <c r="B68" s="85"/>
      <c r="C68" s="260">
        <f>C66-C67</f>
        <v>16258.680000000022</v>
      </c>
    </row>
    <row r="69" spans="1:3" ht="12.75">
      <c r="A69" s="85"/>
      <c r="B69" s="85"/>
      <c r="C69" s="85"/>
    </row>
    <row r="70" spans="1:3" ht="13.5" thickBot="1">
      <c r="A70" s="85" t="s">
        <v>295</v>
      </c>
      <c r="B70" s="258" t="s">
        <v>297</v>
      </c>
      <c r="C70" s="259">
        <f>C68/B24</f>
        <v>0.2328309733296676</v>
      </c>
    </row>
    <row r="71" spans="1:4" ht="13.5" thickBot="1">
      <c r="A71" s="85" t="s">
        <v>296</v>
      </c>
      <c r="B71" s="258" t="s">
        <v>297</v>
      </c>
      <c r="D71" s="262">
        <f>'8. 2004 Rate Sch. with PILs'!B37-C70</f>
        <v>3.303052193655666</v>
      </c>
    </row>
    <row r="72" ht="12.75">
      <c r="B72" s="12"/>
    </row>
    <row r="74" ht="15.75">
      <c r="A74" s="62" t="s">
        <v>304</v>
      </c>
    </row>
    <row r="75" spans="1:3" ht="12" customHeight="1">
      <c r="A75" s="250"/>
      <c r="B75" s="32"/>
      <c r="C75" s="32"/>
    </row>
    <row r="76" spans="1:3" ht="12.75">
      <c r="A76" s="85" t="s">
        <v>299</v>
      </c>
      <c r="B76" s="85"/>
      <c r="C76" s="260">
        <f>E25*D25*12</f>
        <v>0</v>
      </c>
    </row>
    <row r="77" spans="1:3" ht="12.75">
      <c r="A77" s="85" t="s">
        <v>302</v>
      </c>
      <c r="B77" s="85"/>
      <c r="C77" s="261">
        <f>'8. 2004 Rate Sch. with PILs'!B46*D25*12</f>
        <v>0</v>
      </c>
    </row>
    <row r="78" spans="1:3" ht="12.75">
      <c r="A78" s="85" t="s">
        <v>294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295</v>
      </c>
      <c r="B80" s="258" t="s">
        <v>297</v>
      </c>
      <c r="C80" s="259" t="e">
        <f>C78/B25</f>
        <v>#DIV/0!</v>
      </c>
    </row>
    <row r="81" spans="1:4" ht="13.5" thickBot="1">
      <c r="A81" s="85" t="s">
        <v>296</v>
      </c>
      <c r="B81" s="258" t="s">
        <v>297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305</v>
      </c>
    </row>
    <row r="85" spans="1:3" ht="12.75" customHeight="1">
      <c r="A85" s="250"/>
      <c r="B85" s="32"/>
      <c r="C85" s="32"/>
    </row>
    <row r="86" spans="1:3" ht="12.75">
      <c r="A86" s="85" t="s">
        <v>299</v>
      </c>
      <c r="B86" s="85"/>
      <c r="C86" s="260">
        <f>E26*D26*12</f>
        <v>2270.3999999999996</v>
      </c>
    </row>
    <row r="87" spans="1:3" ht="12.75">
      <c r="A87" s="85" t="s">
        <v>302</v>
      </c>
      <c r="B87" s="85"/>
      <c r="C87" s="261">
        <f>'8. 2004 Rate Sch. with PILs'!B53*D26*12</f>
        <v>1916.6399999999999</v>
      </c>
    </row>
    <row r="88" spans="1:3" ht="12.75">
      <c r="A88" s="85" t="s">
        <v>294</v>
      </c>
      <c r="B88" s="85"/>
      <c r="C88" s="260">
        <f>C86-C87</f>
        <v>353.75999999999976</v>
      </c>
    </row>
    <row r="89" spans="1:3" ht="12.75">
      <c r="A89" s="85"/>
      <c r="B89" s="85"/>
      <c r="C89" s="85"/>
    </row>
    <row r="90" spans="1:3" ht="13.5" thickBot="1">
      <c r="A90" s="85" t="s">
        <v>295</v>
      </c>
      <c r="B90" s="258" t="s">
        <v>297</v>
      </c>
      <c r="C90" s="263">
        <f>C88/B26</f>
        <v>0.005437943862022316</v>
      </c>
    </row>
    <row r="91" spans="1:4" ht="13.5" thickBot="1">
      <c r="A91" s="85" t="s">
        <v>296</v>
      </c>
      <c r="B91" s="258" t="s">
        <v>297</v>
      </c>
      <c r="D91" s="262">
        <f>'8. 2004 Rate Sch. with PILs'!B51-C90</f>
        <v>0.04485044471229015</v>
      </c>
    </row>
    <row r="92" ht="15">
      <c r="A92" s="32"/>
    </row>
    <row r="94" ht="15.75">
      <c r="A94" s="62" t="s">
        <v>306</v>
      </c>
    </row>
    <row r="95" spans="1:3" ht="15.75">
      <c r="A95" s="250"/>
      <c r="B95" s="32"/>
      <c r="C95" s="32"/>
    </row>
    <row r="96" spans="1:3" ht="14.25" customHeight="1">
      <c r="A96" s="85" t="s">
        <v>299</v>
      </c>
      <c r="B96" s="85"/>
      <c r="C96" s="260">
        <f>E27*D27*12</f>
        <v>0</v>
      </c>
    </row>
    <row r="97" spans="1:3" ht="12" customHeight="1">
      <c r="A97" s="85" t="s">
        <v>302</v>
      </c>
      <c r="B97" s="85"/>
      <c r="C97" s="261">
        <f>'8. 2004 Rate Sch. with PILs'!B60*D27*12</f>
        <v>0</v>
      </c>
    </row>
    <row r="98" spans="1:3" ht="15" customHeight="1">
      <c r="A98" s="85" t="s">
        <v>294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295</v>
      </c>
      <c r="B100" s="258" t="s">
        <v>297</v>
      </c>
      <c r="C100" s="264" t="e">
        <f>C98/B27</f>
        <v>#DIV/0!</v>
      </c>
    </row>
    <row r="101" spans="1:4" ht="13.5" thickBot="1">
      <c r="A101" s="85" t="s">
        <v>296</v>
      </c>
      <c r="B101" s="258" t="s">
        <v>297</v>
      </c>
      <c r="D101" s="262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307</v>
      </c>
    </row>
    <row r="105" spans="1:3" ht="12.75" customHeight="1">
      <c r="A105" s="250"/>
      <c r="B105" s="32"/>
      <c r="C105" s="32"/>
    </row>
    <row r="106" spans="1:3" ht="12.75">
      <c r="A106" s="85" t="s">
        <v>299</v>
      </c>
      <c r="B106" s="85"/>
      <c r="C106" s="260">
        <f>E28*D28*12</f>
        <v>430.32</v>
      </c>
    </row>
    <row r="107" spans="1:3" ht="12.75">
      <c r="A107" s="85" t="s">
        <v>302</v>
      </c>
      <c r="B107" s="85"/>
      <c r="C107" s="261">
        <f>'8. 2004 Rate Sch. with PILs'!B67*D28*12</f>
        <v>369.59999999999997</v>
      </c>
    </row>
    <row r="108" spans="1:3" ht="12.75">
      <c r="A108" s="85" t="s">
        <v>294</v>
      </c>
      <c r="B108" s="85"/>
      <c r="C108" s="260">
        <f>C106-C107</f>
        <v>60.72000000000003</v>
      </c>
    </row>
    <row r="109" spans="1:3" ht="12.75">
      <c r="A109" s="85"/>
      <c r="B109" s="85"/>
      <c r="C109" s="85"/>
    </row>
    <row r="110" spans="1:3" ht="13.5" thickBot="1">
      <c r="A110" s="85" t="s">
        <v>295</v>
      </c>
      <c r="B110" s="258" t="s">
        <v>297</v>
      </c>
      <c r="C110" s="263">
        <f>C108/B28</f>
        <v>2.438554216867471</v>
      </c>
    </row>
    <row r="111" spans="1:4" ht="13.5" thickBot="1">
      <c r="A111" s="85" t="s">
        <v>296</v>
      </c>
      <c r="B111" s="258" t="s">
        <v>297</v>
      </c>
      <c r="D111" s="262">
        <f>'8. 2004 Rate Sch. with PILs'!B65-C110</f>
        <v>4.714867138332227</v>
      </c>
    </row>
    <row r="112" ht="12.75" customHeight="1">
      <c r="A112" s="32"/>
    </row>
    <row r="113" ht="17.25" customHeight="1">
      <c r="A113" s="28" t="s">
        <v>311</v>
      </c>
    </row>
    <row r="114" ht="12" customHeight="1">
      <c r="A114" s="32"/>
    </row>
    <row r="115" ht="13.5" customHeight="1">
      <c r="A115" s="62" t="s">
        <v>308</v>
      </c>
    </row>
    <row r="116" spans="1:3" ht="12" customHeight="1">
      <c r="A116" s="250"/>
      <c r="B116" s="32"/>
      <c r="C116" s="32"/>
    </row>
    <row r="117" spans="1:3" ht="12.75">
      <c r="A117" s="85" t="s">
        <v>299</v>
      </c>
      <c r="B117" s="85"/>
      <c r="C117" s="260">
        <f>E28*D28*12</f>
        <v>430.32</v>
      </c>
    </row>
    <row r="118" spans="1:3" ht="12.75">
      <c r="A118" s="85" t="s">
        <v>302</v>
      </c>
      <c r="B118" s="85"/>
      <c r="C118" s="261">
        <f>'8. 2004 Rate Sch. with PILs'!B75*D28*12</f>
        <v>0</v>
      </c>
    </row>
    <row r="119" spans="1:3" ht="12.75">
      <c r="A119" s="85" t="s">
        <v>294</v>
      </c>
      <c r="B119" s="85"/>
      <c r="C119" s="260">
        <f>C117-C118</f>
        <v>430.32</v>
      </c>
    </row>
    <row r="120" spans="1:3" ht="12.75">
      <c r="A120" s="85"/>
      <c r="B120" s="85"/>
      <c r="C120" s="85"/>
    </row>
    <row r="121" spans="1:3" ht="13.5" thickBot="1">
      <c r="A121" s="85" t="s">
        <v>295</v>
      </c>
      <c r="B121" s="258" t="s">
        <v>297</v>
      </c>
      <c r="C121" s="263">
        <f>C119/B28</f>
        <v>17.281927710843373</v>
      </c>
    </row>
    <row r="122" spans="1:4" ht="13.5" thickBot="1">
      <c r="A122" s="85" t="s">
        <v>296</v>
      </c>
      <c r="B122" s="258" t="s">
        <v>297</v>
      </c>
      <c r="D122" s="262">
        <f>'8. 2004 Rate Sch. with PILs'!B73-C121</f>
        <v>-14.554106355643674</v>
      </c>
    </row>
    <row r="123" ht="15">
      <c r="A123" s="32"/>
    </row>
    <row r="125" ht="15.75">
      <c r="A125" s="62" t="s">
        <v>309</v>
      </c>
    </row>
    <row r="126" spans="1:3" ht="15.75">
      <c r="A126" s="250"/>
      <c r="B126" s="32"/>
      <c r="C126" s="32"/>
    </row>
    <row r="127" spans="1:3" ht="12.75">
      <c r="A127" s="85" t="s">
        <v>299</v>
      </c>
      <c r="B127" s="85"/>
      <c r="C127" s="260">
        <f>E29*D29*12</f>
        <v>4698.72</v>
      </c>
    </row>
    <row r="128" spans="1:3" ht="12.75">
      <c r="A128" s="85" t="s">
        <v>302</v>
      </c>
      <c r="B128" s="85"/>
      <c r="C128" s="261">
        <f>'8. 2004 Rate Sch. with PILs'!B82*D29*12</f>
        <v>4096.32</v>
      </c>
    </row>
    <row r="129" spans="1:3" ht="13.5" customHeight="1">
      <c r="A129" s="85" t="s">
        <v>294</v>
      </c>
      <c r="B129" s="85"/>
      <c r="C129" s="260">
        <f>C127-C128</f>
        <v>602.4000000000005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295</v>
      </c>
      <c r="B131" s="258" t="s">
        <v>297</v>
      </c>
      <c r="C131" s="267">
        <f>C129/B29</f>
        <v>0.5599033367413333</v>
      </c>
    </row>
    <row r="132" spans="1:4" ht="12.75" customHeight="1" thickBot="1">
      <c r="A132" s="85" t="s">
        <v>296</v>
      </c>
      <c r="B132" s="258" t="s">
        <v>297</v>
      </c>
      <c r="D132" s="262">
        <f>'8. 2004 Rate Sch. with PILs'!B80-C131</f>
        <v>4.246798676922417</v>
      </c>
    </row>
    <row r="133" ht="15">
      <c r="A133" s="32"/>
    </row>
    <row r="134" spans="1:4" ht="15.75">
      <c r="A134" s="28" t="s">
        <v>311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310</v>
      </c>
    </row>
    <row r="137" spans="1:3" ht="15.75">
      <c r="A137" s="250"/>
      <c r="B137" s="32"/>
      <c r="C137" s="32"/>
    </row>
    <row r="138" spans="1:3" ht="12.75">
      <c r="A138" s="85" t="s">
        <v>299</v>
      </c>
      <c r="B138" s="85"/>
      <c r="C138" s="260">
        <f>E29*D29*12</f>
        <v>4698.72</v>
      </c>
    </row>
    <row r="139" spans="1:3" ht="12.75">
      <c r="A139" s="85" t="s">
        <v>302</v>
      </c>
      <c r="B139" s="85"/>
      <c r="C139" s="261">
        <f>'8. 2004 Rate Sch. with PILs'!B90*D29*12</f>
        <v>0</v>
      </c>
    </row>
    <row r="140" spans="1:3" ht="12.75">
      <c r="A140" s="85" t="s">
        <v>294</v>
      </c>
      <c r="B140" s="85"/>
      <c r="C140" s="260">
        <f>C138-C139</f>
        <v>4698.72</v>
      </c>
    </row>
    <row r="141" spans="1:3" ht="12.75">
      <c r="A141" s="85"/>
      <c r="B141" s="85"/>
      <c r="C141" s="85"/>
    </row>
    <row r="142" spans="1:3" ht="13.5" thickBot="1">
      <c r="A142" s="85" t="s">
        <v>295</v>
      </c>
      <c r="B142" s="258" t="s">
        <v>297</v>
      </c>
      <c r="C142" s="264">
        <f>C140/B29</f>
        <v>4.367246026582396</v>
      </c>
    </row>
    <row r="143" spans="1:4" ht="13.5" thickBot="1">
      <c r="A143" s="85" t="s">
        <v>296</v>
      </c>
      <c r="B143" s="258" t="s">
        <v>297</v>
      </c>
      <c r="D143" s="262">
        <f>'8. 2004 Rate Sch. with PILs'!B88-C142</f>
        <v>-2.437844012918645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3" ht="12.75">
      <c r="C163" s="82"/>
    </row>
  </sheetData>
  <sheetProtection/>
  <printOptions/>
  <pageMargins left="0.31" right="0.17" top="0.45" bottom="0.5" header="0.28" footer="0.23"/>
  <pageSetup fitToHeight="2" horizontalDpi="600" verticalDpi="600" orientation="portrait" scale="74" r:id="rId1"/>
  <rowBreaks count="2" manualBreakCount="2">
    <brk id="63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Ian</cp:lastModifiedBy>
  <cp:lastPrinted>2004-03-12T19:59:07Z</cp:lastPrinted>
  <dcterms:created xsi:type="dcterms:W3CDTF">2001-10-05T18:25:02Z</dcterms:created>
  <dcterms:modified xsi:type="dcterms:W3CDTF">2011-12-15T15:44:21Z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