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763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<sst xmlns="http://schemas.openxmlformats.org/spreadsheetml/2006/main" count="844" uniqueCount="493">
  <si>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</si>
  <si>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</si>
  <si>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</si>
  <si>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</si>
  <si>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</si>
  <si>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</si>
  <si>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</si>
  <si>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</si>
  <si>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</si>
  <si>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</si>
  <si>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</si>
  <si>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</si>
  <si>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</si>
  <si>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</si>
  <si>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</si>
  <si>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</si>
  <si>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</si>
  <si>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</si>
  <si>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</si>
  <si>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</si>
  <si>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</si>
  <si>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</si>
  <si>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</si>
  <si>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</si>
  <si>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</si>
  <si>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</si>
  <si>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</si>
  <si>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</si>
  <si>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</si>
  <si>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</si>
  <si>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</si>
  <si>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</si>
  <si>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</si>
  <si>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</si>
  <si>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</si>
  <si>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</si>
  <si>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</si>
  <si>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</si>
  <si>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</si>
  <si>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</si>
  <si>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</si>
  <si>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</si>
  <si>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</si>
  <si>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</si>
  <si>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</si>
  <si>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</si>
  <si>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</si>
  <si>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</si>
  <si>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</si>
  <si>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</si>
  <si>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</si>
  <si>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</si>
  <si>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</si>
  <si>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</si>
  <si>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</si>
  <si>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</si>
  <si>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</si>
  <si>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</si>
  <si>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</si>
  <si>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</si>
  <si>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</si>
  <si>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</si>
  <si>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</si>
  <si>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</si>
  <si>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</si>
  <si>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</si>
  <si>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</si>
  <si>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</si>
  <si>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</si>
  <si>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</si>
  <si>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</si>
  <si>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</si>
  <si>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</si>
  <si>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</si>
  <si>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</si>
  <si>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</si>
  <si>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</si>
  <si>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</si>
  <si>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</si>
  <si>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</si>
  <si>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</si>
  <si>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</si>
  <si>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</si>
  <si>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</si>
  <si>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</si>
  <si>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</si>
  <si>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</si>
  <si>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</si>
  <si>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</si>
  <si>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</si>
  <si>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</si>
  <si>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</si>
  <si>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</si>
  <si>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</si>
  <si>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</si>
  <si>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</si>
  <si>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</si>
  <si>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</si>
  <si>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</si>
  <si>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</si>
  <si>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</si>
  <si>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</si>
  <si>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</si>
  <si>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</si>
  <si>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</si>
  <si>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</si>
  <si>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</si>
  <si>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</si>
  <si>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</si>
  <si>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</si>
  <si>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</si>
  <si>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</si>
  <si>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</si>
  <si>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</si>
  <si>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</si>
  <si>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</si>
  <si>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</si>
  <si>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</si>
  <si>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</si>
  <si>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</si>
  <si>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</si>
  <si>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</si>
  <si>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</si>
  <si>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</si>
  <si>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</si>
  <si>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</si>
  <si>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</si>
  <si>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</si>
  <si>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</si>
  <si>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</si>
  <si>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</si>
  <si>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</si>
  <si>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</si>
  <si>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</si>
  <si>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</si>
  <si>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</si>
  <si>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</si>
  <si>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</si>
  <si>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</si>
  <si>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</si>
  <si>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</si>
  <si>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</si>
  <si>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</si>
  <si>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</si>
  <si>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</si>
  <si>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</si>
  <si>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</si>
  <si>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</si>
  <si>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</si>
  <si>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</si>
  <si>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</si>
  <si>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</si>
  <si>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</si>
  <si>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</si>
  <si>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</si>
  <si>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</si>
  <si>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</si>
  <si>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</si>
  <si>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</si>
  <si>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</si>
  <si>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</si>
  <si>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</si>
  <si>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</si>
  <si>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</si>
  <si>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</si>
  <si>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</si>
  <si>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</si>
  <si>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</si>
  <si>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</si>
  <si>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</si>
  <si>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</si>
  <si>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</si>
  <si>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</si>
  <si>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</si>
  <si>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</si>
  <si>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</si>
  <si>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</si>
  <si>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</si>
  <si>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</si>
  <si>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</si>
  <si>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</si>
  <si>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</si>
  <si>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</si>
  <si>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</si>
  <si>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</si>
  <si>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</si>
  <si>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</si>
  <si>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</si>
  <si>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</si>
  <si>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</si>
  <si>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</si>
  <si>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</si>
  <si>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</si>
  <si>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</si>
  <si>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</si>
  <si>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</si>
  <si>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</si>
  <si>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</si>
  <si>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</si>
  <si>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</si>
  <si>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</si>
  <si>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</si>
  <si>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</si>
  <si>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</si>
  <si>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</si>
  <si>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</si>
  <si>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</si>
  <si>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</si>
  <si>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</si>
  <si>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</si>
  <si>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</si>
  <si>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</si>
  <si>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</si>
  <si>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</si>
  <si>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</si>
  <si>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</si>
  <si>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</si>
  <si>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</si>
  <si>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</si>
  <si>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</si>
  <si>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</si>
  <si>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</si>
  <si>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</si>
  <si>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</si>
  <si>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</si>
  <si>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</si>
  <si>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</si>
  <si>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</si>
  <si>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</si>
  <si>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</si>
  <si>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</si>
  <si>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</si>
  <si>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</si>
  <si>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</si>
  <si>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</si>
  <si>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</si>
  <si>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</si>
  <si>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</si>
  <si>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</si>
  <si>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</si>
  <si>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</si>
  <si>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</si>
  <si>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</si>
  <si>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</si>
  <si>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</si>
  <si>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</si>
  <si>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</si>
  <si>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</si>
  <si>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</si>
  <si>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</si>
  <si>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</si>
  <si>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</si>
  <si>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</si>
  <si>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</si>
  <si>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</si>
  <si>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</si>
  <si>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</si>
  <si>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</si>
  <si>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</si>
  <si>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</si>
  <si>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</si>
  <si>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</si>
  <si>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</si>
  <si>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</si>
  <si>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</si>
  <si>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</si>
  <si>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</si>
  <si>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</si>
  <si>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</si>
  <si>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</si>
  <si>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</si>
  <si>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</si>
  <si>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</si>
  <si>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</si>
  <si>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</si>
  <si>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</si>
  <si>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</si>
  <si>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</si>
  <si>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</si>
  <si>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</si>
  <si>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</si>
  <si>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</si>
  <si>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</si>
  <si>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</si>
  <si>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</si>
  <si>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</si>
  <si>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</si>
  <si>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</si>
  <si>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</si>
  <si>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</si>
  <si>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</si>
  <si>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</si>
  <si>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</si>
  <si>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</si>
  <si>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</si>
  <si>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</si>
  <si>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</si>
  <si>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</si>
  <si>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</si>
  <si>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</si>
  <si>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</si>
  <si>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</si>
  <si>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</si>
  <si>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</si>
  <si>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</si>
  <si>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</si>
  <si>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</si>
  <si>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</si>
  <si>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</si>
  <si>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</si>
  <si>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</si>
  <si>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</si>
  <si>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</si>
  <si>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</si>
  <si>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</si>
  <si>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</si>
  <si>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</si>
  <si>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</si>
  <si>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</si>
  <si>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</si>
  <si>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</si>
  <si>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</si>
  <si>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</si>
  <si>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</si>
  <si>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</si>
  <si>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</si>
  <si>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</si>
  <si>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</si>
  <si>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</si>
  <si>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</si>
  <si>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</si>
  <si>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</si>
  <si>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</si>
  <si>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</si>
  <si>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</si>
  <si>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</si>
  <si>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</si>
  <si>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</si>
  <si>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</si>
  <si>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</si>
  <si>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</si>
  <si>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</si>
  <si>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</si>
  <si>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</si>
  <si>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</si>
  <si>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</si>
  <si>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</si>
  <si>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</si>
  <si>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</si>
  <si>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</si>
  <si>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</si>
  <si>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</si>
  <si>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</si>
  <si>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</si>
  <si>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</si>
  <si>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</si>
  <si>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</si>
  <si>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</si>
  <si>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</si>
  <si>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</si>
  <si>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</si>
  <si>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</si>
  <si>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</si>
  <si>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</si>
  <si>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</si>
  <si>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</si>
  <si>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</si>
  <si>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</si>
  <si>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</si>
  <si>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</si>
  <si>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</si>
  <si>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</si>
  <si>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</si>
  <si>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</si>
  <si>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</si>
  <si>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</si>
  <si>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</si>
  <si>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</si>
  <si>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</si>
  <si>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</si>
  <si>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</si>
  <si>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</si>
  <si>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</si>
  <si>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</si>
  <si>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</si>
  <si>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</si>
  <si>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</si>
  <si>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</si>
  <si>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</si>
  <si>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</si>
  <si>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</si>
  <si>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</si>
  <si>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</si>
  <si>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</si>
  <si>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</si>
  <si>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</si>
  <si>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</si>
  <si>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</si>
  <si>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</si>
  <si>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</si>
  <si>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</si>
  <si>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</si>
  <si>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</si>
  <si>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</si>
  <si>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</si>
  <si>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</si>
  <si>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</si>
  <si>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</si>
  <si>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</si>
  <si>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</si>
  <si>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</si>
  <si>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</si>
  <si>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</si>
  <si>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</si>
  <si>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</si>
  <si>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</si>
  <si>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</si>
  <si>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</si>
  <si>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</si>
  <si>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</si>
  <si>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</si>
  <si>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</si>
  <si>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</si>
  <si>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</si>
  <si>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</si>
  <si>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</si>
  <si>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</si>
  <si>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</si>
  <si>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</si>
  <si>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</si>
  <si>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</si>
  <si>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</si>
  <si>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</si>
  <si>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</si>
  <si>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</si>
  <si>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</si>
  <si>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</si>
  <si>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</si>
  <si>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</si>
  <si>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</si>
  <si>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</si>
  <si>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</si>
  <si>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</si>
  <si>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</si>
  <si>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</si>
  <si>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</si>
  <si>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</si>
  <si>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</si>
  <si>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</si>
  <si>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</si>
  <si>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</si>
  <si>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</si>
  <si>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</si>
  <si>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</si>
  <si>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</si>
  <si>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</si>
  <si>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</si>
  <si>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</si>
  <si>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</si>
  <si>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</si>
  <si>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</si>
  <si>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</si>
  <si>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</si>
  <si>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</si>
  <si>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</si>
  <si>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</si>
  <si>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</si>
  <si>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</si>
  <si>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</si>
  <si>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</si>
  <si>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</si>
  <si>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</si>
  <si>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</si>
  <si>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</si>
  <si>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</si>
  <si>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</si>
  <si>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</si>
  <si>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</si>
  <si>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</si>
  <si>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</si>
  <si>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SEE MONTHLY CONTINUITY SCHEDULE</t>
  </si>
  <si>
    <t>Rate</t>
  </si>
  <si>
    <t xml:space="preserve">Rate </t>
  </si>
  <si>
    <t xml:space="preserve">Income Tax Rate </t>
  </si>
  <si>
    <t>Other items expensed</t>
  </si>
  <si>
    <t>Employee Future Benefits</t>
  </si>
  <si>
    <t xml:space="preserve">Employee Future Benefits </t>
  </si>
  <si>
    <t>Utility Name: Parry Sound Power Corporation</t>
  </si>
  <si>
    <t xml:space="preserve"> Tax Rates </t>
  </si>
  <si>
    <t xml:space="preserve">Income Tax Rate used for gross- up </t>
  </si>
  <si>
    <t>Transition Costs capitalized for accounting purposes</t>
  </si>
  <si>
    <t xml:space="preserve">Taxable </t>
  </si>
  <si>
    <t xml:space="preserve">Income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</si>
</sst>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0.0000%"/>
    <numFmt numFmtId="167" formatCode="&quot;$&quot;#,##0.00"/>
    <numFmt numFmtId="168" formatCode="0.000%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00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6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6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8" fontId="0" fillId="36" borderId="44" xfId="0" applyNumberFormat="1" applyFill="1" applyBorder="1" applyAlignment="1" applyProtection="1">
      <alignment horizontal="center" vertical="top"/>
      <protection locked="0"/>
    </xf>
    <xf numFmtId="16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1" fillId="0" borderId="0" xfId="0" applyNumberFormat="1" applyFont="1" applyFill="1" applyBorder="1" applyAlignment="1">
      <alignment vertical="top"/>
    </xf>
    <xf numFmtId="0" fontId="61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6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10" fontId="0" fillId="37" borderId="14" xfId="0" applyNumberFormat="1" applyFill="1" applyBorder="1" applyAlignment="1" applyProtection="1">
      <alignment/>
      <protection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165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481" t="s">
        <v>487</v>
      </c>
      <c r="C3" s="8"/>
      <c r="D3" s="435" t="s">
        <v>440</v>
      </c>
      <c r="E3" s="8"/>
      <c r="F3" s="8"/>
      <c r="G3" s="8"/>
      <c r="H3" s="8"/>
    </row>
    <row r="4" spans="1:8" ht="12.75">
      <c r="A4" s="2" t="s">
        <v>466</v>
      </c>
      <c r="C4" s="8"/>
      <c r="D4" s="434" t="s">
        <v>435</v>
      </c>
      <c r="E4" s="408"/>
      <c r="H4" s="8"/>
    </row>
    <row r="5" spans="1:8" ht="12.75">
      <c r="A5" s="52"/>
      <c r="C5" s="8"/>
      <c r="D5" s="433" t="s">
        <v>436</v>
      </c>
      <c r="E5" s="379"/>
      <c r="H5" s="8"/>
    </row>
    <row r="6" spans="1:8" ht="12.75">
      <c r="A6" s="2" t="s">
        <v>126</v>
      </c>
      <c r="B6" s="36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0" t="s">
        <v>313</v>
      </c>
      <c r="C18" s="8"/>
      <c r="D18" s="8"/>
    </row>
    <row r="19" spans="1:4" ht="15" customHeight="1">
      <c r="A19" s="486" t="s">
        <v>314</v>
      </c>
      <c r="B19" s="8" t="s">
        <v>311</v>
      </c>
      <c r="C19" s="8" t="s">
        <v>64</v>
      </c>
      <c r="D19" s="369"/>
    </row>
    <row r="20" spans="1:4" ht="13.5" thickBot="1">
      <c r="A20" s="487"/>
      <c r="B20" s="8" t="s">
        <v>312</v>
      </c>
      <c r="C20" s="8" t="s">
        <v>64</v>
      </c>
      <c r="D20" s="256"/>
    </row>
    <row r="21" spans="1:4" ht="12.75">
      <c r="A21" s="486" t="s">
        <v>310</v>
      </c>
      <c r="B21" s="8" t="s">
        <v>311</v>
      </c>
      <c r="C21" s="8"/>
      <c r="D21" s="403">
        <v>1</v>
      </c>
    </row>
    <row r="22" spans="1:4" ht="12.75">
      <c r="A22" s="486"/>
      <c r="B22" s="8" t="s">
        <v>312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212</v>
      </c>
      <c r="C24" s="8" t="s">
        <v>213</v>
      </c>
      <c r="D24" s="404" t="s">
        <v>467</v>
      </c>
    </row>
    <row r="25" ht="6.75" customHeight="1" thickBot="1">
      <c r="A25" s="12"/>
    </row>
    <row r="26" spans="1:5" ht="12.75">
      <c r="A26" s="253" t="s">
        <v>67</v>
      </c>
      <c r="C26" s="8"/>
      <c r="E26" s="423" t="s">
        <v>296</v>
      </c>
    </row>
    <row r="27" spans="1:5" ht="12.75">
      <c r="A27" s="254" t="s">
        <v>68</v>
      </c>
      <c r="C27" s="8"/>
      <c r="E27" s="424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01">
        <v>6561667</v>
      </c>
      <c r="H31" s="5"/>
    </row>
    <row r="32" ht="6" customHeight="1"/>
    <row r="33" spans="1:8" ht="12.75">
      <c r="A33" t="s">
        <v>71</v>
      </c>
      <c r="D33" s="40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2">
        <v>0.0988</v>
      </c>
      <c r="H37" s="41"/>
    </row>
    <row r="38" ht="4.5" customHeight="1">
      <c r="H38" s="34"/>
    </row>
    <row r="39" spans="1:8" ht="12.75">
      <c r="A39" t="s">
        <v>74</v>
      </c>
      <c r="D39" s="402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5">
        <v>21594</v>
      </c>
      <c r="E43" s="368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540412.77855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6">
        <v>180138</v>
      </c>
      <c r="E47" s="368">
        <f aca="true" t="shared" si="0" ref="E47:E53">D47</f>
        <v>180138</v>
      </c>
      <c r="H47" s="40"/>
      <c r="J47" s="5"/>
      <c r="K47" s="5"/>
    </row>
    <row r="48" spans="1:11" ht="12.75">
      <c r="A48" t="s">
        <v>289</v>
      </c>
      <c r="D48" s="406">
        <v>180138</v>
      </c>
      <c r="E48" s="368">
        <f>D48</f>
        <v>180138</v>
      </c>
      <c r="F48" s="22"/>
      <c r="H48" s="40"/>
      <c r="J48" s="5"/>
      <c r="K48" s="5"/>
    </row>
    <row r="49" spans="1:11" ht="12.75">
      <c r="A49" t="s">
        <v>290</v>
      </c>
      <c r="D49" s="407"/>
      <c r="E49" s="368">
        <v>0</v>
      </c>
      <c r="F49" s="22"/>
      <c r="H49" s="40"/>
      <c r="J49" s="5"/>
      <c r="K49" s="5"/>
    </row>
    <row r="50" spans="1:11" ht="12.75">
      <c r="A50" t="s">
        <v>291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432</v>
      </c>
      <c r="D51" s="408"/>
      <c r="E51" s="368">
        <f t="shared" si="0"/>
        <v>0</v>
      </c>
      <c r="H51" s="40"/>
      <c r="J51" s="5"/>
      <c r="K51" s="5"/>
    </row>
    <row r="52" spans="1:11" ht="12.75">
      <c r="A52" t="s">
        <v>455</v>
      </c>
      <c r="D52" s="408"/>
      <c r="E52" s="368">
        <f t="shared" si="0"/>
        <v>0</v>
      </c>
      <c r="H52" s="40"/>
      <c r="J52" s="5"/>
      <c r="K52" s="5"/>
    </row>
    <row r="53" spans="4:11" ht="12.75">
      <c r="D53" s="408"/>
      <c r="E53" s="368">
        <f t="shared" si="0"/>
        <v>0</v>
      </c>
      <c r="H53" s="40"/>
      <c r="J53" s="5"/>
      <c r="K53" s="5"/>
    </row>
    <row r="54" spans="1:11" ht="12.75">
      <c r="A54" s="2" t="s">
        <v>292</v>
      </c>
      <c r="E54" s="252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0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161620.40280210154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51">
        <f>D62</f>
        <v>237860.42875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42">
      <selection activeCell="G46" sqref="G4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457</v>
      </c>
      <c r="H1" s="208"/>
    </row>
    <row r="2" spans="1:8" ht="12.75">
      <c r="A2" s="209" t="s">
        <v>456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458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249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Parry Sound Power Corporation</v>
      </c>
      <c r="B6" s="114"/>
      <c r="D6" s="136"/>
      <c r="E6" s="114"/>
      <c r="G6" s="114"/>
      <c r="H6" s="445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5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09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255</v>
      </c>
      <c r="B10" s="409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339</v>
      </c>
      <c r="B16" s="124">
        <v>1</v>
      </c>
      <c r="C16" s="258">
        <v>351847</v>
      </c>
      <c r="D16" s="17"/>
      <c r="E16" s="266">
        <f>G16-C16</f>
        <v>-178938</v>
      </c>
      <c r="F16" s="3"/>
      <c r="G16" s="266">
        <f>TAXREC!E50</f>
        <v>172909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408012</v>
      </c>
      <c r="D20" s="18"/>
      <c r="E20" s="266">
        <f>G20-C20</f>
        <v>-82365</v>
      </c>
      <c r="F20" s="6"/>
      <c r="G20" s="266">
        <f>TAXREC!E61</f>
        <v>325647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263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264</v>
      </c>
      <c r="B24" s="126">
        <v>5</v>
      </c>
      <c r="C24" s="260">
        <v>8064</v>
      </c>
      <c r="D24" s="18"/>
      <c r="E24" s="266">
        <f>G24-C24</f>
        <v>-8064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62" t="s">
        <v>388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291119</v>
      </c>
      <c r="D33" s="131"/>
      <c r="E33" s="266">
        <f aca="true" t="shared" si="0" ref="E33:E42">G33-C33</f>
        <v>34004</v>
      </c>
      <c r="F33" s="6"/>
      <c r="G33" s="266">
        <f>TAXREC!E97+TAXREC!E98</f>
        <v>325123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265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v>148913</v>
      </c>
      <c r="D37" s="131"/>
      <c r="E37" s="266">
        <f t="shared" si="0"/>
        <v>27531</v>
      </c>
      <c r="F37" s="6"/>
      <c r="G37" s="266">
        <f>TAXREC!E51</f>
        <v>176444</v>
      </c>
      <c r="H37" s="150"/>
    </row>
    <row r="38" spans="1:8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0</v>
      </c>
      <c r="F47" s="6"/>
      <c r="G47" s="249">
        <f>TAXREC!E111</f>
        <v>0</v>
      </c>
      <c r="H47" s="150"/>
    </row>
    <row r="48" spans="1:8" ht="15.75">
      <c r="A48" s="462" t="s">
        <v>388</v>
      </c>
      <c r="B48" s="126"/>
      <c r="C48" s="258"/>
      <c r="D48" s="131"/>
      <c r="E48" s="266">
        <f>G48-C48</f>
        <v>146705</v>
      </c>
      <c r="F48" s="6"/>
      <c r="G48" s="249">
        <f>TAXREC!E108</f>
        <v>146705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328</v>
      </c>
      <c r="B50" s="124"/>
      <c r="C50" s="262">
        <f>C16+SUM(C20:C30)-SUM(C33:C48)</f>
        <v>327891</v>
      </c>
      <c r="D50" s="101"/>
      <c r="E50" s="262">
        <f>E16+SUM(E20:E30)-SUM(E33:E48)</f>
        <v>-477607</v>
      </c>
      <c r="F50" s="411" t="s">
        <v>363</v>
      </c>
      <c r="G50" s="262">
        <f>G16+SUM(G20:G30)-SUM(G33:G48)</f>
        <v>-149716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336</v>
      </c>
      <c r="B52" s="126"/>
      <c r="C52" s="107"/>
      <c r="D52" s="131"/>
      <c r="E52" s="138"/>
      <c r="F52" s="6"/>
      <c r="G52" s="138"/>
      <c r="H52" s="150"/>
    </row>
    <row r="53" spans="1:9" ht="12.75">
      <c r="A53" s="482" t="s">
        <v>488</v>
      </c>
      <c r="B53" s="126">
        <v>13</v>
      </c>
      <c r="C53" s="261">
        <f>'Tax Rates'!E16</f>
        <v>0.3412</v>
      </c>
      <c r="D53" s="101"/>
      <c r="E53" s="267">
        <f>+G53-C53</f>
        <v>0</v>
      </c>
      <c r="F53" s="113"/>
      <c r="G53" s="452">
        <f>C53</f>
        <v>0.3412</v>
      </c>
      <c r="H53" s="150"/>
      <c r="I53" s="449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111876.4092</v>
      </c>
      <c r="D55" s="101"/>
      <c r="E55" s="266">
        <f>G55-C55</f>
        <v>-111876.4092</v>
      </c>
      <c r="F55" s="411" t="s">
        <v>364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1" t="s">
        <v>364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111876.4092</v>
      </c>
      <c r="D60" s="132"/>
      <c r="E60" s="268">
        <f>+E55-E58</f>
        <v>-111876.4092</v>
      </c>
      <c r="F60" s="411" t="s">
        <v>364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6561667</v>
      </c>
      <c r="D66" s="101"/>
      <c r="E66" s="266">
        <f>G66-C66</f>
        <v>-375689</v>
      </c>
      <c r="F66" s="6"/>
      <c r="G66" s="454">
        <v>6185978</v>
      </c>
      <c r="H66" s="150"/>
      <c r="I66" s="455" t="s">
        <v>465</v>
      </c>
    </row>
    <row r="67" spans="1:10" ht="12.75">
      <c r="A67" s="151" t="s">
        <v>356</v>
      </c>
      <c r="B67" s="124">
        <v>16</v>
      </c>
      <c r="C67" s="259">
        <f>IF(C66&gt;0,'Tax Rates'!C21,0)</f>
        <v>5000000</v>
      </c>
      <c r="D67" s="101"/>
      <c r="E67" s="266">
        <f>G67-C67</f>
        <v>-998291</v>
      </c>
      <c r="F67" s="6"/>
      <c r="G67" s="454">
        <v>4001709</v>
      </c>
      <c r="H67" s="150"/>
      <c r="I67" s="455" t="s">
        <v>465</v>
      </c>
      <c r="J67" s="468"/>
    </row>
    <row r="68" spans="1:8" ht="12.75">
      <c r="A68" s="151" t="s">
        <v>42</v>
      </c>
      <c r="B68" s="124"/>
      <c r="C68" s="263">
        <f>IF((C66-C67)&gt;0,C66-C67,0)</f>
        <v>1561667</v>
      </c>
      <c r="D68" s="101"/>
      <c r="E68" s="266">
        <f>SUM(E66:E67)</f>
        <v>-1373980</v>
      </c>
      <c r="F68" s="113"/>
      <c r="G68" s="263">
        <f>G66-G67</f>
        <v>2184269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315</v>
      </c>
      <c r="B72" s="124"/>
      <c r="C72" s="263">
        <f>IF(C68&gt;0,C68*C70,0)*REGINFO!$B$6/REGINFO!$B$7</f>
        <v>4685.001</v>
      </c>
      <c r="D72" s="100"/>
      <c r="E72" s="266">
        <f>+G72-C72</f>
        <v>1867.8059999999987</v>
      </c>
      <c r="F72" s="456"/>
      <c r="G72" s="263">
        <f>IF(G68&gt;0,G68*G70,0)*REGINFO!$B$6/REGINFO!$B$7</f>
        <v>6552.806999999999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6561667</v>
      </c>
      <c r="D75" s="101"/>
      <c r="E75" s="266">
        <f>+G75-C75</f>
        <v>-6561667</v>
      </c>
      <c r="F75" s="6"/>
      <c r="G75" s="454"/>
      <c r="H75" s="150"/>
      <c r="I75" s="455" t="s">
        <v>465</v>
      </c>
    </row>
    <row r="76" spans="1:9" ht="12.75">
      <c r="A76" s="151" t="s">
        <v>356</v>
      </c>
      <c r="B76" s="124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454"/>
      <c r="H76" s="150"/>
      <c r="I76" s="455" t="s">
        <v>465</v>
      </c>
    </row>
    <row r="77" spans="1:8" ht="12.75">
      <c r="A77" s="151" t="s">
        <v>42</v>
      </c>
      <c r="B77" s="124"/>
      <c r="C77" s="263">
        <f>IF((C75-C76)&gt;0,C75-C76,0)</f>
        <v>0</v>
      </c>
      <c r="D77" s="19"/>
      <c r="E77" s="266">
        <f>SUM(E75:E76)</f>
        <v>-16561667</v>
      </c>
      <c r="F77" s="113"/>
      <c r="G77" s="263">
        <f>G75-G76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3">
        <f>IF(C77&gt;0,C77*C79,0)*REGINFO!$B$6/REGINFO!$B$7</f>
        <v>0</v>
      </c>
      <c r="D81" s="101"/>
      <c r="E81" s="266">
        <f>+G81-C81</f>
        <v>0</v>
      </c>
      <c r="F81" s="6"/>
      <c r="G81" s="263">
        <f>G77*G79*B9/B10</f>
        <v>0</v>
      </c>
      <c r="H81" s="150"/>
    </row>
    <row r="82" spans="1:8" ht="12.75">
      <c r="A82" s="151" t="s">
        <v>317</v>
      </c>
      <c r="B82" s="124">
        <v>21</v>
      </c>
      <c r="C82" s="299">
        <f>IF(C77&gt;0,IF(C60&gt;0,C50*'Tax Rates'!C20,0),0)</f>
        <v>0</v>
      </c>
      <c r="D82" s="101"/>
      <c r="E82" s="266">
        <f>+G82-C82</f>
        <v>0</v>
      </c>
      <c r="F82" s="6"/>
      <c r="G82" s="299"/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0</v>
      </c>
      <c r="D84" s="16"/>
      <c r="E84" s="266">
        <f>E81-E82</f>
        <v>0</v>
      </c>
      <c r="F84" s="102"/>
      <c r="G84" s="263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482" t="s">
        <v>489</v>
      </c>
      <c r="B88" s="124"/>
      <c r="C88" s="261">
        <f>'Tax Rates'!E16</f>
        <v>0.3412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365</v>
      </c>
      <c r="B90" s="126">
        <v>22</v>
      </c>
      <c r="C90" s="263">
        <f>(C60/(1-C88))+1</f>
        <v>169819.4717668488</v>
      </c>
      <c r="D90" s="20"/>
      <c r="E90" s="138"/>
      <c r="F90" s="410" t="s">
        <v>474</v>
      </c>
      <c r="G90" s="269">
        <f>TAXREC!E156</f>
        <v>0</v>
      </c>
      <c r="H90" s="150"/>
    </row>
    <row r="91" spans="1:8" ht="12.75">
      <c r="A91" s="157" t="s">
        <v>366</v>
      </c>
      <c r="B91" s="126">
        <v>23</v>
      </c>
      <c r="C91" s="263"/>
      <c r="D91" s="20"/>
      <c r="E91" s="138"/>
      <c r="F91" s="410" t="s">
        <v>474</v>
      </c>
      <c r="G91" s="269">
        <f>TAXREC!E158</f>
        <v>0</v>
      </c>
      <c r="H91" s="150"/>
    </row>
    <row r="92" spans="1:8" ht="12.75">
      <c r="A92" s="157" t="s">
        <v>348</v>
      </c>
      <c r="B92" s="126">
        <v>24</v>
      </c>
      <c r="C92" s="263">
        <f>C72</f>
        <v>4685.001</v>
      </c>
      <c r="D92" s="20"/>
      <c r="E92" s="138"/>
      <c r="F92" s="410" t="s">
        <v>474</v>
      </c>
      <c r="G92" s="269">
        <f>TAXREC!E157</f>
        <v>6552.806999999999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475</v>
      </c>
      <c r="B95" s="124">
        <v>25</v>
      </c>
      <c r="C95" s="268">
        <f>SUM(C90:C93)</f>
        <v>174504.47276684878</v>
      </c>
      <c r="D95" s="6"/>
      <c r="E95" s="138"/>
      <c r="F95" s="410" t="s">
        <v>474</v>
      </c>
      <c r="G95" s="393">
        <f>SUM(G90:G94)</f>
        <v>6552.806999999999</v>
      </c>
      <c r="H95" s="163"/>
    </row>
    <row r="96" spans="1:8" ht="12.75">
      <c r="A96" s="384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8"/>
      <c r="H100" s="163"/>
    </row>
    <row r="101" spans="1:8" ht="12.75">
      <c r="A101" s="155" t="s">
        <v>346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/>
      <c r="F105" s="37"/>
      <c r="G105" s="199"/>
      <c r="H105" s="163"/>
    </row>
    <row r="106" spans="1:8" ht="12.75">
      <c r="A106" s="157" t="s">
        <v>359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360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320</v>
      </c>
      <c r="B112" s="126">
        <v>11</v>
      </c>
      <c r="C112" s="111"/>
      <c r="D112" s="3"/>
      <c r="E112" s="451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361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362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69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0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5" t="s">
        <v>483</v>
      </c>
      <c r="B122" s="126"/>
      <c r="C122" s="111"/>
      <c r="D122" s="3" t="s">
        <v>230</v>
      </c>
      <c r="E122" s="483">
        <f>'Tax Rates'!F34</f>
        <v>0.2455</v>
      </c>
      <c r="F122" s="449"/>
      <c r="G122" s="199" t="s">
        <v>102</v>
      </c>
      <c r="H122" s="163"/>
      <c r="J122" s="469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245</v>
      </c>
      <c r="B124" s="126"/>
      <c r="C124" s="111"/>
      <c r="D124" s="3" t="s">
        <v>189</v>
      </c>
      <c r="E124" s="263">
        <f>E120*E122</f>
        <v>0</v>
      </c>
      <c r="F124" s="37"/>
      <c r="G124" s="199"/>
      <c r="H124" s="163"/>
      <c r="I124" s="476"/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6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0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83">
        <f>'Tax Rates'!F34-'Tax Rates'!C38</f>
        <v>0.2343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349</v>
      </c>
      <c r="B132" s="129"/>
      <c r="C132" s="111"/>
      <c r="D132" s="3"/>
      <c r="E132" s="262">
        <f>E128/(1-E130)</f>
        <v>0</v>
      </c>
      <c r="F132" s="37"/>
      <c r="G132" s="199"/>
      <c r="H132" s="163"/>
      <c r="I132" s="476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234</v>
      </c>
      <c r="B136" s="129"/>
      <c r="C136" s="111"/>
      <c r="D136" s="117" t="s">
        <v>189</v>
      </c>
      <c r="E136" s="301">
        <f>C50</f>
        <v>327891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236</v>
      </c>
      <c r="B138" s="129"/>
      <c r="C138" s="111"/>
      <c r="D138" s="118" t="s">
        <v>230</v>
      </c>
      <c r="E138" s="483">
        <f>'Tax Rates'!F34</f>
        <v>0.2455</v>
      </c>
      <c r="F138" s="195" t="s">
        <v>102</v>
      </c>
      <c r="G138" s="199"/>
      <c r="H138" s="163"/>
      <c r="J138" s="469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228</v>
      </c>
      <c r="B140" s="129"/>
      <c r="C140" s="111"/>
      <c r="D140" s="117" t="s">
        <v>189</v>
      </c>
      <c r="E140" s="302">
        <f>IF(E136&gt;0,E136*E138,0)</f>
        <v>80497.2405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237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229</v>
      </c>
      <c r="B144" s="129"/>
      <c r="C144" s="111"/>
      <c r="D144" s="118" t="s">
        <v>189</v>
      </c>
      <c r="E144" s="301">
        <f>E140-E142</f>
        <v>80497.2405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238</v>
      </c>
      <c r="B146" s="129"/>
      <c r="C146" s="111"/>
      <c r="D146" s="117" t="s">
        <v>188</v>
      </c>
      <c r="E146" s="301">
        <f>C60</f>
        <v>111876.4092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231</v>
      </c>
      <c r="B148" s="129"/>
      <c r="C148" s="111"/>
      <c r="D148" s="117" t="s">
        <v>189</v>
      </c>
      <c r="E148" s="301">
        <f>E144-E146</f>
        <v>-31379.168699999995</v>
      </c>
      <c r="F148" s="37"/>
      <c r="G148" s="199"/>
      <c r="H148" s="163"/>
      <c r="I148" s="476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61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6561667</v>
      </c>
      <c r="F151" s="37"/>
      <c r="G151" s="199"/>
      <c r="H151" s="163"/>
    </row>
    <row r="152" spans="1:8" ht="12.75">
      <c r="A152" s="170" t="s">
        <v>355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232</v>
      </c>
      <c r="B153" s="129"/>
      <c r="C153" s="111"/>
      <c r="D153" s="117" t="s">
        <v>189</v>
      </c>
      <c r="E153" s="301">
        <f>E151-E152</f>
        <v>1561667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1" t="s">
        <v>481</v>
      </c>
      <c r="B155" s="129"/>
      <c r="C155" s="111"/>
      <c r="D155" s="118" t="s">
        <v>230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233</v>
      </c>
      <c r="B157" s="129"/>
      <c r="C157" s="111"/>
      <c r="D157" s="118" t="s">
        <v>189</v>
      </c>
      <c r="E157" s="301">
        <f>IF(E153&gt;0,E153*E155*B9/B10,0)</f>
        <v>4685.001</v>
      </c>
      <c r="F157" s="37"/>
      <c r="G157" s="199"/>
      <c r="H157" s="163"/>
    </row>
    <row r="158" spans="1:8" ht="25.5">
      <c r="A158" s="170" t="s">
        <v>308</v>
      </c>
      <c r="B158" s="129"/>
      <c r="C158" s="111"/>
      <c r="D158" s="117" t="s">
        <v>188</v>
      </c>
      <c r="E158" s="304">
        <f>C72</f>
        <v>4685.001</v>
      </c>
      <c r="F158" s="37"/>
      <c r="G158" s="199"/>
      <c r="H158" s="163"/>
    </row>
    <row r="159" spans="1:9" ht="12.75" customHeight="1">
      <c r="A159" s="171" t="s">
        <v>243</v>
      </c>
      <c r="B159" s="129"/>
      <c r="C159" s="111"/>
      <c r="D159" s="117" t="s">
        <v>189</v>
      </c>
      <c r="E159" s="453">
        <f>E157-E158</f>
        <v>0</v>
      </c>
      <c r="F159" s="37"/>
      <c r="G159" s="199"/>
      <c r="H159" s="163"/>
      <c r="I159" s="476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235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6561667</v>
      </c>
      <c r="F162" s="37"/>
      <c r="G162" s="199"/>
      <c r="H162" s="163"/>
    </row>
    <row r="163" spans="1:8" ht="12.75">
      <c r="A163" s="170" t="s">
        <v>354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301">
        <f>E162-E163</f>
        <v>-3438333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1" t="s">
        <v>482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0</v>
      </c>
      <c r="F168" s="37"/>
      <c r="G168" s="199"/>
      <c r="H168" s="163"/>
    </row>
    <row r="169" spans="1:8" ht="12.75">
      <c r="A169" s="170" t="s">
        <v>318</v>
      </c>
      <c r="B169" s="129"/>
      <c r="C169" s="111"/>
      <c r="D169" s="117" t="s">
        <v>188</v>
      </c>
      <c r="E169" s="306"/>
      <c r="F169" s="37"/>
      <c r="G169" s="199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301">
        <f>E168-E169</f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347</v>
      </c>
      <c r="B172" s="129"/>
      <c r="C172" s="111"/>
      <c r="D172" s="117" t="s">
        <v>188</v>
      </c>
      <c r="E172" s="304">
        <f>C84</f>
        <v>0</v>
      </c>
      <c r="F172" s="37"/>
      <c r="G172" s="199"/>
      <c r="H172" s="163"/>
    </row>
    <row r="173" spans="1:9" ht="12.75">
      <c r="A173" s="154" t="s">
        <v>244</v>
      </c>
      <c r="B173" s="129"/>
      <c r="C173" s="111"/>
      <c r="D173" s="118" t="s">
        <v>189</v>
      </c>
      <c r="E173" s="453">
        <f>E170-E172</f>
        <v>0</v>
      </c>
      <c r="F173" s="37"/>
      <c r="G173" s="199"/>
      <c r="H173" s="163"/>
      <c r="I173" s="476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344</v>
      </c>
      <c r="B175" s="129"/>
      <c r="C175" s="111"/>
      <c r="D175" s="118"/>
      <c r="E175" s="448">
        <f>'Tax Rates'!F34-'Tax Rates'!C38</f>
        <v>0.2343</v>
      </c>
      <c r="F175" s="449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301">
        <f>E148/(1-E175)</f>
        <v>-40981.022201906744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350</v>
      </c>
      <c r="B181" s="129"/>
      <c r="C181" s="111"/>
      <c r="D181" s="118" t="s">
        <v>189</v>
      </c>
      <c r="E181" s="301">
        <f>SUM(E177:E179)</f>
        <v>-40981.022201906744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345</v>
      </c>
      <c r="B183" s="129"/>
      <c r="C183" s="111"/>
      <c r="D183" s="118" t="s">
        <v>187</v>
      </c>
      <c r="E183" s="301">
        <f>E132</f>
        <v>0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72" t="s">
        <v>351</v>
      </c>
      <c r="B185" s="129"/>
      <c r="C185" s="111"/>
      <c r="D185" s="118" t="s">
        <v>189</v>
      </c>
      <c r="E185" s="477">
        <f>E181+E183</f>
        <v>-40981.022201906744</v>
      </c>
      <c r="F185" s="37"/>
      <c r="G185" s="199"/>
      <c r="H185" s="163"/>
    </row>
    <row r="186" spans="1:8" ht="12.75">
      <c r="A186" s="473" t="s">
        <v>247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237860.42875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7">
        <f>REGINFO!D66</f>
        <v>161620.40280210154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7">
        <f>E193-E194</f>
        <v>76240.02594789845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64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4"/>
      <c r="H200" s="163"/>
    </row>
    <row r="201" spans="1:8" ht="12.75">
      <c r="A201" s="154" t="s">
        <v>251</v>
      </c>
      <c r="B201" s="126"/>
      <c r="C201" s="111"/>
      <c r="D201" s="119"/>
      <c r="E201" s="307">
        <f>G37+G42</f>
        <v>176444</v>
      </c>
      <c r="F201" s="3"/>
      <c r="G201" s="464"/>
      <c r="H201" s="163"/>
    </row>
    <row r="202" spans="1:8" ht="12.75">
      <c r="A202" s="154" t="s">
        <v>343</v>
      </c>
      <c r="B202" s="126"/>
      <c r="C202" s="111"/>
      <c r="D202" s="119"/>
      <c r="E202" s="307">
        <f>REGINFO!D62</f>
        <v>237860.42875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319</v>
      </c>
      <c r="B206" s="126"/>
      <c r="C206" s="111"/>
      <c r="D206" s="119"/>
      <c r="E206" s="45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76240.02594789845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51" r:id="rId1"/>
  <rowBreaks count="3" manualBreakCount="3">
    <brk id="97" max="7" man="1"/>
    <brk id="188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12">
      <selection activeCell="G46" sqref="G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8202.08375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326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258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223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324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325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273</v>
      </c>
      <c r="B31" s="23" t="s">
        <v>187</v>
      </c>
      <c r="C31" s="28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1184000</v>
      </c>
      <c r="D32" s="285"/>
      <c r="E32" s="283">
        <f>C32-D32</f>
        <v>1184000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64686</v>
      </c>
      <c r="D33" s="285"/>
      <c r="E33" s="283">
        <f>C33-D33</f>
        <v>64686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/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15993+230165</f>
        <v>246158</v>
      </c>
      <c r="D40" s="285"/>
      <c r="E40" s="283">
        <f aca="true" t="shared" si="0" ref="E40:E48">C40-D40</f>
        <v>246158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4">
        <v>234693</v>
      </c>
      <c r="D41" s="285"/>
      <c r="E41" s="283">
        <f t="shared" si="0"/>
        <v>234693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4">
        <f>68925+168135</f>
        <v>237060</v>
      </c>
      <c r="D42" s="285"/>
      <c r="E42" s="283">
        <f t="shared" si="0"/>
        <v>237060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4">
        <f>344347+6976</f>
        <v>351323</v>
      </c>
      <c r="D43" s="285"/>
      <c r="E43" s="283">
        <f t="shared" si="0"/>
        <v>351323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4">
        <v>6543</v>
      </c>
      <c r="D44" s="285"/>
      <c r="E44" s="283">
        <f t="shared" si="0"/>
        <v>6543</v>
      </c>
      <c r="F44" s="11"/>
      <c r="G44" s="11"/>
      <c r="H44" s="6"/>
      <c r="I44" s="6"/>
    </row>
    <row r="45" spans="1:11" ht="12.75">
      <c r="A45" s="4"/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7"/>
      <c r="B46" s="23" t="s">
        <v>188</v>
      </c>
      <c r="C46" s="284"/>
      <c r="D46" s="285"/>
      <c r="E46" s="283">
        <f t="shared" si="0"/>
        <v>0</v>
      </c>
      <c r="F46" s="11"/>
      <c r="G46" s="466"/>
      <c r="H46" s="33"/>
      <c r="I46" s="33"/>
      <c r="J46" s="32"/>
      <c r="K46" s="32"/>
    </row>
    <row r="47" spans="1:11" ht="12.75">
      <c r="A47" s="474" t="s">
        <v>484</v>
      </c>
      <c r="B47" s="23" t="s">
        <v>188</v>
      </c>
      <c r="C47" s="284"/>
      <c r="D47" s="285"/>
      <c r="E47" s="283">
        <f t="shared" si="0"/>
        <v>0</v>
      </c>
      <c r="F47" s="11"/>
      <c r="G47" s="466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172909</v>
      </c>
      <c r="D50" s="280">
        <f>SUM(D31:D36)-SUM(D39:D49)</f>
        <v>0</v>
      </c>
      <c r="E50" s="280">
        <f>SUM(E31:E35)-SUM(E39:E48)</f>
        <v>172909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176444</v>
      </c>
      <c r="D51" s="284"/>
      <c r="E51" s="281">
        <f>+C51-D51</f>
        <v>176444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/>
      <c r="D52" s="284"/>
      <c r="E52" s="282">
        <f>+C52-D52</f>
        <v>0</v>
      </c>
      <c r="F52" s="8"/>
    </row>
    <row r="53" spans="1:6" ht="12.75">
      <c r="A53" s="2" t="s">
        <v>131</v>
      </c>
      <c r="B53" s="8" t="s">
        <v>189</v>
      </c>
      <c r="C53" s="280">
        <f>C50-C51-C52</f>
        <v>-3535</v>
      </c>
      <c r="D53" s="280">
        <f>D50-D51-D52</f>
        <v>0</v>
      </c>
      <c r="E53" s="280">
        <f>E50-E51-E52</f>
        <v>-3535</v>
      </c>
      <c r="F53" s="8"/>
    </row>
    <row r="54" spans="1:6" ht="24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0</v>
      </c>
      <c r="D59" s="286">
        <f>D52</f>
        <v>0</v>
      </c>
      <c r="E59" s="271">
        <f>+C59-D59</f>
        <v>0</v>
      </c>
      <c r="F59" s="8"/>
    </row>
    <row r="60" spans="1:6" ht="12.75">
      <c r="A60" s="4" t="s">
        <v>327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7">
        <f>C43-25676</f>
        <v>325647</v>
      </c>
      <c r="D61" s="286">
        <f>D43</f>
        <v>0</v>
      </c>
      <c r="E61" s="271">
        <f>+C61-D61</f>
        <v>325647</v>
      </c>
      <c r="F61" s="8"/>
      <c r="G61" s="395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437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7" t="s">
        <v>388</v>
      </c>
      <c r="B66" s="8"/>
      <c r="C66" s="426">
        <f>'TAXREC 3 No True-up'!C47</f>
        <v>0</v>
      </c>
      <c r="D66" s="42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0</v>
      </c>
      <c r="D68" s="249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325647</v>
      </c>
      <c r="D70" s="271">
        <f>SUM(D59:D68)</f>
        <v>0</v>
      </c>
      <c r="E70" s="271">
        <f>SUM(E59:E68)</f>
        <v>325647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469</v>
      </c>
      <c r="B76" s="8" t="s">
        <v>187</v>
      </c>
      <c r="C76" s="458"/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325647</v>
      </c>
      <c r="D82" s="249">
        <f>D70+D80</f>
        <v>0</v>
      </c>
      <c r="E82" s="249">
        <f>E70+E80</f>
        <v>325647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425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279713</v>
      </c>
      <c r="D97" s="293"/>
      <c r="E97" s="271">
        <f>+C97-D97</f>
        <v>279713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45410</v>
      </c>
      <c r="D98" s="293"/>
      <c r="E98" s="271">
        <f>+C98-D98</f>
        <v>45410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7" t="s">
        <v>388</v>
      </c>
      <c r="B108" s="8"/>
      <c r="C108" s="252">
        <f>'TAXREC 3 No True-up'!C73</f>
        <v>146705</v>
      </c>
      <c r="D108" s="252">
        <f>'TAXREC 3 No True-up'!D73</f>
        <v>0</v>
      </c>
      <c r="E108" s="271">
        <f t="shared" si="5"/>
        <v>146705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471828</v>
      </c>
      <c r="D113" s="249">
        <f>SUM(D97:D111)</f>
        <v>0</v>
      </c>
      <c r="E113" s="249">
        <f>SUM(E97:E111)</f>
        <v>471828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471828</v>
      </c>
      <c r="D122" s="249">
        <f>D113+D120</f>
        <v>0</v>
      </c>
      <c r="E122" s="249">
        <f>+E113+E120</f>
        <v>471828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-149716</v>
      </c>
      <c r="D134" s="249">
        <f>D53+D82-D122</f>
        <v>0</v>
      </c>
      <c r="E134" s="249">
        <f>E53+E82-E122</f>
        <v>-149716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371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188</v>
      </c>
      <c r="C137" s="309"/>
      <c r="D137" s="309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-149716</v>
      </c>
      <c r="D139" s="250">
        <f>D134-D136-D137-D138</f>
        <v>0</v>
      </c>
      <c r="E139" s="250">
        <f>E134-E136-E137-E138</f>
        <v>-149716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0</v>
      </c>
      <c r="D142" s="297"/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385">
        <v>0</v>
      </c>
      <c r="D149" s="5"/>
      <c r="E149" s="386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330</v>
      </c>
      <c r="B150" s="8"/>
      <c r="C150" s="385">
        <v>0</v>
      </c>
      <c r="D150" s="5"/>
      <c r="E150" s="386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331</v>
      </c>
      <c r="B151" s="8"/>
      <c r="C151" s="386">
        <f>SUM(C149:C150)</f>
        <v>0</v>
      </c>
      <c r="D151" s="463" t="s">
        <v>476</v>
      </c>
      <c r="E151" s="386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5" t="s">
        <v>187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20</v>
      </c>
      <c r="B157" s="85" t="s">
        <v>187</v>
      </c>
      <c r="C157" s="460">
        <f>TAXCALC!G72</f>
        <v>6552.806999999999</v>
      </c>
      <c r="D157" s="249"/>
      <c r="E157" s="249">
        <f>C157+D157</f>
        <v>6552.806999999999</v>
      </c>
    </row>
    <row r="158" spans="1:5" ht="12.75">
      <c r="A158" t="s">
        <v>218</v>
      </c>
      <c r="B158" s="85" t="s">
        <v>187</v>
      </c>
      <c r="C158" s="460">
        <f>TAXCALC!G84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302</v>
      </c>
      <c r="B160" s="66" t="s">
        <v>189</v>
      </c>
      <c r="C160" s="249">
        <f>C156+C157+C158</f>
        <v>6552.806999999999</v>
      </c>
      <c r="D160" s="249">
        <f>D156+D157+D158</f>
        <v>0</v>
      </c>
      <c r="E160" s="249">
        <f>E156+E157+E158</f>
        <v>6552.806999999999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56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G46" sqref="G4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280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49">
        <f t="shared" si="0"/>
        <v>0</v>
      </c>
    </row>
    <row r="16" spans="1:5" ht="12.75">
      <c r="A16" s="61" t="s">
        <v>282</v>
      </c>
      <c r="B16" s="61"/>
      <c r="C16" s="293"/>
      <c r="D16" s="293"/>
      <c r="E16" s="249">
        <f t="shared" si="0"/>
        <v>0</v>
      </c>
    </row>
    <row r="17" spans="1:5" ht="12.75">
      <c r="A17" s="61" t="s">
        <v>283</v>
      </c>
      <c r="B17" s="61"/>
      <c r="C17" s="293"/>
      <c r="D17" s="293"/>
      <c r="E17" s="249">
        <f t="shared" si="0"/>
        <v>0</v>
      </c>
    </row>
    <row r="18" spans="1:5" ht="12.75">
      <c r="A18" s="61" t="s">
        <v>442</v>
      </c>
      <c r="B18" s="61"/>
      <c r="C18" s="293"/>
      <c r="D18" s="293"/>
      <c r="E18" s="249">
        <f t="shared" si="0"/>
        <v>0</v>
      </c>
    </row>
    <row r="19" spans="1:5" ht="12.75">
      <c r="A19" s="61" t="s">
        <v>442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280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49">
        <f t="shared" si="1"/>
        <v>0</v>
      </c>
    </row>
    <row r="28" spans="1:5" ht="12.75">
      <c r="A28" s="61" t="s">
        <v>282</v>
      </c>
      <c r="B28" s="61"/>
      <c r="C28" s="293"/>
      <c r="D28" s="293"/>
      <c r="E28" s="249">
        <f t="shared" si="1"/>
        <v>0</v>
      </c>
    </row>
    <row r="29" spans="1:5" ht="12.75">
      <c r="A29" s="61" t="s">
        <v>283</v>
      </c>
      <c r="B29" s="61"/>
      <c r="C29" s="293"/>
      <c r="D29" s="293"/>
      <c r="E29" s="249">
        <f t="shared" si="1"/>
        <v>0</v>
      </c>
    </row>
    <row r="30" spans="1:5" ht="12.75">
      <c r="A30" s="61" t="s">
        <v>442</v>
      </c>
      <c r="B30" s="61"/>
      <c r="C30" s="293"/>
      <c r="D30" s="293"/>
      <c r="E30" s="249">
        <f t="shared" si="1"/>
        <v>0</v>
      </c>
    </row>
    <row r="31" spans="1:5" ht="12.75">
      <c r="A31" s="61" t="s">
        <v>442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49">
        <f t="shared" si="2"/>
        <v>0</v>
      </c>
    </row>
    <row r="44" spans="1:5" ht="12.75">
      <c r="A44" s="61" t="s">
        <v>267</v>
      </c>
      <c r="B44" s="61"/>
      <c r="C44" s="293"/>
      <c r="D44" s="293"/>
      <c r="E44" s="249">
        <f t="shared" si="2"/>
        <v>0</v>
      </c>
    </row>
    <row r="45" spans="1:5" ht="12.75">
      <c r="A45" s="61" t="s">
        <v>268</v>
      </c>
      <c r="B45" s="61"/>
      <c r="C45" s="293"/>
      <c r="D45" s="293"/>
      <c r="E45" s="249">
        <f t="shared" si="2"/>
        <v>0</v>
      </c>
    </row>
    <row r="46" spans="1:5" ht="12.75">
      <c r="A46" s="61" t="s">
        <v>269</v>
      </c>
      <c r="B46" s="61"/>
      <c r="C46" s="293"/>
      <c r="D46" s="293"/>
      <c r="E46" s="249">
        <f t="shared" si="2"/>
        <v>0</v>
      </c>
    </row>
    <row r="47" spans="1:5" ht="12.75">
      <c r="A47" s="61" t="s">
        <v>485</v>
      </c>
      <c r="B47" s="61"/>
      <c r="C47" s="293"/>
      <c r="D47" s="293"/>
      <c r="E47" s="249">
        <f t="shared" si="2"/>
        <v>0</v>
      </c>
    </row>
    <row r="48" spans="1:5" ht="12.75">
      <c r="A48" s="61" t="s">
        <v>442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266</v>
      </c>
      <c r="B55" s="61"/>
      <c r="C55" s="293"/>
      <c r="D55" s="293"/>
      <c r="E55" s="249">
        <f t="shared" si="3"/>
        <v>0</v>
      </c>
    </row>
    <row r="56" spans="1:5" ht="12.75">
      <c r="A56" s="244" t="s">
        <v>267</v>
      </c>
      <c r="B56" s="61"/>
      <c r="C56" s="293"/>
      <c r="D56" s="293"/>
      <c r="E56" s="249">
        <f t="shared" si="3"/>
        <v>0</v>
      </c>
    </row>
    <row r="57" spans="1:5" ht="12.75">
      <c r="A57" s="244" t="s">
        <v>268</v>
      </c>
      <c r="B57" s="61"/>
      <c r="C57" s="293"/>
      <c r="D57" s="293"/>
      <c r="E57" s="249">
        <f t="shared" si="3"/>
        <v>0</v>
      </c>
    </row>
    <row r="58" spans="1:5" ht="12.75">
      <c r="A58" s="244" t="s">
        <v>269</v>
      </c>
      <c r="B58" s="61"/>
      <c r="C58" s="293"/>
      <c r="D58" s="293"/>
      <c r="E58" s="249">
        <f t="shared" si="3"/>
        <v>0</v>
      </c>
    </row>
    <row r="59" spans="1:5" ht="12.75">
      <c r="A59" s="61" t="s">
        <v>486</v>
      </c>
      <c r="B59" s="61"/>
      <c r="C59" s="293"/>
      <c r="D59" s="293"/>
      <c r="E59" s="249">
        <f t="shared" si="3"/>
        <v>0</v>
      </c>
    </row>
    <row r="60" spans="1:5" ht="12.75">
      <c r="A60" s="61" t="s">
        <v>442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10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46" sqref="G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459</v>
      </c>
      <c r="B5" s="8"/>
      <c r="C5" s="8" t="s">
        <v>2</v>
      </c>
      <c r="D5" s="8"/>
      <c r="E5" s="8"/>
      <c r="F5" s="8"/>
    </row>
    <row r="6" spans="1:6" ht="12.75">
      <c r="A6" s="395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443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468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79"/>
      <c r="B42" t="s">
        <v>187</v>
      </c>
      <c r="C42" s="293"/>
      <c r="D42" s="293"/>
      <c r="E42" s="249">
        <f t="shared" si="0"/>
        <v>0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170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254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373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79"/>
      <c r="B96" s="8" t="s">
        <v>188</v>
      </c>
      <c r="C96" s="293"/>
      <c r="D96" s="293"/>
      <c r="E96" s="249">
        <f t="shared" si="5"/>
        <v>0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7" t="s">
        <v>171</v>
      </c>
      <c r="B121" s="272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2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46" sqref="G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381</v>
      </c>
      <c r="E3" s="91"/>
    </row>
    <row r="4" spans="1:6" ht="15.75">
      <c r="A4" s="444" t="s">
        <v>439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6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383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447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386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448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431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385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384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426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427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444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445</v>
      </c>
      <c r="C35" s="294"/>
      <c r="D35" s="294"/>
      <c r="E35" s="311">
        <f t="shared" si="0"/>
        <v>0</v>
      </c>
    </row>
    <row r="36" spans="1:5" ht="12.75">
      <c r="A36" s="67" t="s">
        <v>428</v>
      </c>
      <c r="C36" s="294"/>
      <c r="D36" s="294"/>
      <c r="E36" s="311">
        <f t="shared" si="0"/>
        <v>0</v>
      </c>
    </row>
    <row r="37" spans="1:5" ht="12.75">
      <c r="A37" s="67" t="s">
        <v>429</v>
      </c>
      <c r="C37" s="294"/>
      <c r="D37" s="294"/>
      <c r="E37" s="311">
        <f t="shared" si="0"/>
        <v>0</v>
      </c>
    </row>
    <row r="38" spans="1:5" ht="12.75">
      <c r="A38" s="67" t="s">
        <v>451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79"/>
      <c r="B40" t="s">
        <v>187</v>
      </c>
      <c r="C40" s="294"/>
      <c r="D40" s="294"/>
      <c r="E40" s="311">
        <f t="shared" si="0"/>
        <v>0</v>
      </c>
    </row>
    <row r="41" spans="1:5" ht="12.75">
      <c r="A41" s="479"/>
      <c r="B41" t="s">
        <v>187</v>
      </c>
      <c r="C41" s="294"/>
      <c r="D41" s="294"/>
      <c r="E41" s="311">
        <f t="shared" si="0"/>
        <v>0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29" t="s">
        <v>390</v>
      </c>
      <c r="B47" t="s">
        <v>189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383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447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384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430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438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450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4" t="s">
        <v>446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449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78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0" t="s">
        <v>490</v>
      </c>
      <c r="B66" s="8" t="s">
        <v>188</v>
      </c>
      <c r="C66" s="293">
        <v>146705</v>
      </c>
      <c r="D66" s="293"/>
      <c r="E66" s="249">
        <f t="shared" si="2"/>
        <v>146705</v>
      </c>
    </row>
    <row r="67" spans="1:5" ht="12.75">
      <c r="A67" s="480"/>
      <c r="B67" s="8" t="s">
        <v>188</v>
      </c>
      <c r="C67" s="293"/>
      <c r="D67" s="293"/>
      <c r="E67" s="249">
        <f t="shared" si="2"/>
        <v>0</v>
      </c>
    </row>
    <row r="68" spans="1:5" ht="12.75">
      <c r="A68" s="480"/>
      <c r="B68" s="8" t="s">
        <v>188</v>
      </c>
      <c r="C68" s="293"/>
      <c r="D68" s="293"/>
      <c r="E68" s="249">
        <f t="shared" si="2"/>
        <v>0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28" t="s">
        <v>389</v>
      </c>
      <c r="B73" s="8" t="s">
        <v>189</v>
      </c>
      <c r="C73" s="249">
        <f>SUM(C51:C72)</f>
        <v>146705</v>
      </c>
      <c r="D73" s="249">
        <f>SUM(D51:D72)</f>
        <v>0</v>
      </c>
      <c r="E73" s="249">
        <f>SUM(E51:E72)</f>
        <v>146705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1">
      <selection activeCell="G46" sqref="G4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306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Parry Sound Power Corporation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0" t="s">
        <v>337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2" t="s">
        <v>477</v>
      </c>
      <c r="B8" s="493"/>
      <c r="C8" s="493"/>
      <c r="D8" s="493"/>
      <c r="E8" s="340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5">
        <v>0</v>
      </c>
      <c r="D9" s="355"/>
      <c r="E9" s="355">
        <v>200001</v>
      </c>
      <c r="F9" s="356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461</v>
      </c>
      <c r="B10" s="325"/>
      <c r="C10" s="357" t="s">
        <v>111</v>
      </c>
      <c r="D10" s="357"/>
      <c r="E10" s="357" t="s">
        <v>111</v>
      </c>
      <c r="F10" s="358" t="s">
        <v>478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59">
        <v>200000</v>
      </c>
      <c r="D11" s="359"/>
      <c r="E11" s="359">
        <v>700000</v>
      </c>
      <c r="F11" s="360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299</v>
      </c>
      <c r="B13" s="389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298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303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259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3" t="s">
        <v>332</v>
      </c>
      <c r="B21" s="387" t="s">
        <v>463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3" t="s">
        <v>333</v>
      </c>
      <c r="B22" s="388" t="s">
        <v>464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8" t="s">
        <v>479</v>
      </c>
      <c r="B23" s="489"/>
      <c r="C23" s="489"/>
      <c r="D23" s="489"/>
      <c r="E23" s="489"/>
      <c r="F23" s="489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1"/>
      <c r="B25" s="362"/>
      <c r="C25" s="364"/>
      <c r="D25" s="340"/>
      <c r="E25" s="340"/>
      <c r="F25" s="390" t="s">
        <v>338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4" t="s">
        <v>472</v>
      </c>
      <c r="B26" s="495"/>
      <c r="C26" s="495"/>
      <c r="D26" s="495"/>
      <c r="E26" s="495"/>
      <c r="F26" s="495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 t="s">
        <v>491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434</v>
      </c>
      <c r="B28" s="325"/>
      <c r="C28" s="353" t="s">
        <v>111</v>
      </c>
      <c r="D28" s="353"/>
      <c r="E28" s="353" t="s">
        <v>111</v>
      </c>
      <c r="F28" s="484" t="s">
        <v>492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4">
        <v>200000</v>
      </c>
      <c r="D29" s="354"/>
      <c r="E29" s="354">
        <v>700000</v>
      </c>
      <c r="F29" s="485">
        <v>327891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89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298</v>
      </c>
      <c r="B32" s="389">
        <v>2002</v>
      </c>
      <c r="C32" s="326"/>
      <c r="D32" s="326"/>
      <c r="E32" s="327"/>
      <c r="F32" s="327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89">
        <v>2002</v>
      </c>
      <c r="C33" s="328"/>
      <c r="D33" s="328"/>
      <c r="E33" s="329"/>
      <c r="F33" s="329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259</v>
      </c>
      <c r="B34" s="389">
        <v>2002</v>
      </c>
      <c r="C34" s="330"/>
      <c r="D34" s="330"/>
      <c r="E34" s="331">
        <v>0.3412</v>
      </c>
      <c r="F34" s="331">
        <v>0.2455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89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89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89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3" t="s">
        <v>470</v>
      </c>
      <c r="B39" s="387" t="s">
        <v>463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3" t="s">
        <v>471</v>
      </c>
      <c r="B40" s="388" t="s">
        <v>464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0" t="s">
        <v>335</v>
      </c>
      <c r="B41" s="489"/>
      <c r="C41" s="489"/>
      <c r="D41" s="489"/>
      <c r="E41" s="489"/>
      <c r="F41" s="489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1"/>
      <c r="B42" s="491"/>
      <c r="C42" s="491"/>
      <c r="D42" s="491"/>
      <c r="E42" s="491"/>
      <c r="F42" s="491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5"/>
      <c r="I50" s="465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5"/>
      <c r="I51" s="465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5"/>
      <c r="I52" s="465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zoomScale="75" zoomScaleNormal="75" zoomScalePageLayoutView="0" workbookViewId="0" topLeftCell="A1">
      <selection activeCell="G46" sqref="G4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0" t="s">
        <v>480</v>
      </c>
    </row>
    <row r="5" ht="12.75">
      <c r="A5" s="1">
        <f>REGINFO!A1</f>
        <v>0</v>
      </c>
    </row>
    <row r="6" spans="1:2" ht="12.75">
      <c r="A6" s="2" t="s">
        <v>452</v>
      </c>
      <c r="B6" s="2"/>
    </row>
    <row r="7" spans="1:15" ht="12.75">
      <c r="A7" s="2" t="str">
        <f>REGINFO!A3</f>
        <v>Utility Name: Parry Sound Power Corporation</v>
      </c>
      <c r="O7" s="396" t="str">
        <f>REGINFO!E1</f>
        <v>Version 2009.1</v>
      </c>
    </row>
    <row r="8" spans="1:15" ht="12.75">
      <c r="A8" s="2" t="str">
        <f>REGINFO!A4</f>
        <v>Reporting period:  2002</v>
      </c>
      <c r="E8" s="397" t="s">
        <v>321</v>
      </c>
      <c r="F8" s="379"/>
      <c r="G8" s="379"/>
      <c r="H8" s="379"/>
      <c r="I8" s="379"/>
      <c r="O8" s="396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3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5">
        <v>0</v>
      </c>
      <c r="D15" s="371"/>
      <c r="E15" s="377">
        <f>C26</f>
        <v>0</v>
      </c>
      <c r="F15" s="399"/>
      <c r="G15" s="377">
        <f>E26</f>
        <v>0</v>
      </c>
      <c r="H15" s="399"/>
      <c r="I15" s="377">
        <f>G26</f>
        <v>0</v>
      </c>
      <c r="J15" s="371"/>
      <c r="K15" s="377">
        <f>I26</f>
        <v>0</v>
      </c>
      <c r="L15" s="371"/>
      <c r="M15" s="377">
        <f>K26</f>
        <v>0</v>
      </c>
      <c r="N15" s="371"/>
      <c r="O15" s="377">
        <f>C15</f>
        <v>0</v>
      </c>
    </row>
    <row r="16" spans="1:15" ht="27" customHeight="1">
      <c r="A16" s="81" t="s">
        <v>391</v>
      </c>
      <c r="B16" s="66" t="s">
        <v>190</v>
      </c>
      <c r="C16" s="376"/>
      <c r="D16" s="372"/>
      <c r="E16" s="376"/>
      <c r="F16" s="94"/>
      <c r="G16" s="398">
        <f>C16+E16</f>
        <v>0</v>
      </c>
      <c r="H16" s="94"/>
      <c r="I16" s="398">
        <f>(E16/12*9)+(G16/12*3)</f>
        <v>0</v>
      </c>
      <c r="J16" s="372"/>
      <c r="K16" s="398">
        <f>E16/12*3</f>
        <v>0</v>
      </c>
      <c r="L16" s="372"/>
      <c r="M16" s="398">
        <f>K17/9*12/4</f>
        <v>0</v>
      </c>
      <c r="N16" s="372"/>
      <c r="O16" s="377">
        <f aca="true" t="shared" si="0" ref="O16:O24">SUM(C16:N16)</f>
        <v>0</v>
      </c>
    </row>
    <row r="17" spans="1:15" ht="27" customHeight="1">
      <c r="A17" s="81" t="s">
        <v>433</v>
      </c>
      <c r="B17" s="66"/>
      <c r="C17" s="398"/>
      <c r="D17" s="372"/>
      <c r="E17" s="398"/>
      <c r="F17" s="94"/>
      <c r="G17" s="398"/>
      <c r="H17" s="94"/>
      <c r="I17" s="398"/>
      <c r="J17" s="372"/>
      <c r="K17" s="376"/>
      <c r="L17" s="372"/>
      <c r="M17" s="398"/>
      <c r="N17" s="372"/>
      <c r="O17" s="377">
        <f t="shared" si="0"/>
        <v>0</v>
      </c>
    </row>
    <row r="18" spans="1:15" ht="25.5">
      <c r="A18" s="81" t="s">
        <v>392</v>
      </c>
      <c r="B18" s="66" t="s">
        <v>190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>
        <f t="shared" si="0"/>
        <v>0</v>
      </c>
    </row>
    <row r="19" spans="1:15" ht="27" customHeight="1">
      <c r="A19" s="81" t="s">
        <v>393</v>
      </c>
      <c r="B19" s="66" t="s">
        <v>190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98"/>
      <c r="N19" s="372"/>
      <c r="O19" s="377">
        <f t="shared" si="0"/>
        <v>0</v>
      </c>
    </row>
    <row r="20" spans="1:15" ht="27" customHeight="1">
      <c r="A20" s="81" t="s">
        <v>394</v>
      </c>
      <c r="B20" s="66"/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>
        <f t="shared" si="0"/>
        <v>0</v>
      </c>
    </row>
    <row r="21" spans="1:15" ht="27.75" customHeight="1">
      <c r="A21" s="81" t="s">
        <v>395</v>
      </c>
      <c r="B21" s="66" t="s">
        <v>190</v>
      </c>
      <c r="C21" s="376"/>
      <c r="D21" s="372"/>
      <c r="E21" s="376"/>
      <c r="F21" s="94"/>
      <c r="G21" s="376"/>
      <c r="H21" s="94"/>
      <c r="I21" s="376"/>
      <c r="J21" s="372"/>
      <c r="K21" s="376"/>
      <c r="L21" s="372"/>
      <c r="M21" s="398">
        <f>TAXCALC!E181</f>
        <v>-40981.022201906744</v>
      </c>
      <c r="N21" s="372"/>
      <c r="O21" s="377">
        <f t="shared" si="0"/>
        <v>-40981.022201906744</v>
      </c>
    </row>
    <row r="22" spans="1:15" ht="25.5">
      <c r="A22" s="81" t="s">
        <v>396</v>
      </c>
      <c r="B22" s="66" t="s">
        <v>190</v>
      </c>
      <c r="C22" s="376"/>
      <c r="D22" s="372"/>
      <c r="E22" s="376"/>
      <c r="F22" s="94"/>
      <c r="G22" s="376"/>
      <c r="H22" s="94"/>
      <c r="I22" s="376"/>
      <c r="J22" s="372"/>
      <c r="K22" s="376"/>
      <c r="L22" s="372"/>
      <c r="M22" s="376"/>
      <c r="N22" s="372"/>
      <c r="O22" s="377">
        <f t="shared" si="0"/>
        <v>0</v>
      </c>
    </row>
    <row r="23" spans="1:15" ht="24" customHeight="1">
      <c r="A23" s="412" t="s">
        <v>397</v>
      </c>
      <c r="B23" s="66" t="s">
        <v>190</v>
      </c>
      <c r="C23" s="376"/>
      <c r="D23" s="372"/>
      <c r="E23" s="376"/>
      <c r="F23" s="94"/>
      <c r="G23" s="376"/>
      <c r="H23" s="94"/>
      <c r="I23" s="376"/>
      <c r="J23" s="372"/>
      <c r="K23" s="376"/>
      <c r="L23" s="372"/>
      <c r="M23" s="376"/>
      <c r="N23" s="372"/>
      <c r="O23" s="377">
        <f t="shared" si="0"/>
        <v>0</v>
      </c>
    </row>
    <row r="24" spans="1:15" ht="24.75" customHeight="1">
      <c r="A24" s="81" t="s">
        <v>462</v>
      </c>
      <c r="B24" s="66" t="s">
        <v>188</v>
      </c>
      <c r="C24" s="398">
        <v>0</v>
      </c>
      <c r="D24" s="372"/>
      <c r="E24" s="376"/>
      <c r="F24" s="94"/>
      <c r="G24" s="376"/>
      <c r="H24" s="94"/>
      <c r="I24" s="376"/>
      <c r="J24" s="372"/>
      <c r="K24" s="376"/>
      <c r="L24" s="372"/>
      <c r="M24" s="376"/>
      <c r="N24" s="372"/>
      <c r="O24" s="377">
        <f t="shared" si="0"/>
        <v>0</v>
      </c>
    </row>
    <row r="25" spans="1:15" ht="12.75">
      <c r="A25" s="65"/>
      <c r="C25" s="372"/>
      <c r="D25" s="94"/>
      <c r="E25" s="372"/>
      <c r="F25" s="94"/>
      <c r="G25" s="372"/>
      <c r="H25" s="94"/>
      <c r="I25" s="372"/>
      <c r="J25" s="372"/>
      <c r="K25" s="372"/>
      <c r="L25" s="372"/>
      <c r="M25" s="372"/>
      <c r="N25" s="372"/>
      <c r="O25" s="399"/>
    </row>
    <row r="26" spans="1:15" ht="13.5" thickBot="1">
      <c r="A26" s="81" t="s">
        <v>370</v>
      </c>
      <c r="B26" s="34"/>
      <c r="C26" s="378">
        <f>SUM(C15:C24)</f>
        <v>0</v>
      </c>
      <c r="D26" s="399"/>
      <c r="E26" s="378">
        <f>SUM(E15:E24)</f>
        <v>0</v>
      </c>
      <c r="F26" s="399"/>
      <c r="G26" s="378">
        <f>SUM(G15:G24)</f>
        <v>0</v>
      </c>
      <c r="H26" s="399"/>
      <c r="I26" s="378">
        <f>SUM(I15:I24)</f>
        <v>0</v>
      </c>
      <c r="J26" s="371"/>
      <c r="K26" s="378">
        <f>SUM(K15:K24)</f>
        <v>0</v>
      </c>
      <c r="L26" s="371"/>
      <c r="M26" s="378">
        <f>SUM(M15:M25)</f>
        <v>-40981.022201906744</v>
      </c>
      <c r="N26" s="371"/>
      <c r="O26" s="430">
        <f>SUM(O15:O24)</f>
        <v>-40981.022201906744</v>
      </c>
    </row>
    <row r="27" spans="1:15" ht="13.5" thickTop="1">
      <c r="A27" s="413"/>
      <c r="B27" s="414"/>
      <c r="C27" s="420"/>
      <c r="D27" s="421"/>
      <c r="E27" s="420"/>
      <c r="F27" s="421"/>
      <c r="G27" s="420"/>
      <c r="H27" s="421"/>
      <c r="I27" s="420"/>
      <c r="J27" s="414"/>
      <c r="K27" s="420"/>
      <c r="L27" s="186"/>
      <c r="M27" s="422"/>
      <c r="N27" s="186"/>
      <c r="O27" s="422"/>
    </row>
    <row r="28" spans="1:15" ht="12.75">
      <c r="A28" s="436"/>
      <c r="B28" s="437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9"/>
    </row>
    <row r="29" spans="1:15" ht="12.75">
      <c r="A29" s="413"/>
      <c r="B29" s="414"/>
      <c r="C29" s="440"/>
      <c r="D29" s="440"/>
      <c r="E29" s="440"/>
      <c r="F29" s="440"/>
      <c r="G29" s="440"/>
      <c r="H29" s="440"/>
      <c r="I29" s="440"/>
      <c r="J29" s="441"/>
      <c r="K29" s="440"/>
      <c r="L29" s="442"/>
      <c r="M29" s="443"/>
      <c r="N29" s="442"/>
      <c r="O29" s="443"/>
    </row>
    <row r="30" spans="1:15" ht="12.75">
      <c r="A30" s="413" t="s">
        <v>398</v>
      </c>
      <c r="B30" s="414"/>
      <c r="C30" s="440"/>
      <c r="D30" s="440"/>
      <c r="E30" s="440"/>
      <c r="F30" s="440"/>
      <c r="G30" s="440"/>
      <c r="H30" s="440"/>
      <c r="I30" s="440"/>
      <c r="J30" s="441"/>
      <c r="K30" s="440"/>
      <c r="L30" s="442"/>
      <c r="M30" s="443"/>
      <c r="N30" s="442"/>
      <c r="O30" s="443"/>
    </row>
    <row r="31" spans="1:15" ht="9" customHeight="1">
      <c r="A31" s="413"/>
      <c r="B31" s="414"/>
      <c r="C31" s="414"/>
      <c r="D31" s="414"/>
      <c r="E31" s="414"/>
      <c r="F31" s="414"/>
      <c r="G31" s="414"/>
      <c r="H31" s="414"/>
      <c r="I31" s="414"/>
      <c r="J31" s="414"/>
      <c r="K31" s="415"/>
      <c r="L31" s="186"/>
      <c r="M31" s="186"/>
      <c r="N31" s="186"/>
      <c r="O31" s="186"/>
    </row>
    <row r="32" spans="1:15" ht="12.75">
      <c r="A32" s="413" t="s">
        <v>399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186"/>
      <c r="M32" s="186"/>
      <c r="N32" s="186"/>
      <c r="O32" s="186"/>
    </row>
    <row r="33" spans="1:15" ht="12.75">
      <c r="A33" s="416" t="s">
        <v>400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186"/>
      <c r="M33" s="186"/>
      <c r="N33" s="186"/>
      <c r="O33" s="186"/>
    </row>
    <row r="34" spans="1:15" ht="9" customHeight="1">
      <c r="A34" s="186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186"/>
      <c r="M34" s="186"/>
      <c r="N34" s="186"/>
      <c r="O34" s="186"/>
    </row>
    <row r="35" spans="1:15" ht="12.75">
      <c r="A35" s="431" t="s">
        <v>401</v>
      </c>
      <c r="B35" s="80"/>
      <c r="C35" s="80"/>
      <c r="D35" s="80"/>
      <c r="E35" s="80"/>
      <c r="F35" s="80"/>
      <c r="G35" s="80"/>
      <c r="H35" s="80"/>
      <c r="I35" s="427"/>
      <c r="J35" s="427"/>
      <c r="K35" s="427"/>
      <c r="L35" s="427"/>
      <c r="M35" s="427"/>
      <c r="N35" s="427"/>
      <c r="O35" s="427"/>
    </row>
    <row r="36" spans="1:15" ht="9" customHeight="1">
      <c r="A36" s="432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9" ht="12.75">
      <c r="A37" s="497" t="s">
        <v>402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00"/>
      <c r="Q37" s="400"/>
      <c r="R37" s="400"/>
      <c r="S37" s="400"/>
    </row>
    <row r="38" spans="1:19" ht="12.75">
      <c r="A38" s="496" t="s">
        <v>403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00"/>
      <c r="Q38" s="400"/>
      <c r="R38" s="400"/>
      <c r="S38" s="400"/>
    </row>
    <row r="39" spans="1:19" ht="12.75">
      <c r="A39" s="496" t="s">
        <v>424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00"/>
      <c r="Q39" s="400"/>
      <c r="R39" s="400"/>
      <c r="S39" s="400"/>
    </row>
    <row r="40" spans="1:19" ht="12.75">
      <c r="A40" s="496" t="s">
        <v>404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00"/>
      <c r="Q40" s="400"/>
      <c r="R40" s="400"/>
      <c r="S40" s="400"/>
    </row>
    <row r="41" spans="1:19" ht="12.75">
      <c r="A41" s="417" t="s">
        <v>367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9" ht="12.75">
      <c r="A42" s="417" t="s">
        <v>368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00"/>
      <c r="Q42" s="400"/>
      <c r="R42" s="400"/>
      <c r="S42" s="400"/>
    </row>
    <row r="43" spans="1:19" ht="12.75">
      <c r="A43" s="417" t="s">
        <v>405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00"/>
      <c r="Q43" s="400"/>
      <c r="R43" s="400"/>
      <c r="S43" s="400"/>
    </row>
    <row r="44" spans="1:19" ht="12.75">
      <c r="A44" s="417" t="s">
        <v>406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00"/>
      <c r="Q44" s="400"/>
      <c r="R44" s="400"/>
      <c r="S44" s="400"/>
    </row>
    <row r="45" spans="2:19" ht="9" customHeight="1"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00"/>
      <c r="Q45" s="400"/>
      <c r="R45" s="400"/>
      <c r="S45" s="400"/>
    </row>
    <row r="46" spans="1:15" ht="12.75">
      <c r="A46" s="419" t="s">
        <v>407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12.75">
      <c r="A47" s="414" t="s">
        <v>408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9" customHeight="1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9" t="s">
        <v>409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12.75">
      <c r="A50" s="414" t="s">
        <v>410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9" customHeight="1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9" t="s">
        <v>411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12.75">
      <c r="A53" s="414" t="s">
        <v>412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9" customHeight="1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12.75">
      <c r="A55" s="419" t="s">
        <v>413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>
      <c r="A56" s="414" t="s">
        <v>410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9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414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9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 customHeight="1">
      <c r="A60" s="419" t="s">
        <v>415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9" customHeight="1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12.75">
      <c r="A62" s="414" t="s">
        <v>416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417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418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377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9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419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420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12.75">
      <c r="A69" s="414" t="s">
        <v>379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3.75" customHeight="1">
      <c r="A70" s="414"/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378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380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3.75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>
      <c r="A74" s="414" t="s">
        <v>421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186"/>
      <c r="M74" s="186"/>
      <c r="N74" s="186"/>
      <c r="O74" s="186"/>
    </row>
    <row r="75" spans="1:15" ht="12.75">
      <c r="A75" s="414" t="s">
        <v>422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414" t="s">
        <v>423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9" customHeight="1">
      <c r="A77" s="414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5" ht="12.75" customHeight="1">
      <c r="A78" s="496" t="s">
        <v>453</v>
      </c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</row>
    <row r="79" spans="1:15" ht="12.75">
      <c r="A79" s="414" t="s">
        <v>369</v>
      </c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186"/>
      <c r="M79" s="186"/>
      <c r="N79" s="186"/>
      <c r="O79" s="186"/>
    </row>
    <row r="80" spans="1:15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186"/>
      <c r="M80" s="186"/>
      <c r="N80" s="186"/>
      <c r="O80" s="186"/>
    </row>
    <row r="81" spans="1:15" ht="12.75">
      <c r="A81" s="186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186"/>
      <c r="M81" s="186"/>
      <c r="N81" s="186"/>
      <c r="O81" s="186"/>
    </row>
    <row r="82" spans="1:17" ht="12.75">
      <c r="A82" s="186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186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414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186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414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414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186"/>
      <c r="O92" s="186"/>
      <c r="P92" s="186"/>
      <c r="Q92" s="186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7" ht="12.75">
      <c r="A94" s="186"/>
      <c r="B94" s="186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186"/>
      <c r="O94" s="186"/>
      <c r="P94" s="186"/>
      <c r="Q94" s="186"/>
    </row>
    <row r="95" spans="1:17" ht="12.75">
      <c r="A95" s="186"/>
      <c r="B95" s="186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186"/>
      <c r="O95" s="186"/>
      <c r="P95" s="186"/>
      <c r="Q95" s="186"/>
    </row>
    <row r="96" spans="1:17" ht="12.75">
      <c r="A96" s="186"/>
      <c r="B96" s="18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</row>
    <row r="97" spans="1:17" ht="12.75">
      <c r="A97" s="186"/>
      <c r="B97" s="186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2011-07-07T17:57:08Z</cp:lastPrinted>
  <dcterms:created xsi:type="dcterms:W3CDTF">2001-11-07T16:15:53Z</dcterms:created>
  <dcterms:modified xsi:type="dcterms:W3CDTF">2012-01-18T17:53:08Z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