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<sst xmlns="http://schemas.openxmlformats.org/spreadsheetml/2006/main" count="835" uniqueCount="489">
  <si>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</si>
  <si>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</si>
  <si>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</si>
  <si>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</si>
  <si>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</si>
  <si>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</si>
  <si>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</si>
  <si>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</si>
  <si>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</si>
  <si>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</si>
  <si>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</si>
  <si>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</si>
  <si>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</si>
  <si>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</si>
  <si>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</si>
  <si>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</si>
  <si>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</si>
  <si>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</si>
  <si>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</si>
  <si>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</si>
  <si>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</si>
  <si>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</si>
  <si>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</si>
  <si>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</si>
  <si>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</si>
  <si>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</si>
  <si>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</si>
  <si>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</si>
  <si>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</si>
  <si>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</si>
  <si>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</si>
  <si>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</si>
  <si>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</si>
  <si>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</si>
  <si>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</si>
  <si>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</si>
  <si>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</si>
  <si>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</si>
  <si>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</si>
  <si>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</si>
  <si>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</si>
  <si>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</si>
  <si>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</si>
  <si>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</si>
  <si>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</si>
  <si>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</si>
  <si>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</si>
  <si>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</si>
  <si>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</si>
  <si>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</si>
  <si>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</si>
  <si>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</si>
  <si>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</si>
  <si>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</si>
  <si>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</si>
  <si>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</si>
  <si>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</si>
  <si>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</si>
  <si>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</si>
  <si>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</si>
  <si>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</si>
  <si>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</si>
  <si>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</si>
  <si>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</si>
  <si>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</si>
  <si>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</si>
  <si>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</si>
  <si>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</si>
  <si>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</si>
  <si>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</si>
  <si>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</si>
  <si>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</si>
  <si>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</si>
  <si>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</si>
  <si>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</si>
  <si>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</si>
  <si>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</si>
  <si>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</si>
  <si>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</si>
  <si>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</si>
  <si>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</si>
  <si>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</si>
  <si>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</si>
  <si>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</si>
  <si>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</si>
  <si>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</si>
  <si>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</si>
  <si>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</si>
  <si>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</si>
  <si>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</si>
  <si>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</si>
  <si>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</si>
  <si>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</si>
  <si>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</si>
  <si>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</si>
  <si>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</si>
  <si>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</si>
  <si>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</si>
  <si>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</si>
  <si>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</si>
  <si>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</si>
  <si>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</si>
  <si>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</si>
  <si>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</si>
  <si>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</si>
  <si>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</si>
  <si>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</si>
  <si>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</si>
  <si>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</si>
  <si>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</si>
  <si>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</si>
  <si>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</si>
  <si>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</si>
  <si>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</si>
  <si>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</si>
  <si>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</si>
  <si>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</si>
  <si>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</si>
  <si>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</si>
  <si>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</si>
  <si>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</si>
  <si>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</si>
  <si>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</si>
  <si>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</si>
  <si>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</si>
  <si>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</si>
  <si>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</si>
  <si>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</si>
  <si>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</si>
  <si>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</si>
  <si>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</si>
  <si>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</si>
  <si>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</si>
  <si>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</si>
  <si>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</si>
  <si>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</si>
  <si>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</si>
  <si>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</si>
  <si>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</si>
  <si>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</si>
  <si>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</si>
  <si>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</si>
  <si>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</si>
  <si>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</si>
  <si>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</si>
  <si>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</si>
  <si>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</si>
  <si>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</si>
  <si>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</si>
  <si>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</si>
  <si>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</si>
  <si>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</si>
  <si>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</si>
  <si>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</si>
  <si>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</si>
  <si>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</si>
  <si>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</si>
  <si>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</si>
  <si>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</si>
  <si>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</si>
  <si>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</si>
  <si>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</si>
  <si>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</si>
  <si>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</si>
  <si>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</si>
  <si>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</si>
  <si>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</si>
  <si>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</si>
  <si>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</si>
  <si>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</si>
  <si>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</si>
  <si>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</si>
  <si>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</si>
  <si>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</si>
  <si>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</si>
  <si>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</si>
  <si>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</si>
  <si>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</si>
  <si>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</si>
  <si>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</si>
  <si>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</si>
  <si>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</si>
  <si>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</si>
  <si>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</si>
  <si>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</si>
  <si>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</si>
  <si>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</si>
  <si>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</si>
  <si>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</si>
  <si>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</si>
  <si>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</si>
  <si>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</si>
  <si>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</si>
  <si>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</si>
  <si>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</si>
  <si>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</si>
  <si>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</si>
  <si>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</si>
  <si>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</si>
  <si>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</si>
  <si>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</si>
  <si>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</si>
  <si>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</si>
  <si>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</si>
  <si>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</si>
  <si>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</si>
  <si>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</si>
  <si>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</si>
  <si>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</si>
  <si>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</si>
  <si>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</si>
  <si>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</si>
  <si>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</si>
  <si>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</si>
  <si>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</si>
  <si>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</si>
  <si>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</si>
  <si>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</si>
  <si>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</si>
  <si>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</si>
  <si>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</si>
  <si>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</si>
  <si>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</si>
  <si>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</si>
  <si>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</si>
  <si>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</si>
  <si>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</si>
  <si>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</si>
  <si>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</si>
  <si>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</si>
  <si>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</si>
  <si>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</si>
  <si>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</si>
  <si>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</si>
  <si>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</si>
  <si>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</si>
  <si>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</si>
  <si>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</si>
  <si>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</si>
  <si>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</si>
  <si>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</si>
  <si>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</si>
  <si>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</si>
  <si>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</si>
  <si>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</si>
  <si>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</si>
  <si>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</si>
  <si>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</si>
  <si>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</si>
  <si>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</si>
  <si>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</si>
  <si>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</si>
  <si>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</si>
  <si>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</si>
  <si>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</si>
  <si>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</si>
  <si>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</si>
  <si>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</si>
  <si>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</si>
  <si>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</si>
  <si>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</si>
  <si>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</si>
  <si>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</si>
  <si>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</si>
  <si>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</si>
  <si>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</si>
  <si>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</si>
  <si>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</si>
  <si>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</si>
  <si>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</si>
  <si>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</si>
  <si>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</si>
  <si>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</si>
  <si>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</si>
  <si>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</si>
  <si>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</si>
  <si>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</si>
  <si>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</si>
  <si>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</si>
  <si>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</si>
  <si>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</si>
  <si>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</si>
  <si>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</si>
  <si>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</si>
  <si>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</si>
  <si>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</si>
  <si>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</si>
  <si>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</si>
  <si>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</si>
  <si>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</si>
  <si>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</si>
  <si>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</si>
  <si>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</si>
  <si>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</si>
  <si>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</si>
  <si>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</si>
  <si>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</si>
  <si>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</si>
  <si>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</si>
  <si>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</si>
  <si>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</si>
  <si>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</si>
  <si>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</si>
  <si>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</si>
  <si>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</si>
  <si>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</si>
  <si>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</si>
  <si>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</si>
  <si>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</si>
  <si>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</si>
  <si>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</si>
  <si>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</si>
  <si>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</si>
  <si>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</si>
  <si>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</si>
  <si>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</si>
  <si>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</si>
  <si>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</si>
  <si>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</si>
  <si>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</si>
  <si>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</si>
  <si>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</si>
  <si>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</si>
  <si>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</si>
  <si>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</si>
  <si>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</si>
  <si>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</si>
  <si>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</si>
  <si>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</si>
  <si>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</si>
  <si>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</si>
  <si>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</si>
  <si>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</si>
  <si>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</si>
  <si>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</si>
  <si>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</si>
  <si>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</si>
  <si>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</si>
  <si>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</si>
  <si>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</si>
  <si>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</si>
  <si>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</si>
  <si>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</si>
  <si>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</si>
  <si>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</si>
  <si>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</si>
  <si>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</si>
  <si>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</si>
  <si>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</si>
  <si>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</si>
  <si>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</si>
  <si>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</si>
  <si>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</si>
  <si>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</si>
  <si>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</si>
  <si>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</si>
  <si>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</si>
  <si>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</si>
  <si>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</si>
  <si>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</si>
  <si>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</si>
  <si>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</si>
  <si>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</si>
  <si>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</si>
  <si>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</si>
  <si>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</si>
  <si>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</si>
  <si>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</si>
  <si>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</si>
  <si>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</si>
  <si>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</si>
  <si>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</si>
  <si>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</si>
  <si>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</si>
  <si>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</si>
  <si>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</si>
  <si>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</si>
  <si>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</si>
  <si>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</si>
  <si>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</si>
  <si>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</si>
  <si>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</si>
  <si>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</si>
  <si>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</si>
  <si>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</si>
  <si>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</si>
  <si>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</si>
  <si>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</si>
  <si>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</si>
  <si>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</si>
  <si>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</si>
  <si>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</si>
  <si>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</si>
  <si>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</si>
  <si>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</si>
  <si>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</si>
  <si>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</si>
  <si>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</si>
  <si>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</si>
  <si>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</si>
  <si>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</si>
  <si>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</si>
  <si>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</si>
  <si>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</si>
  <si>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</si>
  <si>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</si>
  <si>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</si>
  <si>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</si>
  <si>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</si>
  <si>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</si>
  <si>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</si>
  <si>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</si>
  <si>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</si>
  <si>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</si>
  <si>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</si>
  <si>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</si>
  <si>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</si>
  <si>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</si>
  <si>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</si>
  <si>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</si>
  <si>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</si>
  <si>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</si>
  <si>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</si>
  <si>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</si>
  <si>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</si>
  <si>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</si>
  <si>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</si>
  <si>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</si>
  <si>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</si>
  <si>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</si>
  <si>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</si>
  <si>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</si>
  <si>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</si>
  <si>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</si>
  <si>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</si>
  <si>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</si>
  <si>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</si>
  <si>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</si>
  <si>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</si>
  <si>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</si>
  <si>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</si>
  <si>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</si>
  <si>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</si>
  <si>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</si>
  <si>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</si>
  <si>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</si>
  <si>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</si>
  <si>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</si>
  <si>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</si>
  <si>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</si>
  <si>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</si>
  <si>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</si>
  <si>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</si>
  <si>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</si>
  <si>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</si>
  <si>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</si>
  <si>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</si>
  <si>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</si>
  <si>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</si>
  <si>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</si>
  <si>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</si>
  <si>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</si>
  <si>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</si>
  <si>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</si>
  <si>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</si>
  <si>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</si>
  <si>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</si>
  <si>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</si>
  <si>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</si>
  <si>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</si>
  <si>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</si>
  <si>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</si>
  <si>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</si>
  <si>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</si>
  <si>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</si>
  <si>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</si>
  <si>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</si>
  <si>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</si>
  <si>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</si>
  <si>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</si>
  <si>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Income - joint ventures / partnerships</t>
  </si>
  <si>
    <t xml:space="preserve">Employee Future Benefits </t>
  </si>
  <si>
    <t xml:space="preserve">Non Deductible interest expense </t>
  </si>
  <si>
    <t xml:space="preserve">Less: Federal LCT included in rates </t>
  </si>
  <si>
    <t>Taxable</t>
  </si>
  <si>
    <t>Provincial Capital Tax</t>
  </si>
  <si>
    <t>Utility Name: Parry Sound Power Corporation</t>
  </si>
  <si>
    <t xml:space="preserve">Tax Rates </t>
  </si>
  <si>
    <t xml:space="preserve">Transition Costs Recovery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</si>
</sst>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0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1" fillId="0" borderId="0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6" borderId="14" xfId="63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486</v>
      </c>
      <c r="C3" s="8"/>
      <c r="D3" s="436" t="s">
        <v>431</v>
      </c>
      <c r="E3" s="8"/>
      <c r="F3" s="8"/>
      <c r="G3" s="8"/>
      <c r="H3" s="8"/>
    </row>
    <row r="4" spans="1:8" ht="12.75">
      <c r="A4" s="2" t="s">
        <v>462</v>
      </c>
      <c r="C4" s="8"/>
      <c r="D4" s="435" t="s">
        <v>426</v>
      </c>
      <c r="E4" s="409"/>
      <c r="H4" s="8"/>
    </row>
    <row r="5" spans="1:8" ht="12.75">
      <c r="A5" s="52"/>
      <c r="C5" s="8"/>
      <c r="D5" s="434" t="s">
        <v>427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1" t="s">
        <v>311</v>
      </c>
      <c r="C18" s="8"/>
      <c r="D18" s="8"/>
    </row>
    <row r="19" spans="1:4" ht="15" customHeight="1">
      <c r="A19" s="489" t="s">
        <v>312</v>
      </c>
      <c r="B19" s="8" t="s">
        <v>309</v>
      </c>
      <c r="C19" s="8" t="s">
        <v>63</v>
      </c>
      <c r="D19" s="370"/>
    </row>
    <row r="20" spans="1:4" ht="13.5" thickBot="1">
      <c r="A20" s="490"/>
      <c r="B20" s="8" t="s">
        <v>310</v>
      </c>
      <c r="C20" s="8" t="s">
        <v>63</v>
      </c>
      <c r="D20" s="257"/>
    </row>
    <row r="21" spans="1:4" ht="12.75">
      <c r="A21" s="489" t="s">
        <v>308</v>
      </c>
      <c r="B21" s="8" t="s">
        <v>309</v>
      </c>
      <c r="C21" s="8"/>
      <c r="D21" s="404">
        <v>1</v>
      </c>
    </row>
    <row r="22" spans="1:4" ht="12.75">
      <c r="A22" s="489"/>
      <c r="B22" s="8" t="s">
        <v>310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211</v>
      </c>
      <c r="C24" s="8" t="s">
        <v>212</v>
      </c>
      <c r="D24" s="405" t="s">
        <v>463</v>
      </c>
    </row>
    <row r="25" ht="6.75" customHeight="1" thickBot="1">
      <c r="A25" s="12"/>
    </row>
    <row r="26" spans="1:5" ht="12.75">
      <c r="A26" s="254" t="s">
        <v>66</v>
      </c>
      <c r="C26" s="8"/>
      <c r="E26" s="424" t="s">
        <v>296</v>
      </c>
    </row>
    <row r="27" spans="1:5" ht="12.75">
      <c r="A27" s="255" t="s">
        <v>67</v>
      </c>
      <c r="C27" s="8"/>
      <c r="E27" s="425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2">
        <v>6561667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540412.77855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289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290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291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423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63">
      <selection activeCell="D106" sqref="D10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448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0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0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v>351847</v>
      </c>
      <c r="D16" s="17"/>
      <c r="E16" s="266">
        <f>G16-C16</f>
        <v>-37333</v>
      </c>
      <c r="F16" s="3"/>
      <c r="G16" s="266">
        <f>TAXREC!E50</f>
        <v>314514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408012</v>
      </c>
      <c r="D20" s="18"/>
      <c r="E20" s="266">
        <f>G20-C20</f>
        <v>-70943</v>
      </c>
      <c r="F20" s="6"/>
      <c r="G20" s="266">
        <f>TAXREC!E61</f>
        <v>337069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>
        <v>8064</v>
      </c>
      <c r="D24" s="18"/>
      <c r="E24" s="266">
        <f>G24-C24</f>
        <v>-8064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62" t="s">
        <v>379</v>
      </c>
      <c r="B30" s="127"/>
      <c r="C30" s="258"/>
      <c r="D30" s="18"/>
      <c r="E30" s="266">
        <f>G30-C30</f>
        <v>3189</v>
      </c>
      <c r="F30" s="6"/>
      <c r="G30" s="266">
        <f>TAXREC!E66</f>
        <v>3189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291119</v>
      </c>
      <c r="D33" s="132"/>
      <c r="E33" s="266">
        <f aca="true" t="shared" si="0" ref="E33:E42">G33-C33</f>
        <v>-27225</v>
      </c>
      <c r="F33" s="6"/>
      <c r="G33" s="266">
        <f>TAXREC!E97+TAXREC!E98</f>
        <v>263894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v>148913</v>
      </c>
      <c r="D37" s="132"/>
      <c r="E37" s="266">
        <f t="shared" si="0"/>
        <v>27531</v>
      </c>
      <c r="F37" s="6"/>
      <c r="G37" s="266">
        <f>TAXREC!E51</f>
        <v>176444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2" t="s">
        <v>379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327891</v>
      </c>
      <c r="D50" s="102"/>
      <c r="E50" s="262">
        <f>E16+SUM(E20:E30)-SUM(E33:E48)</f>
        <v>-113457</v>
      </c>
      <c r="F50" s="412" t="s">
        <v>354</v>
      </c>
      <c r="G50" s="262">
        <f>G16+SUM(G20:G30)-SUM(G33:G48)</f>
        <v>214434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485" t="s">
        <v>487</v>
      </c>
      <c r="B53" s="127">
        <v>13</v>
      </c>
      <c r="C53" s="261">
        <f>'Tax Rates'!E16</f>
        <v>0.3412</v>
      </c>
      <c r="D53" s="102"/>
      <c r="E53" s="267">
        <f>+G53-C53</f>
        <v>-0.21678618023084045</v>
      </c>
      <c r="F53" s="114"/>
      <c r="G53" s="454">
        <f>TAXREC!E151</f>
        <v>0.12441381976915955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111876.4092</v>
      </c>
      <c r="D55" s="102"/>
      <c r="E55" s="266">
        <f>G55-C55</f>
        <v>-88264.4092</v>
      </c>
      <c r="F55" s="412" t="s">
        <v>355</v>
      </c>
      <c r="G55" s="263">
        <f>TAXREC!E144</f>
        <v>23612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2" t="s">
        <v>355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111876.4092</v>
      </c>
      <c r="D60" s="133"/>
      <c r="E60" s="268">
        <f>+E55-E58</f>
        <v>-88264.4092</v>
      </c>
      <c r="F60" s="412" t="s">
        <v>355</v>
      </c>
      <c r="G60" s="268">
        <f>+G55-G58</f>
        <v>23612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6561667</v>
      </c>
      <c r="D66" s="102"/>
      <c r="E66" s="266">
        <f>G66-C66</f>
        <v>-78865</v>
      </c>
      <c r="F66" s="6"/>
      <c r="G66" s="456">
        <v>6482802</v>
      </c>
      <c r="H66" s="151"/>
      <c r="I66" s="457"/>
    </row>
    <row r="67" spans="1:10" ht="12.75">
      <c r="A67" s="485" t="s">
        <v>477</v>
      </c>
      <c r="B67" s="125">
        <v>16</v>
      </c>
      <c r="C67" s="259">
        <f>IF(C66&gt;0,'Tax Rates'!C21,0)</f>
        <v>5000000</v>
      </c>
      <c r="D67" s="102"/>
      <c r="E67" s="266">
        <f>G67-C67</f>
        <v>-1448401</v>
      </c>
      <c r="F67" s="6"/>
      <c r="G67" s="266">
        <v>3551599</v>
      </c>
      <c r="H67" s="151"/>
      <c r="I67" s="457"/>
      <c r="J67" s="471"/>
    </row>
    <row r="68" spans="1:8" ht="12.75">
      <c r="A68" s="152" t="s">
        <v>42</v>
      </c>
      <c r="B68" s="125"/>
      <c r="C68" s="263">
        <f>IF((C66-C67)&gt;0,C66-C67,0)</f>
        <v>1561667</v>
      </c>
      <c r="D68" s="102"/>
      <c r="E68" s="266">
        <f>SUM(E66:E67)</f>
        <v>-1527266</v>
      </c>
      <c r="F68" s="114"/>
      <c r="G68" s="263">
        <f>G66-G67</f>
        <v>2931203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5" t="s">
        <v>478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4685.001</v>
      </c>
      <c r="D72" s="101"/>
      <c r="E72" s="266">
        <f>+G72-C72</f>
        <v>4108.608</v>
      </c>
      <c r="F72" s="458"/>
      <c r="G72" s="263">
        <f>(IF(G68&gt;0,G68*G70,0)*REGINFO!$B$6/REGINFO!$B$7)</f>
        <v>8793.609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6561667</v>
      </c>
      <c r="D75" s="102"/>
      <c r="E75" s="266">
        <f>+G75-C75</f>
        <v>-6561667</v>
      </c>
      <c r="F75" s="6"/>
      <c r="G75" s="456"/>
      <c r="H75" s="151"/>
      <c r="I75" s="457"/>
    </row>
    <row r="76" spans="1:9" ht="12.75">
      <c r="A76" s="485" t="s">
        <v>477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7"/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-16561667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5" t="s">
        <v>479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0</v>
      </c>
      <c r="D82" s="102"/>
      <c r="E82" s="266">
        <f>+G82-C82</f>
        <v>2401.6608</v>
      </c>
      <c r="F82" s="6"/>
      <c r="G82" s="299">
        <f>'Tax Rates'!C38*TAXREC!C134</f>
        <v>2401.6608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-2401.6608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3">
        <f>(C60/(1-C88))+1</f>
        <v>169819.4717668488</v>
      </c>
      <c r="D90" s="20"/>
      <c r="E90" s="139"/>
      <c r="F90" s="411" t="s">
        <v>464</v>
      </c>
      <c r="G90" s="269">
        <f>TAXREC!E156</f>
        <v>23612</v>
      </c>
      <c r="H90" s="151"/>
    </row>
    <row r="91" spans="1:8" ht="12.75">
      <c r="A91" s="158" t="s">
        <v>357</v>
      </c>
      <c r="B91" s="127">
        <v>23</v>
      </c>
      <c r="C91" s="263"/>
      <c r="D91" s="20"/>
      <c r="E91" s="139"/>
      <c r="F91" s="411" t="s">
        <v>464</v>
      </c>
      <c r="G91" s="269">
        <f>TAXREC!E158</f>
        <v>0</v>
      </c>
      <c r="H91" s="151"/>
    </row>
    <row r="92" spans="1:8" ht="12.75">
      <c r="A92" s="158" t="s">
        <v>341</v>
      </c>
      <c r="B92" s="127">
        <v>24</v>
      </c>
      <c r="C92" s="263">
        <f>C72</f>
        <v>4685.001</v>
      </c>
      <c r="D92" s="20"/>
      <c r="E92" s="139"/>
      <c r="F92" s="411" t="s">
        <v>464</v>
      </c>
      <c r="G92" s="269">
        <f>TAXREC!E157</f>
        <v>8794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456</v>
      </c>
      <c r="B95" s="125">
        <v>25</v>
      </c>
      <c r="C95" s="268">
        <f>SUM(C90:C93)</f>
        <v>174504.47276684878</v>
      </c>
      <c r="D95" s="6"/>
      <c r="E95" s="139"/>
      <c r="F95" s="411" t="s">
        <v>464</v>
      </c>
      <c r="G95" s="394">
        <f>SUM(G90:G94)</f>
        <v>32406</v>
      </c>
      <c r="H95" s="164"/>
    </row>
    <row r="96" spans="1:8" ht="12.75">
      <c r="A96" s="38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350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349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460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0</v>
      </c>
      <c r="F120" s="37"/>
      <c r="G120" s="200"/>
      <c r="H120" s="164"/>
      <c r="I120" s="482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6" t="s">
        <v>473</v>
      </c>
      <c r="B122" s="127"/>
      <c r="C122" s="112"/>
      <c r="D122" s="3" t="s">
        <v>230</v>
      </c>
      <c r="E122" s="488">
        <f>'Tax Rates'!F34</f>
        <v>0.2076</v>
      </c>
      <c r="F122" s="451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8">
        <f>'Tax Rates'!F34-'Tax Rates'!C38</f>
        <v>0.19640000000000002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5">
        <f>E128/(1-E130)</f>
        <v>0</v>
      </c>
      <c r="F132" s="37"/>
      <c r="G132" s="200"/>
      <c r="H132" s="164"/>
      <c r="I132" s="482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88">
        <f>'Tax Rates'!F34</f>
        <v>0.2076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68070.1716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68070.1716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-43806.23759999999</v>
      </c>
      <c r="F148" s="474"/>
      <c r="G148" s="200"/>
      <c r="H148" s="164"/>
      <c r="I148" s="474"/>
    </row>
    <row r="149" spans="1:8" ht="12.75">
      <c r="A149" s="171"/>
      <c r="B149" s="130"/>
      <c r="C149" s="112"/>
      <c r="D149" s="119"/>
      <c r="E149" s="144"/>
      <c r="F149" s="474"/>
      <c r="G149" s="200"/>
      <c r="H149" s="164"/>
    </row>
    <row r="150" spans="1:8" ht="12.75">
      <c r="A150" s="368" t="s">
        <v>20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6561667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471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4685.001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4685.001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5">
        <f>E157-E158</f>
        <v>0</v>
      </c>
      <c r="F159" s="37"/>
      <c r="G159" s="200"/>
      <c r="H159" s="164"/>
      <c r="I159" s="482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6561667</v>
      </c>
      <c r="F162" s="37"/>
      <c r="G162" s="200"/>
      <c r="H162" s="164"/>
    </row>
    <row r="163" spans="1:9" ht="12.75">
      <c r="A163" s="171" t="s">
        <v>347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2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-43438333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470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2401.6608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483</v>
      </c>
      <c r="B172" s="130"/>
      <c r="C172" s="112"/>
      <c r="D172" s="118" t="s">
        <v>187</v>
      </c>
      <c r="E172" s="304">
        <f>C91</f>
        <v>0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5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0">
        <f>'Tax Rates'!F34-'Tax Rates'!C38</f>
        <v>0.19640000000000002</v>
      </c>
      <c r="F175" s="451"/>
      <c r="G175" s="200"/>
      <c r="H175" s="164"/>
      <c r="I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4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-54512.49079143852</v>
      </c>
      <c r="F177" s="37"/>
      <c r="G177" s="200"/>
      <c r="H177" s="164"/>
      <c r="I177" s="474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0</v>
      </c>
      <c r="F178" s="474"/>
      <c r="G178" s="200"/>
      <c r="H178" s="164"/>
      <c r="I178" s="47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4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188</v>
      </c>
      <c r="E181" s="464">
        <f>SUM(E177:E179)</f>
        <v>-54512.49079143852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459</v>
      </c>
      <c r="B183" s="130"/>
      <c r="C183" s="112"/>
      <c r="D183" s="119" t="s">
        <v>186</v>
      </c>
      <c r="E183" s="464">
        <f>E132</f>
        <v>0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7" t="s">
        <v>344</v>
      </c>
      <c r="B185" s="130"/>
      <c r="C185" s="112"/>
      <c r="D185" s="119" t="s">
        <v>188</v>
      </c>
      <c r="E185" s="483">
        <f>E181+E183</f>
        <v>-54512.49079143852</v>
      </c>
      <c r="F185" s="37"/>
      <c r="G185" s="200"/>
      <c r="H185" s="164"/>
    </row>
    <row r="186" spans="1:8" ht="12.75">
      <c r="A186" s="478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237860.42875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76240.02594789845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176444</v>
      </c>
      <c r="F201" s="3"/>
      <c r="G201" s="469"/>
      <c r="H201" s="164"/>
    </row>
    <row r="202" spans="1:8" ht="12.75">
      <c r="A202" s="476" t="s">
        <v>472</v>
      </c>
      <c r="B202" s="127"/>
      <c r="C202" s="112"/>
      <c r="D202" s="120"/>
      <c r="E202" s="470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461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68">
      <selection activeCell="D106" sqref="D10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7">
        <f>Ratebase*REGINFO!D33*0.0025</f>
        <v>8202.08375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322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258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222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320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321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1520938</v>
      </c>
      <c r="D32" s="285"/>
      <c r="E32" s="283">
        <f>C32-D32</f>
        <v>1520938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70678</v>
      </c>
      <c r="D33" s="285"/>
      <c r="E33" s="283">
        <f>C33-D33</f>
        <v>70678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13011+405786</f>
        <v>418797</v>
      </c>
      <c r="D40" s="285"/>
      <c r="E40" s="283">
        <f aca="true" t="shared" si="0" ref="E40:E48">C40-D40</f>
        <v>418797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265457</v>
      </c>
      <c r="D41" s="285"/>
      <c r="E41" s="283">
        <f t="shared" si="0"/>
        <v>265457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f>66823+180201</f>
        <v>247024</v>
      </c>
      <c r="D42" s="285"/>
      <c r="E42" s="283">
        <f t="shared" si="0"/>
        <v>247024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f>330093+6976</f>
        <v>337069</v>
      </c>
      <c r="D43" s="285"/>
      <c r="E43" s="283">
        <f t="shared" si="0"/>
        <v>337069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8755</v>
      </c>
      <c r="D44" s="285"/>
      <c r="E44" s="283">
        <f t="shared" si="0"/>
        <v>8755</v>
      </c>
      <c r="F44" s="11"/>
      <c r="G44" s="11"/>
      <c r="H44" s="6"/>
      <c r="I44" s="6"/>
    </row>
    <row r="45" spans="1:11" ht="12.75">
      <c r="A45" s="484" t="s">
        <v>475</v>
      </c>
      <c r="B45" s="23" t="s">
        <v>187</v>
      </c>
      <c r="C45" s="284"/>
      <c r="D45" s="285"/>
      <c r="E45" s="283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314514</v>
      </c>
      <c r="D50" s="280">
        <f>SUM(D31:D36)-SUM(D39:D49)</f>
        <v>0</v>
      </c>
      <c r="E50" s="280">
        <f>SUM(E31:E35)-SUM(E39:E48)</f>
        <v>314514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176444</v>
      </c>
      <c r="D51" s="284"/>
      <c r="E51" s="281">
        <f>+C51-D51</f>
        <v>176444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23612</v>
      </c>
      <c r="D52" s="284"/>
      <c r="E52" s="282">
        <f>+C52-D52</f>
        <v>23612</v>
      </c>
      <c r="F52" s="8"/>
      <c r="G52" s="396"/>
    </row>
    <row r="53" spans="1:6" ht="12.75">
      <c r="A53" s="2" t="s">
        <v>130</v>
      </c>
      <c r="B53" s="8" t="s">
        <v>188</v>
      </c>
      <c r="C53" s="280">
        <f>C50-C51-C52</f>
        <v>114458</v>
      </c>
      <c r="D53" s="280">
        <f>D50-D51-D52</f>
        <v>0</v>
      </c>
      <c r="E53" s="280">
        <f>E50-E51-E52</f>
        <v>114458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23612</v>
      </c>
      <c r="D59" s="286">
        <f>D52</f>
        <v>0</v>
      </c>
      <c r="E59" s="271">
        <f>+C59-D59</f>
        <v>23612</v>
      </c>
      <c r="F59" s="8"/>
      <c r="G59" s="396"/>
    </row>
    <row r="60" spans="1:6" ht="12.75">
      <c r="A60" s="4" t="s">
        <v>323</v>
      </c>
      <c r="B60" s="8" t="s">
        <v>186</v>
      </c>
      <c r="C60" s="316">
        <v>0</v>
      </c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337069</v>
      </c>
      <c r="D61" s="286">
        <f>D43</f>
        <v>0</v>
      </c>
      <c r="E61" s="271">
        <f>+C61-D61</f>
        <v>337069</v>
      </c>
      <c r="F61" s="8"/>
      <c r="G61" s="396"/>
    </row>
    <row r="62" spans="1:6" ht="12.75">
      <c r="A62" t="s">
        <v>6</v>
      </c>
      <c r="B62" s="8" t="s">
        <v>186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428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8" t="s">
        <v>379</v>
      </c>
      <c r="B66" s="8"/>
      <c r="C66" s="427">
        <f>'TAXREC 3 No True-up'!C47</f>
        <v>3189</v>
      </c>
      <c r="D66" s="427">
        <f>'TAXREC 3 No True-up'!D47</f>
        <v>0</v>
      </c>
      <c r="E66" s="271">
        <f>+C66-D66</f>
        <v>3189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363870</v>
      </c>
      <c r="D70" s="271">
        <f>SUM(D59:D68)</f>
        <v>0</v>
      </c>
      <c r="E70" s="271">
        <f>SUM(E59:E68)</f>
        <v>363870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3">
        <v>0</v>
      </c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363870</v>
      </c>
      <c r="D82" s="250">
        <f>D70+D80</f>
        <v>0</v>
      </c>
      <c r="E82" s="250">
        <f>E70+E80</f>
        <v>363870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416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224619</v>
      </c>
      <c r="D97" s="293"/>
      <c r="E97" s="271">
        <f>+C97-D97</f>
        <v>224619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39275</v>
      </c>
      <c r="D98" s="293"/>
      <c r="E98" s="271">
        <f>+C98-D98</f>
        <v>39275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379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263894</v>
      </c>
      <c r="D113" s="250">
        <f>SUM(D97:D111)</f>
        <v>0</v>
      </c>
      <c r="E113" s="250">
        <f>SUM(E97:E111)</f>
        <v>263894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3"/>
      <c r="B117" s="8" t="s">
        <v>187</v>
      </c>
      <c r="C117" s="293"/>
      <c r="D117" s="293"/>
      <c r="E117" s="271">
        <f>+C117-D117</f>
        <v>0</v>
      </c>
      <c r="F117" s="8"/>
      <c r="G117" s="479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263894</v>
      </c>
      <c r="D122" s="250">
        <f>D113+D120</f>
        <v>0</v>
      </c>
      <c r="E122" s="250">
        <f>+E113+E120</f>
        <v>263894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214434</v>
      </c>
      <c r="D134" s="250">
        <f>D53+D82-D122</f>
        <v>0</v>
      </c>
      <c r="E134" s="250">
        <f>E53+E82-E122</f>
        <v>214434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187</v>
      </c>
      <c r="C136" s="293">
        <v>76555</v>
      </c>
      <c r="D136" s="293"/>
      <c r="E136" s="263">
        <f>C136-D136</f>
        <v>76555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187</v>
      </c>
      <c r="C137" s="309"/>
      <c r="D137" s="309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137879</v>
      </c>
      <c r="D139" s="251">
        <f>D134-D136-D137-D138</f>
        <v>0</v>
      </c>
      <c r="E139" s="251">
        <f>E134-E136-E137-E138</f>
        <v>137879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18089</v>
      </c>
      <c r="D142" s="466"/>
      <c r="E142" s="251">
        <f>C142-D142</f>
        <v>18089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5523</v>
      </c>
      <c r="D143" s="466"/>
      <c r="E143" s="291">
        <f>C143-D143</f>
        <v>5523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23612</v>
      </c>
      <c r="D144" s="251"/>
      <c r="E144" s="251">
        <f>E142+E143</f>
        <v>23612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1">
        <f>C144-C145</f>
        <v>23612</v>
      </c>
      <c r="D146" s="251">
        <f>D144-D145</f>
        <v>0</v>
      </c>
      <c r="E146" s="251">
        <f>E144-E145</f>
        <v>23612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6">
        <f>C142/C134</f>
        <v>0.08435695831817716</v>
      </c>
      <c r="D149" s="5"/>
      <c r="E149" s="387">
        <f>C149</f>
        <v>0.08435695831817716</v>
      </c>
      <c r="F149" s="8"/>
      <c r="G149" s="481" t="s">
        <v>474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6">
        <f>C143/C139</f>
        <v>0.04005686145098238</v>
      </c>
      <c r="D150" s="5"/>
      <c r="E150" s="387">
        <f>C150</f>
        <v>0.04005686145098238</v>
      </c>
      <c r="F150" s="8"/>
      <c r="G150" s="481" t="s">
        <v>474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7">
        <f>SUM(C149:C150)</f>
        <v>0.12441381976915955</v>
      </c>
      <c r="D151" s="5"/>
      <c r="E151" s="387">
        <f>SUM(E149:E150)</f>
        <v>0.12441381976915955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455</v>
      </c>
      <c r="B155" s="8"/>
    </row>
    <row r="156" spans="1:5" ht="12.75">
      <c r="A156" t="s">
        <v>218</v>
      </c>
      <c r="B156" s="86" t="s">
        <v>186</v>
      </c>
      <c r="C156" s="250">
        <f>C146</f>
        <v>23612</v>
      </c>
      <c r="D156" s="250">
        <f>D146</f>
        <v>0</v>
      </c>
      <c r="E156" s="250">
        <f>E146</f>
        <v>23612</v>
      </c>
    </row>
    <row r="157" spans="1:5" ht="12.75">
      <c r="A157" t="s">
        <v>20</v>
      </c>
      <c r="B157" s="86" t="s">
        <v>186</v>
      </c>
      <c r="C157" s="460">
        <v>8794</v>
      </c>
      <c r="D157" s="250"/>
      <c r="E157" s="250">
        <f>C157+D157</f>
        <v>8794</v>
      </c>
    </row>
    <row r="158" spans="1:5" ht="12.75">
      <c r="A158" t="s">
        <v>217</v>
      </c>
      <c r="B158" s="86" t="s">
        <v>186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32406</v>
      </c>
      <c r="D160" s="250">
        <f>D156+D157+D158</f>
        <v>0</v>
      </c>
      <c r="E160" s="250">
        <f>E156+E157+E158</f>
        <v>32406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65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106" sqref="D10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433</v>
      </c>
      <c r="B18" s="61"/>
      <c r="C18" s="293"/>
      <c r="D18" s="293"/>
      <c r="E18" s="250">
        <f t="shared" si="0"/>
        <v>0</v>
      </c>
    </row>
    <row r="19" spans="1:5" ht="12.75">
      <c r="A19" s="61" t="s">
        <v>433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433</v>
      </c>
      <c r="B30" s="61"/>
      <c r="C30" s="293"/>
      <c r="D30" s="293"/>
      <c r="E30" s="250">
        <f t="shared" si="1"/>
        <v>0</v>
      </c>
    </row>
    <row r="31" spans="1:5" ht="12.75">
      <c r="A31" s="61" t="s">
        <v>433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481</v>
      </c>
      <c r="B47" s="61"/>
      <c r="C47" s="293"/>
      <c r="D47" s="293"/>
      <c r="E47" s="250">
        <f t="shared" si="2"/>
        <v>0</v>
      </c>
    </row>
    <row r="48" spans="1:5" ht="12.75">
      <c r="A48" s="61" t="s">
        <v>433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481</v>
      </c>
      <c r="B59" s="61"/>
      <c r="C59" s="293"/>
      <c r="D59" s="293"/>
      <c r="E59" s="250">
        <f t="shared" si="3"/>
        <v>0</v>
      </c>
    </row>
    <row r="60" spans="1:5" ht="12.75">
      <c r="A60" s="61" t="s">
        <v>433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D106" sqref="D106"/>
      <selection pane="topRight" activeCell="D106" sqref="D106"/>
      <selection pane="bottomLeft" activeCell="D106" sqref="D106"/>
      <selection pane="bottomRight" activeCell="D106" sqref="D10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8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1">
        <f t="shared" si="0"/>
        <v>0</v>
      </c>
    </row>
    <row r="20" spans="1:5" ht="12.75">
      <c r="A20" s="67" t="s">
        <v>434</v>
      </c>
      <c r="B20" t="s">
        <v>186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/>
      <c r="B22" t="s">
        <v>186</v>
      </c>
      <c r="C22" s="294"/>
      <c r="D22" s="294"/>
      <c r="E22" s="311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7" t="s">
        <v>454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7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0" t="s">
        <v>480</v>
      </c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0" t="s">
        <v>476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17" activePane="bottomRight" state="frozen"/>
      <selection pane="topLeft" activeCell="D106" sqref="D106"/>
      <selection pane="topRight" activeCell="D106" sqref="D106"/>
      <selection pane="bottomLeft" activeCell="D106" sqref="D106"/>
      <selection pane="bottomRight" activeCell="D106" sqref="D10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5" t="s">
        <v>430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7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373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438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 t="s">
        <v>376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7" t="s">
        <v>377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439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422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375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374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417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418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435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436</v>
      </c>
      <c r="C35" s="294"/>
      <c r="D35" s="294"/>
      <c r="E35" s="311">
        <f t="shared" si="0"/>
        <v>0</v>
      </c>
    </row>
    <row r="36" spans="1:5" ht="12.75">
      <c r="A36" s="67" t="s">
        <v>419</v>
      </c>
      <c r="C36" s="294"/>
      <c r="D36" s="294"/>
      <c r="E36" s="311">
        <f t="shared" si="0"/>
        <v>0</v>
      </c>
    </row>
    <row r="37" spans="1:5" ht="12.75">
      <c r="A37" s="67" t="s">
        <v>420</v>
      </c>
      <c r="C37" s="294"/>
      <c r="D37" s="294"/>
      <c r="E37" s="311">
        <f t="shared" si="0"/>
        <v>0</v>
      </c>
    </row>
    <row r="38" spans="1:5" ht="12.75">
      <c r="A38" s="67" t="s">
        <v>378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1" t="s">
        <v>488</v>
      </c>
      <c r="B40" t="s">
        <v>186</v>
      </c>
      <c r="C40" s="294">
        <v>3189</v>
      </c>
      <c r="D40" s="294"/>
      <c r="E40" s="311">
        <f t="shared" si="0"/>
        <v>3189</v>
      </c>
    </row>
    <row r="41" spans="1:5" ht="12.75">
      <c r="A41" s="480"/>
      <c r="B41" t="s">
        <v>186</v>
      </c>
      <c r="C41" s="294"/>
      <c r="D41" s="294"/>
      <c r="E41" s="311">
        <f t="shared" si="0"/>
        <v>0</v>
      </c>
    </row>
    <row r="42" spans="1:5" ht="12.75">
      <c r="A42" s="480"/>
      <c r="B42" t="s">
        <v>186</v>
      </c>
      <c r="C42" s="294"/>
      <c r="D42" s="294"/>
      <c r="E42" s="311">
        <f t="shared" si="0"/>
        <v>0</v>
      </c>
    </row>
    <row r="43" spans="1:5" ht="12.75">
      <c r="A43" s="480"/>
      <c r="B43" t="s">
        <v>186</v>
      </c>
      <c r="C43" s="294"/>
      <c r="D43" s="294"/>
      <c r="E43" s="311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0" t="s">
        <v>482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0" t="s">
        <v>381</v>
      </c>
      <c r="B47" t="s">
        <v>188</v>
      </c>
      <c r="C47" s="250">
        <f>SUM(C19:C46)</f>
        <v>3189</v>
      </c>
      <c r="D47" s="250">
        <f>SUM(D19:D46)</f>
        <v>0</v>
      </c>
      <c r="E47" s="250">
        <f>SUM(E19:E46)</f>
        <v>3189</v>
      </c>
    </row>
    <row r="48" ht="12.75">
      <c r="A48" s="67"/>
    </row>
    <row r="49" ht="12.75">
      <c r="A49" s="81" t="s">
        <v>144</v>
      </c>
    </row>
    <row r="51" spans="1:5" ht="12.75">
      <c r="A51" s="71" t="s">
        <v>373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438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421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429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441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437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3"/>
      <c r="B59" s="8" t="s">
        <v>187</v>
      </c>
      <c r="C59" s="293"/>
      <c r="D59" s="293"/>
      <c r="E59" s="250">
        <f t="shared" si="1"/>
        <v>0</v>
      </c>
    </row>
    <row r="60" spans="1:5" ht="12.75">
      <c r="A60" s="449"/>
      <c r="B60" s="8" t="s">
        <v>187</v>
      </c>
      <c r="C60" s="293"/>
      <c r="D60" s="293"/>
      <c r="E60" s="250">
        <f t="shared" si="1"/>
        <v>0</v>
      </c>
    </row>
    <row r="61" spans="1:5" ht="12.75">
      <c r="A61" t="s">
        <v>485</v>
      </c>
      <c r="B61" s="8" t="s">
        <v>187</v>
      </c>
      <c r="C61" s="293"/>
      <c r="D61" s="293"/>
      <c r="E61" s="250">
        <f t="shared" si="1"/>
        <v>0</v>
      </c>
    </row>
    <row r="62" spans="1:5" ht="12.75">
      <c r="A62" s="486"/>
      <c r="B62" s="8" t="s">
        <v>187</v>
      </c>
      <c r="C62" s="293"/>
      <c r="D62" s="293"/>
      <c r="E62" s="250">
        <f aca="true" t="shared" si="2" ref="E62:E72">C62-D62</f>
        <v>0</v>
      </c>
    </row>
    <row r="63" spans="1:5" ht="12.75">
      <c r="A63" s="484"/>
      <c r="B63" s="8" t="s">
        <v>187</v>
      </c>
      <c r="C63" s="293"/>
      <c r="D63" s="293"/>
      <c r="E63" s="250">
        <f t="shared" si="2"/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29" t="s">
        <v>380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1">
      <selection activeCell="D106" sqref="D10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1"/>
      <c r="B3" s="340"/>
      <c r="C3" s="340"/>
      <c r="D3" s="340"/>
      <c r="E3" s="340"/>
      <c r="F3" s="342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0"/>
      <c r="C4" s="340"/>
      <c r="D4" s="340"/>
      <c r="E4" s="340"/>
      <c r="F4" s="340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0"/>
      <c r="C5" s="340"/>
      <c r="D5" s="340"/>
      <c r="E5" s="340"/>
      <c r="F5" s="340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39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457</v>
      </c>
      <c r="B8" s="496"/>
      <c r="C8" s="496"/>
      <c r="D8" s="496"/>
      <c r="E8" s="340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450</v>
      </c>
      <c r="B10" s="325"/>
      <c r="C10" s="358" t="s">
        <v>110</v>
      </c>
      <c r="D10" s="358"/>
      <c r="E10" s="358" t="s">
        <v>110</v>
      </c>
      <c r="F10" s="359" t="s">
        <v>458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328</v>
      </c>
      <c r="B21" s="388" t="s">
        <v>452</v>
      </c>
      <c r="C21" s="349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329</v>
      </c>
      <c r="B22" s="389" t="s">
        <v>453</v>
      </c>
      <c r="C22" s="350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469</v>
      </c>
      <c r="B23" s="492"/>
      <c r="C23" s="492"/>
      <c r="D23" s="492"/>
      <c r="E23" s="492"/>
      <c r="F23" s="492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0"/>
      <c r="E25" s="340"/>
      <c r="F25" s="39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5" t="s">
        <v>466</v>
      </c>
      <c r="B26" s="496"/>
      <c r="C26" s="496"/>
      <c r="D26" s="496"/>
      <c r="E26" s="496"/>
      <c r="F26" s="496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51"/>
      <c r="D27" s="351"/>
      <c r="E27" s="351"/>
      <c r="F27" s="352" t="s">
        <v>484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425</v>
      </c>
      <c r="B28" s="325"/>
      <c r="C28" s="353"/>
      <c r="D28" s="353"/>
      <c r="E28" s="353"/>
      <c r="F28" s="354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55"/>
      <c r="D29" s="355"/>
      <c r="E29" s="355"/>
      <c r="F29" s="487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390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390">
        <v>2004</v>
      </c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390">
        <v>2004</v>
      </c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390">
        <v>2004</v>
      </c>
      <c r="C34" s="330"/>
      <c r="D34" s="330"/>
      <c r="E34" s="331"/>
      <c r="F34" s="331">
        <v>0.2076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390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390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390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467</v>
      </c>
      <c r="B39" s="388" t="s">
        <v>452</v>
      </c>
      <c r="C39" s="349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468</v>
      </c>
      <c r="B40" s="389" t="s">
        <v>465</v>
      </c>
      <c r="C40" s="35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331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D106" sqref="D10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2" t="s">
        <v>486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317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382</v>
      </c>
      <c r="B12" s="66" t="s">
        <v>189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424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5.5">
      <c r="A14" s="81" t="s">
        <v>383</v>
      </c>
      <c r="B14" s="66" t="s">
        <v>189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384</v>
      </c>
      <c r="B15" s="66" t="s">
        <v>189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385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386</v>
      </c>
      <c r="B17" s="66" t="s">
        <v>189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5.5">
      <c r="A18" s="81" t="s">
        <v>387</v>
      </c>
      <c r="B18" s="66" t="s">
        <v>189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388</v>
      </c>
      <c r="B19" s="66" t="s">
        <v>189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187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389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390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391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392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498" t="s">
        <v>393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01"/>
      <c r="Q33" s="401"/>
      <c r="R33" s="401"/>
      <c r="S33" s="401"/>
    </row>
    <row r="34" spans="1:19" ht="12.75">
      <c r="A34" s="497" t="s">
        <v>394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401"/>
      <c r="Q34" s="401"/>
      <c r="R34" s="401"/>
      <c r="S34" s="401"/>
    </row>
    <row r="35" spans="1:19" ht="12.75">
      <c r="A35" s="497" t="s">
        <v>415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401"/>
      <c r="Q35" s="401"/>
      <c r="R35" s="401"/>
      <c r="S35" s="401"/>
    </row>
    <row r="36" spans="1:19" ht="12.75">
      <c r="A36" s="497" t="s">
        <v>395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399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400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402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401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405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406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407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408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411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412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413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414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497" t="s">
        <v>443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2011-07-07T18:02:45Z</cp:lastPrinted>
  <dcterms:created xsi:type="dcterms:W3CDTF">2001-11-07T16:15:53Z</dcterms:created>
  <dcterms:modified xsi:type="dcterms:W3CDTF">2012-01-18T17:58:36Z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