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2375" windowHeight="11970" activeTab="0"/>
  </bookViews>
  <sheets>
    <sheet name="PILs Continuity Schedule" sheetId="1" r:id="rId1"/>
    <sheet name="Revenue by yr by mth" sheetId="2" r:id="rId2"/>
    <sheet name="Proxy- Trueup &amp; Interest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'Proxy- Trueup &amp; Interest'!$A$1:$F$52</definedName>
  </definedNames>
  <calcPr fullCalcOnLoad="1"/>
</workbook>
</file>

<file path=xl/sharedStrings.xml><?xml version="1.0" encoding="utf-8"?>
<sst xmlns="http://schemas.openxmlformats.org/spreadsheetml/2006/main" count="807" uniqueCount="117">
  <si>
    <t>PILs Worksheet</t>
  </si>
  <si>
    <t>Approved Amounts</t>
  </si>
  <si>
    <t>Per 2002 RAM</t>
  </si>
  <si>
    <t>Per 2004 RAM</t>
  </si>
  <si>
    <t>Per 2005 RAM</t>
  </si>
  <si>
    <t>Methodology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</si>
  <si>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</si>
  <si>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</si>
  <si>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</si>
  <si>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</si>
  <si>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</si>
  <si>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</si>
  <si>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</si>
  <si>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</si>
  <si>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</si>
  <si>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</si>
  <si>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</si>
  <si>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</si>
  <si>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Allocated Q4 as noted below divided by 3 months.  For 2002 approved amount only divided by 12 beginning in Jan to Dec</t>
  </si>
  <si>
    <t>For 2003 approved amount for 2002 monthly divided by 12 beginning Jan to Dec.</t>
  </si>
  <si>
    <t>For 2004 approved amount divided by 12 from Jan 2004 to Mar 31, 2005</t>
  </si>
  <si>
    <t>For 2005 approved amount divided by 13 from Apr 2005 to Apr 30, 2006</t>
  </si>
  <si>
    <t>Dates Covered by OEB Rate Approvals</t>
  </si>
  <si>
    <t>Cumulative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</si>
  <si>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</si>
  <si>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</si>
  <si>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</si>
  <si>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</si>
  <si>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</si>
  <si>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</si>
  <si>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</si>
  <si>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</si>
  <si>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</si>
  <si>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</si>
  <si>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</si>
  <si>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Year:</t>
  </si>
  <si>
    <t>Q4 2001</t>
  </si>
  <si>
    <t xml:space="preserve">SIMPILS True Up </t>
  </si>
  <si>
    <t>Adjustments (neg=CR)</t>
  </si>
  <si>
    <t>Variance (neg = payable)</t>
  </si>
  <si>
    <t>Monthly</t>
  </si>
  <si>
    <t>Interest Improvement (neg = payable)</t>
  </si>
  <si>
    <t>Approved Interest Rate</t>
  </si>
  <si>
    <t>Total Variance</t>
  </si>
  <si>
    <t>Total</t>
  </si>
  <si>
    <t>PILs Revenue (neg = CR)</t>
  </si>
  <si>
    <t>1562 Deferred PILs Continuity Schedule</t>
  </si>
  <si>
    <t>Innisfil Hydro Distribution Systems Ltd</t>
  </si>
  <si>
    <t>KWH wo losses</t>
  </si>
  <si>
    <t>R</t>
  </si>
  <si>
    <t>G</t>
  </si>
  <si>
    <t>E</t>
  </si>
  <si>
    <t>SL</t>
  </si>
  <si>
    <t>S</t>
  </si>
  <si>
    <t>Resident</t>
  </si>
  <si>
    <t>GS&lt;50</t>
  </si>
  <si>
    <t>GS&gt;50</t>
  </si>
  <si>
    <t>Sent Lights</t>
  </si>
  <si>
    <t>Str Lights</t>
  </si>
  <si>
    <t>Ytd</t>
  </si>
  <si>
    <t>Average</t>
  </si>
  <si>
    <t>KW wo losses</t>
  </si>
  <si>
    <t># of cust</t>
  </si>
  <si>
    <t>Fixed</t>
  </si>
  <si>
    <t>Variable</t>
  </si>
  <si>
    <t>Pils Total Revenue</t>
  </si>
  <si>
    <t>Pils Fixed Revenue</t>
  </si>
  <si>
    <t>Pils Variable Revenue</t>
  </si>
  <si>
    <t>Rates</t>
  </si>
  <si>
    <t>Variable 1-5/06</t>
  </si>
  <si>
    <t>IHDSL</t>
  </si>
  <si>
    <t>Pils Proxy</t>
  </si>
  <si>
    <t>Trueup</t>
  </si>
  <si>
    <t>Year</t>
  </si>
  <si>
    <t>Per 2002 Simpl</t>
  </si>
  <si>
    <t>Per 2001 Simpl</t>
  </si>
  <si>
    <t>Per 2003 Simpl</t>
  </si>
  <si>
    <t>Per 2004 Simpl</t>
  </si>
  <si>
    <t>Per 2005 Simpl</t>
  </si>
  <si>
    <t>April 1, 2005 - April 30, 2006</t>
  </si>
  <si>
    <t>Date Posted</t>
  </si>
  <si>
    <t>Amounts</t>
  </si>
  <si>
    <t>1/01-3/06</t>
  </si>
  <si>
    <t>4-6/06</t>
  </si>
  <si>
    <t>7-9/06</t>
  </si>
  <si>
    <t>10-12/06</t>
  </si>
  <si>
    <t>1-9/07</t>
  </si>
  <si>
    <t>10/07-3/08</t>
  </si>
  <si>
    <t>4-6/08</t>
  </si>
  <si>
    <t>7-12/08</t>
  </si>
  <si>
    <t>1-3/09</t>
  </si>
  <si>
    <t>4-6/09</t>
  </si>
  <si>
    <t>7-9/09</t>
  </si>
  <si>
    <t>10-12/09</t>
  </si>
  <si>
    <t>1-3/10</t>
  </si>
  <si>
    <t>4-6/10</t>
  </si>
  <si>
    <t>7-9/10</t>
  </si>
  <si>
    <t>10-12/10</t>
  </si>
  <si>
    <t xml:space="preserve">1-3/11 </t>
  </si>
  <si>
    <t xml:space="preserve">4-6/11 </t>
  </si>
  <si>
    <t>7-9/11</t>
  </si>
  <si>
    <t>10-12/11</t>
  </si>
  <si>
    <t>Estimated</t>
  </si>
  <si>
    <t>Interest Rates</t>
  </si>
  <si>
    <t>%</t>
  </si>
  <si>
    <t>Period</t>
  </si>
  <si>
    <t>1/12 and onward</t>
  </si>
  <si>
    <t>Grand Totals</t>
  </si>
  <si>
    <t>Variable 1-3/05</t>
  </si>
  <si>
    <t>Variable 4-12/05</t>
  </si>
  <si>
    <t>Variable 1-3/04</t>
  </si>
  <si>
    <t>Variable 4-12/04</t>
  </si>
  <si>
    <t>Oct 1, 2001 - Dec 31, 2001</t>
  </si>
  <si>
    <t>Jan 1, 2002 - Dec 31, 2002</t>
  </si>
  <si>
    <t>April 1, 2004 - March 31, 2005</t>
  </si>
  <si>
    <t>Jan 1, 2003 - March 31, 2004</t>
  </si>
  <si>
    <t>Approved PILs Proxy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</si>
</sst>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0.000"/>
    <numFmt numFmtId="178" formatCode="0.0%"/>
    <numFmt numFmtId="179" formatCode="0.0000000"/>
    <numFmt numFmtId="180" formatCode="0.00000000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??_);_(@_)"/>
    <numFmt numFmtId="184" formatCode="[$-409]dddd\,\ mmmm\ dd\,\ yyyy"/>
    <numFmt numFmtId="185" formatCode="[$-409]d\-mmm;@"/>
    <numFmt numFmtId="186" formatCode="[$-409]mmm\-yy;@"/>
    <numFmt numFmtId="187" formatCode="_-* #,##0_-;\-* #,##0_-;_-* &quot;-&quot;??_-;_-@_-"/>
    <numFmt numFmtId="188" formatCode="0.0000"/>
    <numFmt numFmtId="189" formatCode="0.00000"/>
    <numFmt numFmtId="190" formatCode="_-* #,##0.0000_-;\-* #,##0.0000_-;_-* &quot;-&quot;????_-;_-@_-"/>
    <numFmt numFmtId="191" formatCode="_-* #,##0.0_-;\-* #,##0.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5" fontId="1" fillId="0" borderId="0" xfId="45" applyNumberFormat="1" applyFont="1" applyAlignment="1">
      <alignment/>
    </xf>
    <xf numFmtId="0" fontId="0" fillId="33" borderId="0" xfId="0" applyFill="1" applyAlignment="1">
      <alignment/>
    </xf>
    <xf numFmtId="175" fontId="0" fillId="0" borderId="0" xfId="45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71" fontId="0" fillId="0" borderId="0" xfId="42" applyFont="1" applyAlignment="1">
      <alignment/>
    </xf>
    <xf numFmtId="171" fontId="0" fillId="0" borderId="10" xfId="42" applyFont="1" applyBorder="1" applyAlignment="1">
      <alignment/>
    </xf>
    <xf numFmtId="171" fontId="0" fillId="0" borderId="0" xfId="42" applyFont="1" applyBorder="1" applyAlignment="1">
      <alignment/>
    </xf>
    <xf numFmtId="10" fontId="0" fillId="0" borderId="0" xfId="0" applyNumberFormat="1" applyFill="1" applyAlignment="1">
      <alignment/>
    </xf>
    <xf numFmtId="171" fontId="6" fillId="0" borderId="0" xfId="42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58" applyFont="1">
      <alignment/>
      <protection/>
    </xf>
    <xf numFmtId="37" fontId="0" fillId="0" borderId="0" xfId="58" applyNumberFormat="1">
      <alignment/>
      <protection/>
    </xf>
    <xf numFmtId="0" fontId="0" fillId="0" borderId="0" xfId="58">
      <alignment/>
      <protection/>
    </xf>
    <xf numFmtId="37" fontId="1" fillId="0" borderId="0" xfId="58" applyNumberFormat="1" applyFont="1">
      <alignment/>
      <protection/>
    </xf>
    <xf numFmtId="0" fontId="0" fillId="0" borderId="0" xfId="58" applyNumberFormat="1">
      <alignment/>
      <protection/>
    </xf>
    <xf numFmtId="37" fontId="0" fillId="0" borderId="0" xfId="44" applyNumberFormat="1" applyFont="1" applyAlignment="1">
      <alignment/>
    </xf>
    <xf numFmtId="178" fontId="0" fillId="0" borderId="0" xfId="62" applyNumberFormat="1" applyFont="1" applyAlignment="1">
      <alignment/>
    </xf>
    <xf numFmtId="178" fontId="0" fillId="0" borderId="0" xfId="62" applyNumberFormat="1" applyFont="1" applyAlignment="1">
      <alignment/>
    </xf>
    <xf numFmtId="187" fontId="0" fillId="0" borderId="0" xfId="42" applyNumberFormat="1" applyFont="1" applyAlignment="1">
      <alignment/>
    </xf>
    <xf numFmtId="37" fontId="0" fillId="0" borderId="0" xfId="58" applyNumberFormat="1" applyFont="1">
      <alignment/>
      <protection/>
    </xf>
    <xf numFmtId="187" fontId="0" fillId="0" borderId="0" xfId="42" applyNumberFormat="1" applyFont="1" applyAlignment="1">
      <alignment/>
    </xf>
    <xf numFmtId="187" fontId="0" fillId="0" borderId="0" xfId="44" applyNumberFormat="1" applyFont="1" applyAlignment="1">
      <alignment/>
    </xf>
    <xf numFmtId="187" fontId="0" fillId="0" borderId="0" xfId="58" applyNumberFormat="1">
      <alignment/>
      <protection/>
    </xf>
    <xf numFmtId="0" fontId="0" fillId="0" borderId="0" xfId="58" applyFont="1">
      <alignment/>
      <protection/>
    </xf>
    <xf numFmtId="182" fontId="0" fillId="0" borderId="0" xfId="44" applyNumberFormat="1" applyAlignment="1">
      <alignment/>
    </xf>
    <xf numFmtId="187" fontId="0" fillId="0" borderId="0" xfId="44" applyNumberFormat="1" applyFont="1" applyAlignment="1">
      <alignment/>
    </xf>
    <xf numFmtId="182" fontId="0" fillId="0" borderId="0" xfId="44" applyNumberFormat="1" applyFill="1" applyAlignment="1">
      <alignment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82" fontId="0" fillId="0" borderId="0" xfId="42" applyNumberFormat="1" applyFont="1" applyAlignment="1">
      <alignment/>
    </xf>
    <xf numFmtId="182" fontId="0" fillId="0" borderId="0" xfId="0" applyNumberFormat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1" fontId="0" fillId="0" borderId="0" xfId="42" applyFont="1" applyFill="1" applyAlignment="1">
      <alignment horizontal="left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0" xfId="42" applyFont="1" applyFill="1" applyBorder="1" applyAlignment="1">
      <alignment horizontal="left"/>
    </xf>
    <xf numFmtId="171" fontId="0" fillId="0" borderId="0" xfId="42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61" applyNumberFormat="1" applyFont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1" fillId="34" borderId="0" xfId="0" applyFont="1" applyFill="1" applyAlignment="1">
      <alignment/>
    </xf>
    <xf numFmtId="0" fontId="0" fillId="34" borderId="0" xfId="58" applyFill="1">
      <alignment/>
      <protection/>
    </xf>
    <xf numFmtId="187" fontId="0" fillId="34" borderId="0" xfId="44" applyNumberFormat="1" applyFont="1" applyFill="1" applyAlignment="1">
      <alignment/>
    </xf>
    <xf numFmtId="0" fontId="0" fillId="34" borderId="0" xfId="0" applyFont="1" applyFill="1" applyAlignment="1">
      <alignment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1" fontId="0" fillId="34" borderId="11" xfId="42" applyFont="1" applyFill="1" applyBorder="1" applyAlignment="1">
      <alignment/>
    </xf>
    <xf numFmtId="171" fontId="0" fillId="34" borderId="0" xfId="42" applyFont="1" applyFill="1" applyBorder="1" applyAlignment="1">
      <alignment/>
    </xf>
    <xf numFmtId="171" fontId="0" fillId="34" borderId="0" xfId="42" applyFont="1" applyFill="1" applyAlignment="1">
      <alignment/>
    </xf>
    <xf numFmtId="171" fontId="1" fillId="34" borderId="12" xfId="0" applyNumberFormat="1" applyFont="1" applyFill="1" applyBorder="1" applyAlignment="1">
      <alignment/>
    </xf>
    <xf numFmtId="182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3\d\Dept\Applications%20Department\Conservation%20and%20Reporting\2012%20EDR%20PILS%201562%20Disposition\Innisfil\IHDSL%20PILs%20Rate%20Slivers%20(Revenues)%20compared%20to%20G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nisfil_App13_2002%20SIMPILS%20true%20up%20model_201111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nisfil_App14_2003%20SIMPILS%20true%20up%20model_201111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nisfil_App15_2004%20SIMPILS%20true%20up%20model_201111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nisfil_App16_2005%20SIMPILS%20true%20up%20model_20111116%20revised%20CDM%20no%20true%20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S 2002-2003"/>
      <sheetName val="PILS 2004"/>
      <sheetName val="PILS 2005"/>
      <sheetName val="PILS 2006"/>
      <sheetName val="Volumes"/>
    </sheetNames>
    <sheetDataSet>
      <sheetData sheetId="0">
        <row r="5">
          <cell r="D5">
            <v>4.45</v>
          </cell>
        </row>
        <row r="6">
          <cell r="D6">
            <v>9.15</v>
          </cell>
        </row>
        <row r="7">
          <cell r="D7">
            <v>90.74000000000001</v>
          </cell>
        </row>
        <row r="8">
          <cell r="D8">
            <v>0.26</v>
          </cell>
        </row>
        <row r="9">
          <cell r="D9">
            <v>0.19</v>
          </cell>
        </row>
        <row r="12">
          <cell r="D12">
            <v>0.002</v>
          </cell>
        </row>
        <row r="13">
          <cell r="D13">
            <v>0.0013</v>
          </cell>
        </row>
        <row r="14">
          <cell r="D14">
            <v>0.362</v>
          </cell>
        </row>
        <row r="15">
          <cell r="D15">
            <v>0.5681</v>
          </cell>
        </row>
        <row r="16">
          <cell r="D16">
            <v>0.5773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-161694.24071680004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-175182.47100723066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-138745.21903737035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-121906.07822769236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workbookViewId="0" topLeftCell="A171">
      <selection activeCell="D54" sqref="D54"/>
    </sheetView>
  </sheetViews>
  <sheetFormatPr defaultColWidth="9.140625" defaultRowHeight="12.75"/>
  <cols>
    <col min="1" max="1" width="12.57421875" style="0" bestFit="1" customWidth="1"/>
    <col min="2" max="2" width="14.28125" style="0" bestFit="1" customWidth="1"/>
    <col min="3" max="3" width="13.57421875" style="0" bestFit="1" customWidth="1"/>
    <col min="4" max="4" width="16.57421875" style="0" bestFit="1" customWidth="1"/>
    <col min="5" max="6" width="11.8515625" style="0" bestFit="1" customWidth="1"/>
    <col min="7" max="7" width="12.421875" style="0" bestFit="1" customWidth="1"/>
    <col min="8" max="8" width="10.8515625" style="0" bestFit="1" customWidth="1"/>
    <col min="9" max="9" width="11.28125" style="0" bestFit="1" customWidth="1"/>
    <col min="10" max="10" width="11.8515625" style="0" bestFit="1" customWidth="1"/>
  </cols>
  <sheetData>
    <row r="1" spans="1:10" ht="15.7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</row>
    <row r="3" spans="7:10" ht="12.75">
      <c r="G3" s="8"/>
      <c r="H3" s="8"/>
      <c r="I3" s="21"/>
      <c r="J3" s="8"/>
    </row>
    <row r="4" spans="3:10" ht="12.75"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35</v>
      </c>
      <c r="B5" s="1" t="s">
        <v>36</v>
      </c>
      <c r="C5" s="1"/>
      <c r="D5" s="6" t="s">
        <v>37</v>
      </c>
      <c r="E5" s="70" t="s">
        <v>39</v>
      </c>
      <c r="F5" s="70"/>
      <c r="G5" s="70" t="s">
        <v>41</v>
      </c>
      <c r="H5" s="70"/>
      <c r="I5" s="70"/>
      <c r="J5" s="1"/>
    </row>
    <row r="6" spans="1:10" s="10" customFormat="1" ht="25.5">
      <c r="A6" s="23"/>
      <c r="B6" s="6" t="s">
        <v>116</v>
      </c>
      <c r="C6" s="6" t="s">
        <v>45</v>
      </c>
      <c r="D6" s="6" t="s">
        <v>38</v>
      </c>
      <c r="E6" s="24" t="s">
        <v>40</v>
      </c>
      <c r="F6" s="24" t="s">
        <v>23</v>
      </c>
      <c r="G6" s="24" t="s">
        <v>42</v>
      </c>
      <c r="H6" s="24" t="s">
        <v>40</v>
      </c>
      <c r="I6" s="24" t="s">
        <v>23</v>
      </c>
      <c r="J6" s="24" t="s">
        <v>43</v>
      </c>
    </row>
    <row r="7" spans="1:10" ht="12.75">
      <c r="A7" s="11" t="s">
        <v>6</v>
      </c>
      <c r="B7" s="18">
        <f>'Proxy- Trueup &amp; Interest'!$D$4</f>
        <v>94285.66666666667</v>
      </c>
      <c r="C7" s="18">
        <v>0</v>
      </c>
      <c r="D7" s="18"/>
      <c r="E7" s="18">
        <f>SUM(B7:D7)</f>
        <v>94285.66666666667</v>
      </c>
      <c r="F7" s="18">
        <f>E7</f>
        <v>94285.66666666667</v>
      </c>
      <c r="G7" s="16">
        <f>'Proxy- Trueup &amp; Interest'!$B$29</f>
        <v>0.0725</v>
      </c>
      <c r="H7" s="18">
        <v>0</v>
      </c>
      <c r="I7" s="18">
        <f>H7</f>
        <v>0</v>
      </c>
      <c r="J7" s="18">
        <f>F7+I7</f>
        <v>94285.66666666667</v>
      </c>
    </row>
    <row r="8" spans="1:10" ht="12.75">
      <c r="A8" s="11" t="s">
        <v>7</v>
      </c>
      <c r="B8" s="18">
        <f>'Proxy- Trueup &amp; Interest'!$D$4</f>
        <v>94285.66666666667</v>
      </c>
      <c r="C8" s="18">
        <v>0</v>
      </c>
      <c r="D8" s="18"/>
      <c r="E8" s="18">
        <f>SUM(B8:D8)</f>
        <v>94285.66666666667</v>
      </c>
      <c r="F8" s="18">
        <f>F7+E8</f>
        <v>188571.33333333334</v>
      </c>
      <c r="G8" s="16">
        <f>'Proxy- Trueup &amp; Interest'!$B$29</f>
        <v>0.0725</v>
      </c>
      <c r="H8" s="18">
        <f>F7*G8*30/365</f>
        <v>561.8392465753425</v>
      </c>
      <c r="I8" s="18">
        <f>I7+H8</f>
        <v>561.8392465753425</v>
      </c>
      <c r="J8" s="18">
        <f>F8+I8</f>
        <v>189133.17257990869</v>
      </c>
    </row>
    <row r="9" spans="1:10" ht="12.75">
      <c r="A9" s="11" t="s">
        <v>8</v>
      </c>
      <c r="B9" s="18">
        <f>'Proxy- Trueup &amp; Interest'!$D$4</f>
        <v>94285.66666666667</v>
      </c>
      <c r="C9" s="19">
        <v>0</v>
      </c>
      <c r="D9" s="19"/>
      <c r="E9" s="19">
        <f>SUM(B9:D9)</f>
        <v>94285.66666666667</v>
      </c>
      <c r="F9" s="19">
        <f>F8+E9</f>
        <v>282857</v>
      </c>
      <c r="G9" s="17">
        <f>'Proxy- Trueup &amp; Interest'!$B$29</f>
        <v>0.0725</v>
      </c>
      <c r="H9" s="19">
        <f>F8*G9*31/365</f>
        <v>1161.1344429223743</v>
      </c>
      <c r="I9" s="19">
        <f>I8+H9</f>
        <v>1722.9736894977168</v>
      </c>
      <c r="J9" s="19">
        <f>F9+I9</f>
        <v>284579.97368949774</v>
      </c>
    </row>
    <row r="10" spans="1:10" ht="12.75">
      <c r="A10" s="11" t="s">
        <v>44</v>
      </c>
      <c r="B10" s="52">
        <f>SUM(B7:B9)</f>
        <v>282857</v>
      </c>
      <c r="C10" s="18">
        <f aca="true" t="shared" si="0" ref="C10:H10">SUM(C7:C9)</f>
        <v>0</v>
      </c>
      <c r="D10" s="18">
        <f t="shared" si="0"/>
        <v>0</v>
      </c>
      <c r="E10" s="18">
        <f t="shared" si="0"/>
        <v>282857</v>
      </c>
      <c r="F10" s="18"/>
      <c r="G10" s="14"/>
      <c r="H10" s="18">
        <f t="shared" si="0"/>
        <v>1722.9736894977168</v>
      </c>
      <c r="I10" s="18"/>
      <c r="J10" s="18"/>
    </row>
    <row r="11" spans="1:10" ht="12.75">
      <c r="A11" s="11"/>
      <c r="B11" s="20"/>
      <c r="C11" s="18"/>
      <c r="D11" s="18"/>
      <c r="E11" s="18"/>
      <c r="F11" s="18"/>
      <c r="G11" s="14"/>
      <c r="H11" s="18"/>
      <c r="I11" s="18"/>
      <c r="J11" s="18"/>
    </row>
    <row r="12" spans="1:10" ht="12.75">
      <c r="A12" s="11"/>
      <c r="B12" s="18"/>
      <c r="C12" s="18"/>
      <c r="D12" s="18"/>
      <c r="E12" s="18"/>
      <c r="F12" s="18"/>
      <c r="G12" s="14"/>
      <c r="H12" s="18"/>
      <c r="I12" s="18"/>
      <c r="J12" s="18"/>
    </row>
    <row r="13" spans="1:10" ht="12.75">
      <c r="A13" s="1" t="s">
        <v>35</v>
      </c>
      <c r="B13" s="1">
        <v>2002</v>
      </c>
      <c r="C13" s="1"/>
      <c r="D13" s="6" t="s">
        <v>37</v>
      </c>
      <c r="E13" s="70" t="s">
        <v>39</v>
      </c>
      <c r="F13" s="70"/>
      <c r="G13" s="70" t="s">
        <v>41</v>
      </c>
      <c r="H13" s="70"/>
      <c r="I13" s="70"/>
      <c r="J13" s="1"/>
    </row>
    <row r="14" spans="1:10" s="10" customFormat="1" ht="25.5">
      <c r="A14" s="23"/>
      <c r="B14" s="6" t="s">
        <v>116</v>
      </c>
      <c r="C14" s="6" t="s">
        <v>45</v>
      </c>
      <c r="D14" s="6" t="s">
        <v>38</v>
      </c>
      <c r="E14" s="24" t="s">
        <v>40</v>
      </c>
      <c r="F14" s="24" t="s">
        <v>23</v>
      </c>
      <c r="G14" s="24" t="s">
        <v>42</v>
      </c>
      <c r="H14" s="24" t="s">
        <v>40</v>
      </c>
      <c r="I14" s="24" t="s">
        <v>23</v>
      </c>
      <c r="J14" s="24" t="s">
        <v>43</v>
      </c>
    </row>
    <row r="15" spans="1:10" ht="12.75">
      <c r="A15" s="11" t="s">
        <v>9</v>
      </c>
      <c r="B15" s="18">
        <f>'Proxy- Trueup &amp; Interest'!$D$5</f>
        <v>73374.83333333333</v>
      </c>
      <c r="C15" s="18">
        <v>0</v>
      </c>
      <c r="D15" s="18"/>
      <c r="E15" s="18">
        <f>SUM(B15:D15)</f>
        <v>73374.83333333333</v>
      </c>
      <c r="F15" s="18">
        <f>F9+E15</f>
        <v>356231.8333333333</v>
      </c>
      <c r="G15" s="16">
        <f>'Proxy- Trueup &amp; Interest'!$B$29</f>
        <v>0.0725</v>
      </c>
      <c r="H15" s="18">
        <f>F9*G15*31/365</f>
        <v>1741.7016643835618</v>
      </c>
      <c r="I15" s="18">
        <f>I9+H15</f>
        <v>3464.6753538812786</v>
      </c>
      <c r="J15" s="18">
        <f>F15+I15</f>
        <v>359696.5086872146</v>
      </c>
    </row>
    <row r="16" spans="1:10" ht="14.25">
      <c r="A16" s="11" t="s">
        <v>10</v>
      </c>
      <c r="B16" s="18">
        <f>'Proxy- Trueup &amp; Interest'!$D$5</f>
        <v>73374.83333333333</v>
      </c>
      <c r="C16" s="18">
        <v>0</v>
      </c>
      <c r="D16" s="22"/>
      <c r="E16" s="18">
        <f aca="true" t="shared" si="1" ref="E16:E26">SUM(B16:D16)</f>
        <v>73374.83333333333</v>
      </c>
      <c r="F16" s="18">
        <f>F15+E16</f>
        <v>429606.6666666666</v>
      </c>
      <c r="G16" s="16">
        <f>'Proxy- Trueup &amp; Interest'!$B$29</f>
        <v>0.0725</v>
      </c>
      <c r="H16" s="18">
        <f>F15*G16*28/365</f>
        <v>1981.2345799086756</v>
      </c>
      <c r="I16" s="18">
        <f>I15+H16</f>
        <v>5445.909933789954</v>
      </c>
      <c r="J16" s="18">
        <f>F16+I16</f>
        <v>435052.5766004566</v>
      </c>
    </row>
    <row r="17" spans="1:10" ht="12.75">
      <c r="A17" s="11" t="s">
        <v>11</v>
      </c>
      <c r="B17" s="18">
        <f>'Proxy- Trueup &amp; Interest'!$D$5</f>
        <v>73374.83333333333</v>
      </c>
      <c r="C17" s="18">
        <v>0</v>
      </c>
      <c r="D17" s="18"/>
      <c r="E17" s="18">
        <f t="shared" si="1"/>
        <v>73374.83333333333</v>
      </c>
      <c r="F17" s="18">
        <f aca="true" t="shared" si="2" ref="F17:F26">F16+E17</f>
        <v>502981.49999999994</v>
      </c>
      <c r="G17" s="16">
        <f>'Proxy- Trueup &amp; Interest'!$B$29</f>
        <v>0.0725</v>
      </c>
      <c r="H17" s="18">
        <f>F16*G17*31/365</f>
        <v>2645.3177625570775</v>
      </c>
      <c r="I17" s="18">
        <f aca="true" t="shared" si="3" ref="I17:I26">I16+H17</f>
        <v>8091.227696347032</v>
      </c>
      <c r="J17" s="18">
        <f aca="true" t="shared" si="4" ref="J17:J26">F17+I17</f>
        <v>511072.727696347</v>
      </c>
    </row>
    <row r="18" spans="1:10" ht="12.75">
      <c r="A18" s="11" t="s">
        <v>12</v>
      </c>
      <c r="B18" s="18">
        <f>'Proxy- Trueup &amp; Interest'!$D$5</f>
        <v>73374.83333333333</v>
      </c>
      <c r="C18" s="18">
        <f>-'Revenue by yr by mth'!N186</f>
        <v>-97279.41206116667</v>
      </c>
      <c r="D18" s="18"/>
      <c r="E18" s="18">
        <f t="shared" si="1"/>
        <v>-23904.578727833345</v>
      </c>
      <c r="F18" s="18">
        <f t="shared" si="2"/>
        <v>479076.9212721666</v>
      </c>
      <c r="G18" s="16">
        <f>'Proxy- Trueup &amp; Interest'!$B$29</f>
        <v>0.0725</v>
      </c>
      <c r="H18" s="18">
        <f>F17*G18*30/365</f>
        <v>2997.21852739726</v>
      </c>
      <c r="I18" s="18">
        <f t="shared" si="3"/>
        <v>11088.446223744293</v>
      </c>
      <c r="J18" s="18">
        <f t="shared" si="4"/>
        <v>490165.3674959109</v>
      </c>
    </row>
    <row r="19" spans="1:10" ht="12.75">
      <c r="A19" s="11" t="s">
        <v>13</v>
      </c>
      <c r="B19" s="18">
        <f>'Proxy- Trueup &amp; Interest'!$D$5</f>
        <v>73374.83333333333</v>
      </c>
      <c r="C19" s="18">
        <f>-'Revenue by yr by mth'!N187</f>
        <v>-93362.98282777779</v>
      </c>
      <c r="D19" s="18"/>
      <c r="E19" s="18">
        <f t="shared" si="1"/>
        <v>-19988.149494444457</v>
      </c>
      <c r="F19" s="18">
        <f t="shared" si="2"/>
        <v>459088.77177772217</v>
      </c>
      <c r="G19" s="16">
        <f>'Proxy- Trueup &amp; Interest'!$B$29</f>
        <v>0.0725</v>
      </c>
      <c r="H19" s="18">
        <f>F18*G19*31/365</f>
        <v>2949.9325494772447</v>
      </c>
      <c r="I19" s="18">
        <f t="shared" si="3"/>
        <v>14038.378773221539</v>
      </c>
      <c r="J19" s="18">
        <f t="shared" si="4"/>
        <v>473127.1505509437</v>
      </c>
    </row>
    <row r="20" spans="1:10" ht="12.75">
      <c r="A20" s="11" t="s">
        <v>14</v>
      </c>
      <c r="B20" s="18">
        <f>'Proxy- Trueup &amp; Interest'!$D$5</f>
        <v>73374.83333333333</v>
      </c>
      <c r="C20" s="18">
        <f>-'Revenue by yr by mth'!N188</f>
        <v>-93930.4653</v>
      </c>
      <c r="D20" s="18"/>
      <c r="E20" s="18">
        <f t="shared" si="1"/>
        <v>-20555.631966666668</v>
      </c>
      <c r="F20" s="18">
        <f t="shared" si="2"/>
        <v>438533.1398110555</v>
      </c>
      <c r="G20" s="16">
        <f>'Proxy- Trueup &amp; Interest'!$B$29</f>
        <v>0.0725</v>
      </c>
      <c r="H20" s="18">
        <f>F19*G20*30/365</f>
        <v>2735.665968812454</v>
      </c>
      <c r="I20" s="18">
        <f t="shared" si="3"/>
        <v>16774.04474203399</v>
      </c>
      <c r="J20" s="18">
        <f t="shared" si="4"/>
        <v>455307.1845530895</v>
      </c>
    </row>
    <row r="21" spans="1:10" ht="12.75">
      <c r="A21" s="11" t="s">
        <v>15</v>
      </c>
      <c r="B21" s="18">
        <f>'Proxy- Trueup &amp; Interest'!$D$5</f>
        <v>73374.83333333333</v>
      </c>
      <c r="C21" s="18">
        <f>-'Revenue by yr by mth'!N189</f>
        <v>-94108.10170000001</v>
      </c>
      <c r="D21" s="18"/>
      <c r="E21" s="18">
        <f t="shared" si="1"/>
        <v>-20733.268366666685</v>
      </c>
      <c r="F21" s="18">
        <f t="shared" si="2"/>
        <v>417799.8714443888</v>
      </c>
      <c r="G21" s="16">
        <f>'Proxy- Trueup &amp; Interest'!$B$29</f>
        <v>0.0725</v>
      </c>
      <c r="H21" s="18">
        <f>F20*G21*31/365</f>
        <v>2700.282826644787</v>
      </c>
      <c r="I21" s="18">
        <f t="shared" si="3"/>
        <v>19474.32756867878</v>
      </c>
      <c r="J21" s="18">
        <f t="shared" si="4"/>
        <v>437274.1990130676</v>
      </c>
    </row>
    <row r="22" spans="1:10" ht="12.75">
      <c r="A22" s="11" t="s">
        <v>16</v>
      </c>
      <c r="B22" s="18">
        <f>'Proxy- Trueup &amp; Interest'!$D$5</f>
        <v>73374.83333333333</v>
      </c>
      <c r="C22" s="18">
        <f>-'Revenue by yr by mth'!N190</f>
        <v>-96733.87180000001</v>
      </c>
      <c r="D22" s="18"/>
      <c r="E22" s="18">
        <f t="shared" si="1"/>
        <v>-23359.03846666668</v>
      </c>
      <c r="F22" s="18">
        <f t="shared" si="2"/>
        <v>394440.83297772217</v>
      </c>
      <c r="G22" s="16">
        <f>'Proxy- Trueup &amp; Interest'!$B$29</f>
        <v>0.0725</v>
      </c>
      <c r="H22" s="18">
        <f>F21*G22*31/365</f>
        <v>2572.617016633599</v>
      </c>
      <c r="I22" s="18">
        <f t="shared" si="3"/>
        <v>22046.944585312376</v>
      </c>
      <c r="J22" s="18">
        <f t="shared" si="4"/>
        <v>416487.77756303456</v>
      </c>
    </row>
    <row r="23" spans="1:10" ht="12.75">
      <c r="A23" s="11" t="s">
        <v>17</v>
      </c>
      <c r="B23" s="18">
        <f>'Proxy- Trueup &amp; Interest'!$D$5</f>
        <v>73374.83333333333</v>
      </c>
      <c r="C23" s="18">
        <f>-'Revenue by yr by mth'!N191</f>
        <v>-97972.25739888888</v>
      </c>
      <c r="D23" s="18"/>
      <c r="E23" s="18">
        <f t="shared" si="1"/>
        <v>-24597.424065555548</v>
      </c>
      <c r="F23" s="18">
        <f t="shared" si="2"/>
        <v>369843.4089121666</v>
      </c>
      <c r="G23" s="16">
        <f>'Proxy- Trueup &amp; Interest'!$B$29</f>
        <v>0.0725</v>
      </c>
      <c r="H23" s="18">
        <f>F22*G23*30/365</f>
        <v>2350.435100620673</v>
      </c>
      <c r="I23" s="18">
        <f t="shared" si="3"/>
        <v>24397.37968593305</v>
      </c>
      <c r="J23" s="18">
        <f t="shared" si="4"/>
        <v>394240.78859809967</v>
      </c>
    </row>
    <row r="24" spans="1:10" ht="12.75">
      <c r="A24" s="11" t="s">
        <v>6</v>
      </c>
      <c r="B24" s="18">
        <f>'Proxy- Trueup &amp; Interest'!$D$5</f>
        <v>73374.83333333333</v>
      </c>
      <c r="C24" s="18">
        <f>-'Revenue by yr by mth'!N192</f>
        <v>-93275.0381</v>
      </c>
      <c r="D24" s="18"/>
      <c r="E24" s="18">
        <f t="shared" si="1"/>
        <v>-19900.204766666677</v>
      </c>
      <c r="F24" s="18">
        <f t="shared" si="2"/>
        <v>349943.2041454999</v>
      </c>
      <c r="G24" s="16">
        <f>'Proxy- Trueup &amp; Interest'!$B$29</f>
        <v>0.0725</v>
      </c>
      <c r="H24" s="18">
        <f>F23*G24*31/365</f>
        <v>2277.3234562468338</v>
      </c>
      <c r="I24" s="18">
        <f t="shared" si="3"/>
        <v>26674.703142179886</v>
      </c>
      <c r="J24" s="18">
        <f t="shared" si="4"/>
        <v>376617.9072876798</v>
      </c>
    </row>
    <row r="25" spans="1:10" ht="12.75">
      <c r="A25" s="11" t="s">
        <v>7</v>
      </c>
      <c r="B25" s="18">
        <f>'Proxy- Trueup &amp; Interest'!$D$5</f>
        <v>73374.83333333333</v>
      </c>
      <c r="C25" s="18">
        <f>-'Revenue by yr by mth'!N193</f>
        <v>-95848.03270000001</v>
      </c>
      <c r="D25" s="20"/>
      <c r="E25" s="18">
        <f t="shared" si="1"/>
        <v>-22473.199366666682</v>
      </c>
      <c r="F25" s="18">
        <f t="shared" si="2"/>
        <v>327470.00477883324</v>
      </c>
      <c r="G25" s="16">
        <f>'Proxy- Trueup &amp; Interest'!$B$29</f>
        <v>0.0725</v>
      </c>
      <c r="H25" s="18">
        <f>F24*G25*30/365</f>
        <v>2085.277997305376</v>
      </c>
      <c r="I25" s="18">
        <f t="shared" si="3"/>
        <v>28759.981139485262</v>
      </c>
      <c r="J25" s="18">
        <f t="shared" si="4"/>
        <v>356229.9859183185</v>
      </c>
    </row>
    <row r="26" spans="1:10" ht="12.75">
      <c r="A26" s="11" t="s">
        <v>8</v>
      </c>
      <c r="B26" s="18">
        <f>'Proxy- Trueup &amp; Interest'!$D$5</f>
        <v>73374.83333333333</v>
      </c>
      <c r="C26" s="19">
        <f>-'Revenue by yr by mth'!N194</f>
        <v>-99651.25798472222</v>
      </c>
      <c r="D26" s="19"/>
      <c r="E26" s="19">
        <f t="shared" si="1"/>
        <v>-26276.424651388894</v>
      </c>
      <c r="F26" s="19">
        <f t="shared" si="2"/>
        <v>301193.58012744435</v>
      </c>
      <c r="G26" s="17">
        <f>'Proxy- Trueup &amp; Interest'!$B$29</f>
        <v>0.0725</v>
      </c>
      <c r="H26" s="19">
        <f>F25*G26*31/365</f>
        <v>2016.4077691518564</v>
      </c>
      <c r="I26" s="19">
        <f t="shared" si="3"/>
        <v>30776.38890863712</v>
      </c>
      <c r="J26" s="19">
        <f t="shared" si="4"/>
        <v>331969.96903608146</v>
      </c>
    </row>
    <row r="27" spans="1:10" ht="12.75">
      <c r="A27" s="11" t="s">
        <v>44</v>
      </c>
      <c r="B27" s="65">
        <f>SUM(B15:B26)</f>
        <v>880498.0000000001</v>
      </c>
      <c r="C27" s="66">
        <f aca="true" t="shared" si="5" ref="C27:H27">SUM(C15:C26)</f>
        <v>-862161.4198725555</v>
      </c>
      <c r="D27" s="20">
        <f t="shared" si="5"/>
        <v>0</v>
      </c>
      <c r="E27" s="20">
        <f t="shared" si="5"/>
        <v>18336.580127444366</v>
      </c>
      <c r="F27" s="20"/>
      <c r="G27" s="15"/>
      <c r="H27" s="20">
        <f t="shared" si="5"/>
        <v>29053.415219139406</v>
      </c>
      <c r="I27" s="20"/>
      <c r="J27" s="20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1:10" ht="12.75">
      <c r="A30" s="1" t="s">
        <v>35</v>
      </c>
      <c r="B30" s="1">
        <v>2003</v>
      </c>
      <c r="C30" s="1"/>
      <c r="D30" s="6" t="s">
        <v>37</v>
      </c>
      <c r="E30" s="70" t="s">
        <v>39</v>
      </c>
      <c r="F30" s="70"/>
      <c r="G30" s="70" t="s">
        <v>41</v>
      </c>
      <c r="H30" s="70"/>
      <c r="I30" s="70"/>
      <c r="J30" s="1"/>
    </row>
    <row r="31" spans="1:10" s="10" customFormat="1" ht="25.5">
      <c r="A31" s="23"/>
      <c r="B31" s="6" t="s">
        <v>116</v>
      </c>
      <c r="C31" s="6" t="s">
        <v>45</v>
      </c>
      <c r="D31" s="6" t="s">
        <v>38</v>
      </c>
      <c r="E31" s="24" t="s">
        <v>40</v>
      </c>
      <c r="F31" s="24" t="s">
        <v>23</v>
      </c>
      <c r="G31" s="24" t="s">
        <v>42</v>
      </c>
      <c r="H31" s="24" t="s">
        <v>40</v>
      </c>
      <c r="I31" s="24" t="s">
        <v>23</v>
      </c>
      <c r="J31" s="24" t="s">
        <v>43</v>
      </c>
    </row>
    <row r="32" spans="1:10" ht="12.75">
      <c r="A32" s="11" t="s">
        <v>9</v>
      </c>
      <c r="B32" s="18">
        <f>'Proxy- Trueup &amp; Interest'!$D$7</f>
        <v>96946.25</v>
      </c>
      <c r="C32" s="18">
        <f>-'Revenue by yr by mth'!N130</f>
        <v>-107405.8691</v>
      </c>
      <c r="D32" s="18"/>
      <c r="E32" s="18">
        <f>SUM(B32:D32)</f>
        <v>-10459.619099999996</v>
      </c>
      <c r="F32" s="18">
        <f>F26+E32</f>
        <v>290733.96102744434</v>
      </c>
      <c r="G32" s="16">
        <f>'Proxy- Trueup &amp; Interest'!$B$29</f>
        <v>0.0725</v>
      </c>
      <c r="H32" s="18">
        <f>F26*G32*31/365</f>
        <v>1854.6097844833728</v>
      </c>
      <c r="I32" s="18">
        <f>I26+H32</f>
        <v>32630.99869312049</v>
      </c>
      <c r="J32" s="18">
        <f>F32+I32</f>
        <v>323364.95972056483</v>
      </c>
    </row>
    <row r="33" spans="1:10" ht="12.75">
      <c r="A33" s="11" t="s">
        <v>10</v>
      </c>
      <c r="B33" s="18">
        <f>'Proxy- Trueup &amp; Interest'!$D$7</f>
        <v>96946.25</v>
      </c>
      <c r="C33" s="18">
        <f>-'Revenue by yr by mth'!N131</f>
        <v>-112436.13960000001</v>
      </c>
      <c r="D33" s="18"/>
      <c r="E33" s="18">
        <f aca="true" t="shared" si="6" ref="E33:E43">SUM(B33:D33)</f>
        <v>-15489.88960000001</v>
      </c>
      <c r="F33" s="18">
        <f>F32+E33</f>
        <v>275244.07142744435</v>
      </c>
      <c r="G33" s="16">
        <f>'Proxy- Trueup &amp; Interest'!$B$29</f>
        <v>0.0725</v>
      </c>
      <c r="H33" s="18">
        <f>F32*G33*28/365</f>
        <v>1616.9587421526355</v>
      </c>
      <c r="I33" s="18">
        <f>I32+H33</f>
        <v>34247.95743527313</v>
      </c>
      <c r="J33" s="18">
        <f aca="true" t="shared" si="7" ref="J33:J43">F33+I33</f>
        <v>309492.02886271745</v>
      </c>
    </row>
    <row r="34" spans="1:10" ht="12.75">
      <c r="A34" s="11" t="s">
        <v>11</v>
      </c>
      <c r="B34" s="18">
        <f>'Proxy- Trueup &amp; Interest'!$D$7</f>
        <v>96946.25</v>
      </c>
      <c r="C34" s="18">
        <f>-'Revenue by yr by mth'!N132</f>
        <v>-110071.8205</v>
      </c>
      <c r="D34" s="18"/>
      <c r="E34" s="18">
        <f t="shared" si="6"/>
        <v>-13125.570500000002</v>
      </c>
      <c r="F34" s="18">
        <f aca="true" t="shared" si="8" ref="F34:F43">F33+E34</f>
        <v>262118.50092744434</v>
      </c>
      <c r="G34" s="16">
        <f>'Proxy- Trueup &amp; Interest'!$B$29</f>
        <v>0.0725</v>
      </c>
      <c r="H34" s="18">
        <f>F33*G34*31/365</f>
        <v>1694.8247959813182</v>
      </c>
      <c r="I34" s="18">
        <f aca="true" t="shared" si="9" ref="I34:I43">I33+H34</f>
        <v>35942.782231254445</v>
      </c>
      <c r="J34" s="18">
        <f t="shared" si="7"/>
        <v>298061.2831586988</v>
      </c>
    </row>
    <row r="35" spans="1:10" ht="12.75">
      <c r="A35" s="11" t="s">
        <v>12</v>
      </c>
      <c r="B35" s="18">
        <f>'Proxy- Trueup &amp; Interest'!$D$7</f>
        <v>96946.25</v>
      </c>
      <c r="C35" s="18">
        <f>-'Revenue by yr by mth'!N133</f>
        <v>-103539.6488</v>
      </c>
      <c r="D35" s="18"/>
      <c r="E35" s="18">
        <f t="shared" si="6"/>
        <v>-6593.398799999995</v>
      </c>
      <c r="F35" s="18">
        <f t="shared" si="8"/>
        <v>255525.10212744435</v>
      </c>
      <c r="G35" s="16">
        <f>'Proxy- Trueup &amp; Interest'!$B$29</f>
        <v>0.0725</v>
      </c>
      <c r="H35" s="18">
        <f>F34*G35*30/365</f>
        <v>1561.939012375867</v>
      </c>
      <c r="I35" s="18">
        <f t="shared" si="9"/>
        <v>37504.72124363031</v>
      </c>
      <c r="J35" s="18">
        <f t="shared" si="7"/>
        <v>293029.8233710746</v>
      </c>
    </row>
    <row r="36" spans="1:10" ht="12.75">
      <c r="A36" s="11" t="s">
        <v>13</v>
      </c>
      <c r="B36" s="18">
        <f>'Proxy- Trueup &amp; Interest'!$D$7</f>
        <v>96946.25</v>
      </c>
      <c r="C36" s="18">
        <f>-'Revenue by yr by mth'!N134</f>
        <v>-98652.3368</v>
      </c>
      <c r="D36" s="18"/>
      <c r="E36" s="18">
        <f t="shared" si="6"/>
        <v>-1706.0868000000046</v>
      </c>
      <c r="F36" s="18">
        <f t="shared" si="8"/>
        <v>253819.01532744436</v>
      </c>
      <c r="G36" s="16">
        <f>'Proxy- Trueup &amp; Interest'!$B$29</f>
        <v>0.0725</v>
      </c>
      <c r="H36" s="18">
        <f>F35*G36*31/365</f>
        <v>1573.4045672094003</v>
      </c>
      <c r="I36" s="18">
        <f t="shared" si="9"/>
        <v>39078.12581083971</v>
      </c>
      <c r="J36" s="18">
        <f t="shared" si="7"/>
        <v>292897.14113828406</v>
      </c>
    </row>
    <row r="37" spans="1:10" ht="12.75">
      <c r="A37" s="11" t="s">
        <v>14</v>
      </c>
      <c r="B37" s="18">
        <f>'Proxy- Trueup &amp; Interest'!$D$7</f>
        <v>96946.25</v>
      </c>
      <c r="C37" s="18">
        <f>-'Revenue by yr by mth'!N135</f>
        <v>-94338.35210000002</v>
      </c>
      <c r="D37" s="67">
        <f>'[2]TAXCALC'!$E$185</f>
        <v>-161694.24071680004</v>
      </c>
      <c r="E37" s="18">
        <f t="shared" si="6"/>
        <v>-159086.34281680005</v>
      </c>
      <c r="F37" s="18">
        <f t="shared" si="8"/>
        <v>94732.6725106443</v>
      </c>
      <c r="G37" s="16">
        <f>'Proxy- Trueup &amp; Interest'!$B$29</f>
        <v>0.0725</v>
      </c>
      <c r="H37" s="18">
        <f>F36*G37*30/365</f>
        <v>1512.4831735265518</v>
      </c>
      <c r="I37" s="18">
        <f t="shared" si="9"/>
        <v>40590.60898436626</v>
      </c>
      <c r="J37" s="18">
        <f t="shared" si="7"/>
        <v>135323.28149501057</v>
      </c>
    </row>
    <row r="38" spans="1:10" ht="12.75">
      <c r="A38" s="11" t="s">
        <v>15</v>
      </c>
      <c r="B38" s="18">
        <f>'Proxy- Trueup &amp; Interest'!$D$7</f>
        <v>96946.25</v>
      </c>
      <c r="C38" s="18">
        <f>-'Revenue by yr by mth'!N136</f>
        <v>-94318.28600000001</v>
      </c>
      <c r="D38" s="18"/>
      <c r="E38" s="18">
        <f t="shared" si="6"/>
        <v>2627.9639999999927</v>
      </c>
      <c r="F38" s="18">
        <f t="shared" si="8"/>
        <v>97360.6365106443</v>
      </c>
      <c r="G38" s="16">
        <f>'Proxy- Trueup &amp; Interest'!$B$29</f>
        <v>0.0725</v>
      </c>
      <c r="H38" s="18">
        <f>F37*G38*31/365</f>
        <v>583.3196752538988</v>
      </c>
      <c r="I38" s="18">
        <f t="shared" si="9"/>
        <v>41173.928659620164</v>
      </c>
      <c r="J38" s="18">
        <f t="shared" si="7"/>
        <v>138534.56517026445</v>
      </c>
    </row>
    <row r="39" spans="1:10" ht="12.75">
      <c r="A39" s="11" t="s">
        <v>16</v>
      </c>
      <c r="B39" s="18">
        <f>'Proxy- Trueup &amp; Interest'!$D$7</f>
        <v>96946.25</v>
      </c>
      <c r="C39" s="18">
        <f>-'Revenue by yr by mth'!N137</f>
        <v>-98397.232</v>
      </c>
      <c r="D39" s="18"/>
      <c r="E39" s="18">
        <f t="shared" si="6"/>
        <v>-1450.9820000000036</v>
      </c>
      <c r="F39" s="18">
        <f t="shared" si="8"/>
        <v>95909.6545106443</v>
      </c>
      <c r="G39" s="16">
        <f>'Proxy- Trueup &amp; Interest'!$B$29</f>
        <v>0.0725</v>
      </c>
      <c r="H39" s="18">
        <f>F38*G39*31/365</f>
        <v>599.5014535826659</v>
      </c>
      <c r="I39" s="18">
        <f t="shared" si="9"/>
        <v>41773.43011320283</v>
      </c>
      <c r="J39" s="18">
        <f t="shared" si="7"/>
        <v>137683.08462384713</v>
      </c>
    </row>
    <row r="40" spans="1:10" ht="12.75">
      <c r="A40" s="11" t="s">
        <v>17</v>
      </c>
      <c r="B40" s="18">
        <f>'Proxy- Trueup &amp; Interest'!$D$7</f>
        <v>96946.25</v>
      </c>
      <c r="C40" s="18">
        <f>-'Revenue by yr by mth'!N138</f>
        <v>-98362.36850000001</v>
      </c>
      <c r="D40" s="18"/>
      <c r="E40" s="18">
        <f t="shared" si="6"/>
        <v>-1416.1185000000114</v>
      </c>
      <c r="F40" s="18">
        <f t="shared" si="8"/>
        <v>94493.53601064428</v>
      </c>
      <c r="G40" s="16">
        <f>'Proxy- Trueup &amp; Interest'!$B$29</f>
        <v>0.0725</v>
      </c>
      <c r="H40" s="18">
        <f>F39*G40*30/365</f>
        <v>571.5164344127434</v>
      </c>
      <c r="I40" s="18">
        <f t="shared" si="9"/>
        <v>42344.94654761557</v>
      </c>
      <c r="J40" s="18">
        <f t="shared" si="7"/>
        <v>136838.48255825986</v>
      </c>
    </row>
    <row r="41" spans="1:10" ht="12.75">
      <c r="A41" s="11" t="s">
        <v>6</v>
      </c>
      <c r="B41" s="18">
        <f>'Proxy- Trueup &amp; Interest'!$D$7</f>
        <v>96946.25</v>
      </c>
      <c r="C41" s="18">
        <f>-'Revenue by yr by mth'!N139</f>
        <v>-94181.1578</v>
      </c>
      <c r="D41" s="18"/>
      <c r="E41" s="18">
        <f t="shared" si="6"/>
        <v>2765.092199999999</v>
      </c>
      <c r="F41" s="18">
        <f t="shared" si="8"/>
        <v>97258.62821064428</v>
      </c>
      <c r="G41" s="16">
        <f>'Proxy- Trueup &amp; Interest'!$B$29</f>
        <v>0.0725</v>
      </c>
      <c r="H41" s="18">
        <f>F40*G41*31/365</f>
        <v>581.8471840655425</v>
      </c>
      <c r="I41" s="18">
        <f t="shared" si="9"/>
        <v>42926.79373168111</v>
      </c>
      <c r="J41" s="18">
        <f t="shared" si="7"/>
        <v>140185.4219423254</v>
      </c>
    </row>
    <row r="42" spans="1:10" ht="12.75">
      <c r="A42" s="11" t="s">
        <v>7</v>
      </c>
      <c r="B42" s="18">
        <f>'Proxy- Trueup &amp; Interest'!$D$7</f>
        <v>96946.25</v>
      </c>
      <c r="C42" s="18">
        <f>-'Revenue by yr by mth'!N140</f>
        <v>-97309.05260000001</v>
      </c>
      <c r="D42" s="20"/>
      <c r="E42" s="20">
        <f t="shared" si="6"/>
        <v>-362.80260000001</v>
      </c>
      <c r="F42" s="18">
        <f t="shared" si="8"/>
        <v>96895.82561064427</v>
      </c>
      <c r="G42" s="16">
        <f>'Proxy- Trueup &amp; Interest'!$B$29</f>
        <v>0.0725</v>
      </c>
      <c r="H42" s="18">
        <f>F41*G42*30/365</f>
        <v>579.5548393374007</v>
      </c>
      <c r="I42" s="18">
        <f t="shared" si="9"/>
        <v>43506.348571018505</v>
      </c>
      <c r="J42" s="18">
        <f t="shared" si="7"/>
        <v>140402.1741816628</v>
      </c>
    </row>
    <row r="43" spans="1:10" ht="12.75">
      <c r="A43" s="11" t="s">
        <v>8</v>
      </c>
      <c r="B43" s="18">
        <f>'Proxy- Trueup &amp; Interest'!$D$7</f>
        <v>96946.25</v>
      </c>
      <c r="C43" s="19">
        <f>-'Revenue by yr by mth'!N141</f>
        <v>-99958.8054</v>
      </c>
      <c r="D43" s="19"/>
      <c r="E43" s="19">
        <f t="shared" si="6"/>
        <v>-3012.5553999999975</v>
      </c>
      <c r="F43" s="19">
        <f t="shared" si="8"/>
        <v>93883.27021064427</v>
      </c>
      <c r="G43" s="17">
        <f>'Proxy- Trueup &amp; Interest'!$B$29</f>
        <v>0.0725</v>
      </c>
      <c r="H43" s="19">
        <f>F42*G43*31/365</f>
        <v>596.6393645477342</v>
      </c>
      <c r="I43" s="19">
        <f t="shared" si="9"/>
        <v>44102.98793556624</v>
      </c>
      <c r="J43" s="19">
        <f t="shared" si="7"/>
        <v>137986.25814621052</v>
      </c>
    </row>
    <row r="44" spans="1:10" ht="12.75">
      <c r="A44" s="11" t="s">
        <v>44</v>
      </c>
      <c r="B44" s="65">
        <f>SUM(B32:B43)</f>
        <v>1163355</v>
      </c>
      <c r="C44" s="66">
        <f>SUM(C32:C43)</f>
        <v>-1208971.0692</v>
      </c>
      <c r="D44" s="20">
        <f>SUM(D32:D43)</f>
        <v>-161694.24071680004</v>
      </c>
      <c r="E44" s="20">
        <f>SUM(E32:E43)</f>
        <v>-207310.30991680012</v>
      </c>
      <c r="F44" s="20"/>
      <c r="G44" s="13"/>
      <c r="H44" s="20">
        <f>SUM(H32:H43)</f>
        <v>13326.599026929132</v>
      </c>
      <c r="I44" s="20"/>
      <c r="J44" s="20"/>
    </row>
    <row r="46" spans="3:10" ht="12.75">
      <c r="C46" s="1"/>
      <c r="D46" s="1"/>
      <c r="E46" s="1"/>
      <c r="F46" s="1"/>
      <c r="G46" s="1"/>
      <c r="H46" s="1"/>
      <c r="I46" s="1"/>
      <c r="J46" s="1"/>
    </row>
    <row r="47" spans="1:10" ht="12.75">
      <c r="A47" s="1" t="s">
        <v>35</v>
      </c>
      <c r="B47" s="1">
        <v>2004</v>
      </c>
      <c r="C47" s="1"/>
      <c r="D47" s="6" t="s">
        <v>37</v>
      </c>
      <c r="E47" s="70" t="s">
        <v>39</v>
      </c>
      <c r="F47" s="70"/>
      <c r="G47" s="70" t="s">
        <v>41</v>
      </c>
      <c r="H47" s="70"/>
      <c r="I47" s="70"/>
      <c r="J47" s="1"/>
    </row>
    <row r="48" spans="1:10" s="10" customFormat="1" ht="25.5">
      <c r="A48" s="23"/>
      <c r="B48" s="6" t="s">
        <v>116</v>
      </c>
      <c r="C48" s="6" t="s">
        <v>45</v>
      </c>
      <c r="D48" s="6" t="s">
        <v>38</v>
      </c>
      <c r="E48" s="24" t="s">
        <v>40</v>
      </c>
      <c r="F48" s="24" t="s">
        <v>23</v>
      </c>
      <c r="G48" s="24" t="s">
        <v>42</v>
      </c>
      <c r="H48" s="24" t="s">
        <v>40</v>
      </c>
      <c r="I48" s="24" t="s">
        <v>23</v>
      </c>
      <c r="J48" s="24" t="s">
        <v>43</v>
      </c>
    </row>
    <row r="49" spans="1:10" ht="12.75">
      <c r="A49" s="11" t="s">
        <v>9</v>
      </c>
      <c r="B49" s="18">
        <f>'Proxy- Trueup &amp; Interest'!$D$7</f>
        <v>96946.25</v>
      </c>
      <c r="C49" s="18">
        <f>-'Revenue by yr by mth'!N76</f>
        <v>-106999.15541250001</v>
      </c>
      <c r="D49" s="18"/>
      <c r="E49" s="18">
        <f>SUM(B49:D49)</f>
        <v>-10052.905412500011</v>
      </c>
      <c r="F49" s="18">
        <f>F43+E49</f>
        <v>83830.36479814426</v>
      </c>
      <c r="G49" s="16">
        <f>'Proxy- Trueup &amp; Interest'!$B$29</f>
        <v>0.0725</v>
      </c>
      <c r="H49" s="18">
        <f>F43*G49*31/366</f>
        <v>576.5099721268388</v>
      </c>
      <c r="I49" s="18">
        <f>I43+H49</f>
        <v>44679.49790769308</v>
      </c>
      <c r="J49" s="18">
        <f>F49+I49</f>
        <v>128509.86270583735</v>
      </c>
    </row>
    <row r="50" spans="1:10" ht="12.75">
      <c r="A50" s="11" t="s">
        <v>10</v>
      </c>
      <c r="B50" s="18">
        <f>'Proxy- Trueup &amp; Interest'!$D$7</f>
        <v>96946.25</v>
      </c>
      <c r="C50" s="18">
        <f>-'Revenue by yr by mth'!N77</f>
        <v>-118098.68475138888</v>
      </c>
      <c r="D50" s="18"/>
      <c r="E50" s="18">
        <f aca="true" t="shared" si="10" ref="E50:E60">SUM(B50:D50)</f>
        <v>-21152.43475138888</v>
      </c>
      <c r="F50" s="18">
        <f>F49+E50</f>
        <v>62677.930046755384</v>
      </c>
      <c r="G50" s="16">
        <f>'Proxy- Trueup &amp; Interest'!$B$29</f>
        <v>0.0725</v>
      </c>
      <c r="H50" s="18">
        <f>F49*G50*29/366</f>
        <v>481.56650816420296</v>
      </c>
      <c r="I50" s="18">
        <f>I49+H50</f>
        <v>45161.06441585728</v>
      </c>
      <c r="J50" s="18">
        <f aca="true" t="shared" si="11" ref="J50:J60">F50+I50</f>
        <v>107838.99446261267</v>
      </c>
    </row>
    <row r="51" spans="1:10" ht="12.75">
      <c r="A51" s="11" t="s">
        <v>11</v>
      </c>
      <c r="B51" s="18">
        <f>'Proxy- Trueup &amp; Interest'!$D$7</f>
        <v>96946.25</v>
      </c>
      <c r="C51" s="18">
        <f>-'Revenue by yr by mth'!N78</f>
        <v>-110140.57370861112</v>
      </c>
      <c r="D51" s="18"/>
      <c r="E51" s="18">
        <f t="shared" si="10"/>
        <v>-13194.323708611118</v>
      </c>
      <c r="F51" s="18">
        <f aca="true" t="shared" si="12" ref="F51:F60">F50+E51</f>
        <v>49483.606338144265</v>
      </c>
      <c r="G51" s="16">
        <f>'Proxy- Trueup &amp; Interest'!$B$29</f>
        <v>0.0725</v>
      </c>
      <c r="H51" s="18">
        <f>F50*G51*31/366</f>
        <v>384.8870157925757</v>
      </c>
      <c r="I51" s="18">
        <f aca="true" t="shared" si="13" ref="I51:I60">I50+H51</f>
        <v>45545.95143164986</v>
      </c>
      <c r="J51" s="18">
        <f t="shared" si="11"/>
        <v>95029.55776979413</v>
      </c>
    </row>
    <row r="52" spans="1:10" ht="12.75">
      <c r="A52" s="11" t="s">
        <v>12</v>
      </c>
      <c r="B52" s="18">
        <f>'Proxy- Trueup &amp; Interest'!$D$9</f>
        <v>73374.83333333333</v>
      </c>
      <c r="C52" s="18">
        <f>-'Revenue by yr by mth'!N79</f>
        <v>-80717.22307333334</v>
      </c>
      <c r="D52" s="18"/>
      <c r="E52" s="18">
        <f t="shared" si="10"/>
        <v>-7342.389740000013</v>
      </c>
      <c r="F52" s="18">
        <f t="shared" si="12"/>
        <v>42141.21659814425</v>
      </c>
      <c r="G52" s="16">
        <f>'Proxy- Trueup &amp; Interest'!$B$29</f>
        <v>0.0725</v>
      </c>
      <c r="H52" s="18">
        <f>F51*G52*30/366</f>
        <v>294.0624147143819</v>
      </c>
      <c r="I52" s="18">
        <f t="shared" si="13"/>
        <v>45840.01384636424</v>
      </c>
      <c r="J52" s="18">
        <f t="shared" si="11"/>
        <v>87981.23044450849</v>
      </c>
    </row>
    <row r="53" spans="1:10" ht="12.75">
      <c r="A53" s="11" t="s">
        <v>13</v>
      </c>
      <c r="B53" s="18">
        <f>'Proxy- Trueup &amp; Interest'!$D$9</f>
        <v>73374.83333333333</v>
      </c>
      <c r="C53" s="18">
        <f>-'Revenue by yr by mth'!N80</f>
        <v>-75503.84516666667</v>
      </c>
      <c r="D53" s="18"/>
      <c r="E53" s="18">
        <f t="shared" si="10"/>
        <v>-2129.0118333333376</v>
      </c>
      <c r="F53" s="18">
        <f t="shared" si="12"/>
        <v>40012.204764810915</v>
      </c>
      <c r="G53" s="16">
        <f>'Proxy- Trueup &amp; Interest'!$B$29</f>
        <v>0.0725</v>
      </c>
      <c r="H53" s="18">
        <f>F52*G53*31/366</f>
        <v>258.77700629598144</v>
      </c>
      <c r="I53" s="18">
        <f t="shared" si="13"/>
        <v>46098.790852660226</v>
      </c>
      <c r="J53" s="18">
        <f t="shared" si="11"/>
        <v>86110.99561747114</v>
      </c>
    </row>
    <row r="54" spans="1:10" ht="12.75">
      <c r="A54" s="11" t="s">
        <v>14</v>
      </c>
      <c r="B54" s="18">
        <f>'Proxy- Trueup &amp; Interest'!$D$9</f>
        <v>73374.83333333333</v>
      </c>
      <c r="C54" s="18">
        <f>-'Revenue by yr by mth'!N81</f>
        <v>-67086.63810333333</v>
      </c>
      <c r="D54" s="67">
        <f>'[3]TAXCALC'!$E$185</f>
        <v>-175182.47100723066</v>
      </c>
      <c r="E54" s="18">
        <f t="shared" si="10"/>
        <v>-168894.27577723068</v>
      </c>
      <c r="F54" s="18">
        <f t="shared" si="12"/>
        <v>-128882.07101241976</v>
      </c>
      <c r="G54" s="16">
        <f>'Proxy- Trueup &amp; Interest'!$B$29</f>
        <v>0.0725</v>
      </c>
      <c r="H54" s="18">
        <f>F53*G54*30/366</f>
        <v>237.77744634826158</v>
      </c>
      <c r="I54" s="18">
        <f t="shared" si="13"/>
        <v>46336.56829900849</v>
      </c>
      <c r="J54" s="18">
        <f t="shared" si="11"/>
        <v>-82545.50271341128</v>
      </c>
    </row>
    <row r="55" spans="1:10" ht="12.75">
      <c r="A55" s="11" t="s">
        <v>15</v>
      </c>
      <c r="B55" s="18">
        <f>'Proxy- Trueup &amp; Interest'!$D$9</f>
        <v>73374.83333333333</v>
      </c>
      <c r="C55" s="18">
        <f>-'Revenue by yr by mth'!N82</f>
        <v>-64427.35937333334</v>
      </c>
      <c r="D55" s="18"/>
      <c r="E55" s="18">
        <f t="shared" si="10"/>
        <v>8947.473959999988</v>
      </c>
      <c r="F55" s="18">
        <f t="shared" si="12"/>
        <v>-119934.59705241978</v>
      </c>
      <c r="G55" s="16">
        <f>'Proxy- Trueup &amp; Interest'!$B$29</f>
        <v>0.0725</v>
      </c>
      <c r="H55" s="18">
        <f>F54*G55*31/366</f>
        <v>-791.4274715858289</v>
      </c>
      <c r="I55" s="18">
        <f t="shared" si="13"/>
        <v>45545.14082742266</v>
      </c>
      <c r="J55" s="18">
        <f t="shared" si="11"/>
        <v>-74389.45622499712</v>
      </c>
    </row>
    <row r="56" spans="1:10" ht="12.75">
      <c r="A56" s="11" t="s">
        <v>16</v>
      </c>
      <c r="B56" s="18">
        <f>'Proxy- Trueup &amp; Interest'!$D$9</f>
        <v>73374.83333333333</v>
      </c>
      <c r="C56" s="18">
        <f>-'Revenue by yr by mth'!N83</f>
        <v>-72572.29712111113</v>
      </c>
      <c r="D56" s="18"/>
      <c r="E56" s="18">
        <f t="shared" si="10"/>
        <v>802.5362122221995</v>
      </c>
      <c r="F56" s="18">
        <f t="shared" si="12"/>
        <v>-119132.06084019758</v>
      </c>
      <c r="G56" s="16">
        <f>'Proxy- Trueup &amp; Interest'!$B$29</f>
        <v>0.0725</v>
      </c>
      <c r="H56" s="18">
        <f>F55*G56*31/366</f>
        <v>-736.4836253423865</v>
      </c>
      <c r="I56" s="18">
        <f t="shared" si="13"/>
        <v>44808.65720208028</v>
      </c>
      <c r="J56" s="18">
        <f t="shared" si="11"/>
        <v>-74323.4036381173</v>
      </c>
    </row>
    <row r="57" spans="1:10" ht="12.75">
      <c r="A57" s="11" t="s">
        <v>17</v>
      </c>
      <c r="B57" s="18">
        <f>'Proxy- Trueup &amp; Interest'!$D$9</f>
        <v>73374.83333333333</v>
      </c>
      <c r="C57" s="18">
        <f>-'Revenue by yr by mth'!N84</f>
        <v>-80670.36276999999</v>
      </c>
      <c r="D57" s="18"/>
      <c r="E57" s="18">
        <f t="shared" si="10"/>
        <v>-7295.529436666664</v>
      </c>
      <c r="F57" s="18">
        <f t="shared" si="12"/>
        <v>-126427.59027686424</v>
      </c>
      <c r="G57" s="16">
        <f>'Proxy- Trueup &amp; Interest'!$B$29</f>
        <v>0.0725</v>
      </c>
      <c r="H57" s="18">
        <f>F56*G57*30/366</f>
        <v>-707.9569189274035</v>
      </c>
      <c r="I57" s="18">
        <f t="shared" si="13"/>
        <v>44100.70028315287</v>
      </c>
      <c r="J57" s="18">
        <f t="shared" si="11"/>
        <v>-82326.88999371137</v>
      </c>
    </row>
    <row r="58" spans="1:10" ht="12.75">
      <c r="A58" s="11" t="s">
        <v>6</v>
      </c>
      <c r="B58" s="18">
        <f>'Proxy- Trueup &amp; Interest'!$D$9</f>
        <v>73374.83333333333</v>
      </c>
      <c r="C58" s="18">
        <f>-'Revenue by yr by mth'!N85</f>
        <v>-67742.6423088889</v>
      </c>
      <c r="D58" s="18"/>
      <c r="E58" s="18">
        <f t="shared" si="10"/>
        <v>5632.19102444443</v>
      </c>
      <c r="F58" s="18">
        <f t="shared" si="12"/>
        <v>-120795.39925241981</v>
      </c>
      <c r="G58" s="16">
        <f>'Proxy- Trueup &amp; Interest'!$B$29</f>
        <v>0.0725</v>
      </c>
      <c r="H58" s="18">
        <f>F57*G58*31/366</f>
        <v>-776.3552162493233</v>
      </c>
      <c r="I58" s="18">
        <f t="shared" si="13"/>
        <v>43324.34506690355</v>
      </c>
      <c r="J58" s="18">
        <f t="shared" si="11"/>
        <v>-77471.05418551626</v>
      </c>
    </row>
    <row r="59" spans="1:10" ht="12.75">
      <c r="A59" s="11" t="s">
        <v>7</v>
      </c>
      <c r="B59" s="18">
        <f>'Proxy- Trueup &amp; Interest'!$D$9</f>
        <v>73374.83333333333</v>
      </c>
      <c r="C59" s="18">
        <f>-'Revenue by yr by mth'!N86</f>
        <v>-75411.96291666667</v>
      </c>
      <c r="D59" s="20"/>
      <c r="E59" s="20">
        <f t="shared" si="10"/>
        <v>-2037.1295833333425</v>
      </c>
      <c r="F59" s="20">
        <f t="shared" si="12"/>
        <v>-122832.52883575315</v>
      </c>
      <c r="G59" s="16">
        <f>'Proxy- Trueup &amp; Interest'!$B$29</f>
        <v>0.0725</v>
      </c>
      <c r="H59" s="20">
        <f>F58*G59*30/366</f>
        <v>-717.8415119508555</v>
      </c>
      <c r="I59" s="20">
        <f t="shared" si="13"/>
        <v>42606.503554952695</v>
      </c>
      <c r="J59" s="20">
        <f t="shared" si="11"/>
        <v>-80226.02528080046</v>
      </c>
    </row>
    <row r="60" spans="1:10" ht="12.75">
      <c r="A60" s="11" t="s">
        <v>8</v>
      </c>
      <c r="B60" s="18">
        <f>'Proxy- Trueup &amp; Interest'!$D$9</f>
        <v>73374.83333333333</v>
      </c>
      <c r="C60" s="19">
        <f>-'Revenue by yr by mth'!N87</f>
        <v>-72758.77850666665</v>
      </c>
      <c r="D60" s="19"/>
      <c r="E60" s="19">
        <f t="shared" si="10"/>
        <v>616.0548266666738</v>
      </c>
      <c r="F60" s="19">
        <f t="shared" si="12"/>
        <v>-122216.47400908648</v>
      </c>
      <c r="G60" s="17">
        <f>'Proxy- Trueup &amp; Interest'!$B$29</f>
        <v>0.0725</v>
      </c>
      <c r="H60" s="19">
        <f>F59*G60*31/366</f>
        <v>-754.278985132118</v>
      </c>
      <c r="I60" s="19">
        <f t="shared" si="13"/>
        <v>41852.22456982057</v>
      </c>
      <c r="J60" s="19">
        <f t="shared" si="11"/>
        <v>-80364.2494392659</v>
      </c>
    </row>
    <row r="61" spans="1:10" ht="12.75">
      <c r="A61" s="11" t="s">
        <v>44</v>
      </c>
      <c r="B61" s="65">
        <f>SUM(B49:B60)</f>
        <v>951212.2500000001</v>
      </c>
      <c r="C61" s="66">
        <f>SUM(C49:C60)</f>
        <v>-992129.5232124999</v>
      </c>
      <c r="D61" s="20">
        <f>SUM(D49:D60)</f>
        <v>-175182.47100723066</v>
      </c>
      <c r="E61" s="20">
        <f>SUM(E49:E60)</f>
        <v>-216099.74421973078</v>
      </c>
      <c r="F61" s="20"/>
      <c r="G61" s="13"/>
      <c r="H61" s="20">
        <f>SUM(H49:H60)</f>
        <v>-2250.7633657456736</v>
      </c>
      <c r="I61" s="20"/>
      <c r="J61" s="20"/>
    </row>
    <row r="63" spans="3:10" ht="12.75">
      <c r="C63" s="1"/>
      <c r="D63" s="1"/>
      <c r="E63" s="1"/>
      <c r="F63" s="1"/>
      <c r="G63" s="1"/>
      <c r="H63" s="1"/>
      <c r="I63" s="1"/>
      <c r="J63" s="1"/>
    </row>
    <row r="64" spans="1:10" ht="12.75">
      <c r="A64" s="1" t="s">
        <v>35</v>
      </c>
      <c r="B64" s="1">
        <v>2005</v>
      </c>
      <c r="C64" s="1"/>
      <c r="D64" s="6" t="s">
        <v>37</v>
      </c>
      <c r="E64" s="70" t="s">
        <v>39</v>
      </c>
      <c r="F64" s="70"/>
      <c r="G64" s="70" t="s">
        <v>41</v>
      </c>
      <c r="H64" s="70"/>
      <c r="I64" s="70"/>
      <c r="J64" s="1"/>
    </row>
    <row r="65" spans="1:10" s="10" customFormat="1" ht="25.5">
      <c r="A65" s="23"/>
      <c r="B65" s="6" t="s">
        <v>116</v>
      </c>
      <c r="C65" s="6" t="s">
        <v>45</v>
      </c>
      <c r="D65" s="6" t="s">
        <v>38</v>
      </c>
      <c r="E65" s="24" t="s">
        <v>40</v>
      </c>
      <c r="F65" s="24" t="s">
        <v>23</v>
      </c>
      <c r="G65" s="24" t="s">
        <v>42</v>
      </c>
      <c r="H65" s="24" t="s">
        <v>40</v>
      </c>
      <c r="I65" s="24" t="s">
        <v>23</v>
      </c>
      <c r="J65" s="24" t="s">
        <v>43</v>
      </c>
    </row>
    <row r="66" spans="1:10" ht="12.75">
      <c r="A66" s="11" t="s">
        <v>9</v>
      </c>
      <c r="B66" s="18">
        <f>'Proxy- Trueup &amp; Interest'!$D$9</f>
        <v>73374.83333333333</v>
      </c>
      <c r="C66" s="18">
        <f>-'Revenue by yr by mth'!N27</f>
        <v>-106332.11269000001</v>
      </c>
      <c r="D66" s="18"/>
      <c r="E66" s="18">
        <f>SUM(B66:D66)</f>
        <v>-32957.27935666668</v>
      </c>
      <c r="F66" s="18">
        <f>F60+E66</f>
        <v>-155173.75336575316</v>
      </c>
      <c r="G66" s="16">
        <f>'Proxy- Trueup &amp; Interest'!$B$29</f>
        <v>0.0725</v>
      </c>
      <c r="H66" s="18">
        <f>F60*G66*31/365</f>
        <v>-752.5521242066352</v>
      </c>
      <c r="I66" s="18">
        <f>I60+H66</f>
        <v>41099.672445613935</v>
      </c>
      <c r="J66" s="18">
        <f>F66+I66</f>
        <v>-114074.08092013923</v>
      </c>
    </row>
    <row r="67" spans="1:10" ht="12.75">
      <c r="A67" s="11" t="s">
        <v>10</v>
      </c>
      <c r="B67" s="18">
        <f>'Proxy- Trueup &amp; Interest'!$D$9</f>
        <v>73374.83333333333</v>
      </c>
      <c r="C67" s="18">
        <f>-'Revenue by yr by mth'!N28</f>
        <v>-111935.11495333334</v>
      </c>
      <c r="D67" s="18"/>
      <c r="E67" s="18">
        <f aca="true" t="shared" si="14" ref="E67:E77">SUM(B67:D67)</f>
        <v>-38560.28162000001</v>
      </c>
      <c r="F67" s="18">
        <f>F66+E67</f>
        <v>-193734.03498575318</v>
      </c>
      <c r="G67" s="16">
        <f>'Proxy- Trueup &amp; Interest'!$B$29</f>
        <v>0.0725</v>
      </c>
      <c r="H67" s="18">
        <f>F66*G67*28/365</f>
        <v>-863.0211488561067</v>
      </c>
      <c r="I67" s="18">
        <f>I66+H67</f>
        <v>40236.65129675783</v>
      </c>
      <c r="J67" s="18">
        <f aca="true" t="shared" si="15" ref="J67:J77">F67+I67</f>
        <v>-153497.38368899535</v>
      </c>
    </row>
    <row r="68" spans="1:10" ht="12.75">
      <c r="A68" s="11" t="s">
        <v>11</v>
      </c>
      <c r="B68" s="18">
        <f>'Proxy- Trueup &amp; Interest'!$D$9</f>
        <v>73374.83333333333</v>
      </c>
      <c r="C68" s="18">
        <f>-'Revenue by yr by mth'!N29</f>
        <v>-100660.28652444445</v>
      </c>
      <c r="D68" s="18"/>
      <c r="E68" s="18">
        <f t="shared" si="14"/>
        <v>-27285.453191111126</v>
      </c>
      <c r="F68" s="18">
        <f aca="true" t="shared" si="16" ref="F68:F77">F67+E68</f>
        <v>-221019.4881768643</v>
      </c>
      <c r="G68" s="16">
        <f>'Proxy- Trueup &amp; Interest'!$B$29</f>
        <v>0.0725</v>
      </c>
      <c r="H68" s="18">
        <f>F67*G68*31/365</f>
        <v>-1192.9239551520006</v>
      </c>
      <c r="I68" s="18">
        <f aca="true" t="shared" si="17" ref="I68:I77">I67+H68</f>
        <v>39043.72734160583</v>
      </c>
      <c r="J68" s="18">
        <f t="shared" si="15"/>
        <v>-181975.76083525846</v>
      </c>
    </row>
    <row r="69" spans="1:10" ht="12.75">
      <c r="A69" s="11" t="s">
        <v>12</v>
      </c>
      <c r="B69" s="18">
        <f>'Proxy- Trueup &amp; Interest'!$D$11</f>
        <v>72743.16666666667</v>
      </c>
      <c r="C69" s="18">
        <f>-'Revenue by yr by mth'!N30</f>
        <v>-84771.42545000001</v>
      </c>
      <c r="D69" s="18"/>
      <c r="E69" s="18">
        <f t="shared" si="14"/>
        <v>-12028.258783333338</v>
      </c>
      <c r="F69" s="18">
        <f t="shared" si="16"/>
        <v>-233047.74696019763</v>
      </c>
      <c r="G69" s="16">
        <f>'Proxy- Trueup &amp; Interest'!$B$29</f>
        <v>0.0725</v>
      </c>
      <c r="H69" s="18">
        <f>F68*G69*30/365</f>
        <v>-1317.033936396383</v>
      </c>
      <c r="I69" s="18">
        <f t="shared" si="17"/>
        <v>37726.693405209444</v>
      </c>
      <c r="J69" s="18">
        <f t="shared" si="15"/>
        <v>-195321.05355498818</v>
      </c>
    </row>
    <row r="70" spans="1:10" ht="12.75">
      <c r="A70" s="11" t="s">
        <v>13</v>
      </c>
      <c r="B70" s="18">
        <f>'Proxy- Trueup &amp; Interest'!$D$11</f>
        <v>72743.16666666667</v>
      </c>
      <c r="C70" s="18">
        <f>-'Revenue by yr by mth'!N31</f>
        <v>-74423.14830000002</v>
      </c>
      <c r="D70" s="18"/>
      <c r="E70" s="18">
        <f t="shared" si="14"/>
        <v>-1679.9816333333438</v>
      </c>
      <c r="F70" s="18">
        <f t="shared" si="16"/>
        <v>-234727.72859353098</v>
      </c>
      <c r="G70" s="16">
        <f>'Proxy- Trueup &amp; Interest'!$B$29</f>
        <v>0.0725</v>
      </c>
      <c r="H70" s="18">
        <f>F69*G70*31/365</f>
        <v>-1434.9994829946415</v>
      </c>
      <c r="I70" s="18">
        <f t="shared" si="17"/>
        <v>36291.6939222148</v>
      </c>
      <c r="J70" s="18">
        <f t="shared" si="15"/>
        <v>-198436.03467131619</v>
      </c>
    </row>
    <row r="71" spans="1:10" ht="12.75">
      <c r="A71" s="11" t="s">
        <v>14</v>
      </c>
      <c r="B71" s="18">
        <f>'Proxy- Trueup &amp; Interest'!$D$11</f>
        <v>72743.16666666667</v>
      </c>
      <c r="C71" s="18">
        <f>-'Revenue by yr by mth'!N32</f>
        <v>-61505.9927</v>
      </c>
      <c r="D71" s="67">
        <f>'[4]TAXCALC'!$E$185</f>
        <v>-138745.21903737035</v>
      </c>
      <c r="E71" s="18">
        <f t="shared" si="14"/>
        <v>-127508.04507070368</v>
      </c>
      <c r="F71" s="18">
        <f t="shared" si="16"/>
        <v>-362235.7736642347</v>
      </c>
      <c r="G71" s="16">
        <f>'Proxy- Trueup &amp; Interest'!$B$29</f>
        <v>0.0725</v>
      </c>
      <c r="H71" s="18">
        <f>F70*G71*30/365</f>
        <v>-1398.7200265504928</v>
      </c>
      <c r="I71" s="18">
        <f t="shared" si="17"/>
        <v>34892.973895664305</v>
      </c>
      <c r="J71" s="18">
        <f t="shared" si="15"/>
        <v>-327342.79976857034</v>
      </c>
    </row>
    <row r="72" spans="1:10" ht="12.75">
      <c r="A72" s="11" t="s">
        <v>15</v>
      </c>
      <c r="B72" s="18">
        <f>'Proxy- Trueup &amp; Interest'!$D$11</f>
        <v>72743.16666666667</v>
      </c>
      <c r="C72" s="18">
        <f>-'Revenue by yr by mth'!N33</f>
        <v>-69297.8311</v>
      </c>
      <c r="D72" s="18"/>
      <c r="E72" s="18">
        <f t="shared" si="14"/>
        <v>3445.3355666666757</v>
      </c>
      <c r="F72" s="18">
        <f t="shared" si="16"/>
        <v>-358790.438097568</v>
      </c>
      <c r="G72" s="16">
        <f>'Proxy- Trueup &amp; Interest'!$B$29</f>
        <v>0.0725</v>
      </c>
      <c r="H72" s="18">
        <f>F71*G72*31/365</f>
        <v>-2230.4791816722395</v>
      </c>
      <c r="I72" s="18">
        <f t="shared" si="17"/>
        <v>32662.494713992066</v>
      </c>
      <c r="J72" s="18">
        <f t="shared" si="15"/>
        <v>-326127.94338357594</v>
      </c>
    </row>
    <row r="73" spans="1:10" ht="12.75">
      <c r="A73" s="11" t="s">
        <v>16</v>
      </c>
      <c r="B73" s="18">
        <f>'Proxy- Trueup &amp; Interest'!$D$11</f>
        <v>72743.16666666667</v>
      </c>
      <c r="C73" s="18">
        <f>-'Revenue by yr by mth'!N34</f>
        <v>-79433.8303</v>
      </c>
      <c r="D73" s="18"/>
      <c r="E73" s="18">
        <f t="shared" si="14"/>
        <v>-6690.66363333333</v>
      </c>
      <c r="F73" s="18">
        <f t="shared" si="16"/>
        <v>-365481.10173090134</v>
      </c>
      <c r="G73" s="16">
        <f>'Proxy- Trueup &amp; Interest'!$B$29</f>
        <v>0.0725</v>
      </c>
      <c r="H73" s="18">
        <f>F72*G73*31/365</f>
        <v>-2209.2644099295453</v>
      </c>
      <c r="I73" s="18">
        <f t="shared" si="17"/>
        <v>30453.23030406252</v>
      </c>
      <c r="J73" s="18">
        <f t="shared" si="15"/>
        <v>-335027.8714268388</v>
      </c>
    </row>
    <row r="74" spans="1:10" ht="12.75">
      <c r="A74" s="11" t="s">
        <v>17</v>
      </c>
      <c r="B74" s="18">
        <f>'Proxy- Trueup &amp; Interest'!$D$11</f>
        <v>72743.16666666667</v>
      </c>
      <c r="C74" s="18">
        <f>-'Revenue by yr by mth'!N35</f>
        <v>-70007.7086</v>
      </c>
      <c r="D74" s="18"/>
      <c r="E74" s="18">
        <f t="shared" si="14"/>
        <v>2735.4580666666734</v>
      </c>
      <c r="F74" s="18">
        <f t="shared" si="16"/>
        <v>-362745.64366423467</v>
      </c>
      <c r="G74" s="16">
        <f>'Proxy- Trueup &amp; Interest'!$B$29</f>
        <v>0.0725</v>
      </c>
      <c r="H74" s="18">
        <f>F73*G74*30/365</f>
        <v>-2177.866839081398</v>
      </c>
      <c r="I74" s="18">
        <f t="shared" si="17"/>
        <v>28275.36346498112</v>
      </c>
      <c r="J74" s="18">
        <f t="shared" si="15"/>
        <v>-334470.2801992535</v>
      </c>
    </row>
    <row r="75" spans="1:10" ht="12.75">
      <c r="A75" s="11" t="s">
        <v>6</v>
      </c>
      <c r="B75" s="18">
        <f>'Proxy- Trueup &amp; Interest'!$D$11</f>
        <v>72743.16666666667</v>
      </c>
      <c r="C75" s="18">
        <f>-'Revenue by yr by mth'!N36</f>
        <v>-61479.6802</v>
      </c>
      <c r="D75" s="18"/>
      <c r="E75" s="18">
        <f t="shared" si="14"/>
        <v>11263.486466666669</v>
      </c>
      <c r="F75" s="18">
        <f t="shared" si="16"/>
        <v>-351482.157197568</v>
      </c>
      <c r="G75" s="16">
        <f>'Proxy- Trueup &amp; Interest'!$B$29</f>
        <v>0.0725</v>
      </c>
      <c r="H75" s="18">
        <f>F74*G75*31/365</f>
        <v>-2233.6187236585406</v>
      </c>
      <c r="I75" s="18">
        <f t="shared" si="17"/>
        <v>26041.744741322582</v>
      </c>
      <c r="J75" s="18">
        <f t="shared" si="15"/>
        <v>-325440.4124562454</v>
      </c>
    </row>
    <row r="76" spans="1:10" ht="12.75">
      <c r="A76" s="11" t="s">
        <v>7</v>
      </c>
      <c r="B76" s="18">
        <f>'Proxy- Trueup &amp; Interest'!$D$11</f>
        <v>72743.16666666667</v>
      </c>
      <c r="C76" s="18">
        <f>-'Revenue by yr by mth'!N37</f>
        <v>-59051.068400000004</v>
      </c>
      <c r="D76" s="18"/>
      <c r="E76" s="18">
        <f t="shared" si="14"/>
        <v>13692.098266666668</v>
      </c>
      <c r="F76" s="18">
        <f t="shared" si="16"/>
        <v>-337790.05893090134</v>
      </c>
      <c r="G76" s="16">
        <f>'Proxy- Trueup &amp; Interest'!$B$29</f>
        <v>0.0725</v>
      </c>
      <c r="H76" s="18">
        <f>F75*G76*30/365</f>
        <v>-2094.448470971809</v>
      </c>
      <c r="I76" s="18">
        <f t="shared" si="17"/>
        <v>23947.296270350773</v>
      </c>
      <c r="J76" s="18">
        <f t="shared" si="15"/>
        <v>-313842.7626605506</v>
      </c>
    </row>
    <row r="77" spans="1:10" ht="12.75">
      <c r="A77" s="11" t="s">
        <v>8</v>
      </c>
      <c r="B77" s="18">
        <f>'Proxy- Trueup &amp; Interest'!$D$11</f>
        <v>72743.16666666667</v>
      </c>
      <c r="C77" s="19">
        <f>-'Revenue by yr by mth'!N38</f>
        <v>-70046.89869999999</v>
      </c>
      <c r="D77" s="19"/>
      <c r="E77" s="19">
        <f t="shared" si="14"/>
        <v>2696.267966666681</v>
      </c>
      <c r="F77" s="19">
        <f t="shared" si="16"/>
        <v>-335093.7909642347</v>
      </c>
      <c r="G77" s="17">
        <f>'Proxy- Trueup &amp; Interest'!$B$29</f>
        <v>0.0725</v>
      </c>
      <c r="H77" s="19">
        <f>F76*G77*31/365</f>
        <v>-2079.953856019728</v>
      </c>
      <c r="I77" s="19">
        <f t="shared" si="17"/>
        <v>21867.342414331044</v>
      </c>
      <c r="J77" s="19">
        <f t="shared" si="15"/>
        <v>-313226.44854990364</v>
      </c>
    </row>
    <row r="78" spans="1:10" ht="12.75">
      <c r="A78" s="11" t="s">
        <v>44</v>
      </c>
      <c r="B78" s="65">
        <f>SUM(B66:B77)</f>
        <v>874812.9999999999</v>
      </c>
      <c r="C78" s="66">
        <f>SUM(C66:C77)</f>
        <v>-948945.0979177777</v>
      </c>
      <c r="D78" s="20">
        <f>SUM(D66:D77)</f>
        <v>-138745.21903737035</v>
      </c>
      <c r="E78" s="20">
        <f>SUM(E66:E77)</f>
        <v>-212877.31695514813</v>
      </c>
      <c r="F78" s="20"/>
      <c r="G78" s="13"/>
      <c r="H78" s="20">
        <f>SUM(H66:H77)</f>
        <v>-19984.882155489522</v>
      </c>
      <c r="I78" s="20"/>
      <c r="J78" s="20"/>
    </row>
    <row r="80" spans="3:10" ht="12.75">
      <c r="C80" s="1"/>
      <c r="D80" s="1"/>
      <c r="E80" s="1"/>
      <c r="F80" s="1"/>
      <c r="G80" s="1"/>
      <c r="H80" s="1"/>
      <c r="I80" s="1"/>
      <c r="J80" s="1"/>
    </row>
    <row r="81" spans="1:10" ht="12.75">
      <c r="A81" s="1" t="s">
        <v>35</v>
      </c>
      <c r="B81" s="1">
        <v>2006</v>
      </c>
      <c r="C81" s="1"/>
      <c r="D81" s="6" t="s">
        <v>37</v>
      </c>
      <c r="E81" s="70" t="s">
        <v>39</v>
      </c>
      <c r="F81" s="70"/>
      <c r="G81" s="70" t="s">
        <v>41</v>
      </c>
      <c r="H81" s="70"/>
      <c r="I81" s="70"/>
      <c r="J81" s="1"/>
    </row>
    <row r="82" spans="1:10" s="10" customFormat="1" ht="25.5">
      <c r="A82" s="23"/>
      <c r="B82" s="6" t="s">
        <v>116</v>
      </c>
      <c r="C82" s="6" t="s">
        <v>45</v>
      </c>
      <c r="D82" s="6" t="s">
        <v>38</v>
      </c>
      <c r="E82" s="24" t="s">
        <v>40</v>
      </c>
      <c r="F82" s="24" t="s">
        <v>23</v>
      </c>
      <c r="G82" s="24" t="s">
        <v>42</v>
      </c>
      <c r="H82" s="24" t="s">
        <v>40</v>
      </c>
      <c r="I82" s="24" t="s">
        <v>23</v>
      </c>
      <c r="J82" s="24" t="s">
        <v>43</v>
      </c>
    </row>
    <row r="83" spans="1:10" ht="12.75">
      <c r="A83" s="11" t="s">
        <v>9</v>
      </c>
      <c r="B83" s="18">
        <f>'Proxy- Trueup &amp; Interest'!$D$11</f>
        <v>72743.16666666667</v>
      </c>
      <c r="C83" s="18">
        <f>-'Revenue by yr by mth'!N3</f>
        <v>-93019.919</v>
      </c>
      <c r="D83" s="18"/>
      <c r="E83" s="18">
        <f>SUM(B83:D83)</f>
        <v>-20276.752333333323</v>
      </c>
      <c r="F83" s="18">
        <f>F77+E83</f>
        <v>-355370.543297568</v>
      </c>
      <c r="G83" s="16">
        <f>'Proxy- Trueup &amp; Interest'!$B$29</f>
        <v>0.0725</v>
      </c>
      <c r="H83" s="18">
        <f>F77*G83*31/365</f>
        <v>-2063.351493677034</v>
      </c>
      <c r="I83" s="18">
        <f>I77+H83</f>
        <v>19803.99092065401</v>
      </c>
      <c r="J83" s="18">
        <f>F83+I83</f>
        <v>-335566.55237691395</v>
      </c>
    </row>
    <row r="84" spans="1:10" ht="12.75">
      <c r="A84" s="11" t="s">
        <v>10</v>
      </c>
      <c r="B84" s="18">
        <f>'Proxy- Trueup &amp; Interest'!$D$11</f>
        <v>72743.16666666667</v>
      </c>
      <c r="C84" s="18">
        <f>-'Revenue by yr by mth'!N4</f>
        <v>-90987.33529999999</v>
      </c>
      <c r="D84" s="18"/>
      <c r="E84" s="18">
        <f aca="true" t="shared" si="18" ref="E84:E94">SUM(B84:D84)</f>
        <v>-18244.16863333332</v>
      </c>
      <c r="F84" s="18">
        <f>F83+E84</f>
        <v>-373614.7119309013</v>
      </c>
      <c r="G84" s="16">
        <f>'Proxy- Trueup &amp; Interest'!$B$29</f>
        <v>0.0725</v>
      </c>
      <c r="H84" s="18">
        <f>F83*G84*28/365</f>
        <v>-1976.4443914905835</v>
      </c>
      <c r="I84" s="18">
        <f>I83+H84</f>
        <v>17827.54652916343</v>
      </c>
      <c r="J84" s="18">
        <f aca="true" t="shared" si="19" ref="J84:J94">F84+I84</f>
        <v>-355787.16540173785</v>
      </c>
    </row>
    <row r="85" spans="1:10" ht="12.75">
      <c r="A85" s="11" t="s">
        <v>11</v>
      </c>
      <c r="B85" s="18">
        <f>'Proxy- Trueup &amp; Interest'!$D$11</f>
        <v>72743.16666666667</v>
      </c>
      <c r="C85" s="18">
        <f>-'Revenue by yr by mth'!N5</f>
        <v>-89324.33750000001</v>
      </c>
      <c r="D85" s="18"/>
      <c r="E85" s="18">
        <f t="shared" si="18"/>
        <v>-16581.170833333337</v>
      </c>
      <c r="F85" s="18">
        <f aca="true" t="shared" si="20" ref="F85:F94">F84+E85</f>
        <v>-390195.8827642346</v>
      </c>
      <c r="G85" s="16">
        <f>'Proxy- Trueup &amp; Interest'!$B$29</f>
        <v>0.0725</v>
      </c>
      <c r="H85" s="18">
        <f>F84*G85*31/365</f>
        <v>-2300.5453837389055</v>
      </c>
      <c r="I85" s="18">
        <f aca="true" t="shared" si="21" ref="I85:I94">I84+H85</f>
        <v>15527.001145424523</v>
      </c>
      <c r="J85" s="18">
        <f t="shared" si="19"/>
        <v>-374668.8816188101</v>
      </c>
    </row>
    <row r="86" spans="1:10" ht="12.75">
      <c r="A86" s="11" t="s">
        <v>12</v>
      </c>
      <c r="B86" s="18">
        <f>'Proxy- Trueup &amp; Interest'!$D$11</f>
        <v>72743.16666666667</v>
      </c>
      <c r="C86" s="18">
        <f>-'Revenue by yr by mth'!N6</f>
        <v>-77597.596</v>
      </c>
      <c r="D86" s="18"/>
      <c r="E86" s="18">
        <f t="shared" si="18"/>
        <v>-4854.4293333333335</v>
      </c>
      <c r="F86" s="18">
        <f t="shared" si="20"/>
        <v>-395050.31209756795</v>
      </c>
      <c r="G86" s="16">
        <f>'Proxy- Trueup &amp; Interest'!$B$30</f>
        <v>0.0414</v>
      </c>
      <c r="H86" s="18">
        <f>F85*G86*30/365</f>
        <v>-1327.73503121419</v>
      </c>
      <c r="I86" s="18">
        <f t="shared" si="21"/>
        <v>14199.266114210333</v>
      </c>
      <c r="J86" s="18">
        <f t="shared" si="19"/>
        <v>-380851.0459833576</v>
      </c>
    </row>
    <row r="87" spans="1:10" ht="12.75">
      <c r="A87" s="11" t="s">
        <v>13</v>
      </c>
      <c r="B87" s="18">
        <v>0</v>
      </c>
      <c r="C87" s="67">
        <f>-'Revenue by yr by mth'!N7</f>
        <v>-66853.98359999999</v>
      </c>
      <c r="D87" s="18"/>
      <c r="E87" s="18">
        <f t="shared" si="18"/>
        <v>-66853.98359999999</v>
      </c>
      <c r="F87" s="18">
        <f t="shared" si="20"/>
        <v>-461904.2956975679</v>
      </c>
      <c r="G87" s="16">
        <f>'Proxy- Trueup &amp; Interest'!$B$30</f>
        <v>0.0414</v>
      </c>
      <c r="H87" s="18">
        <f>F86*G87*31/365</f>
        <v>-1389.06183711238</v>
      </c>
      <c r="I87" s="18">
        <f t="shared" si="21"/>
        <v>12810.204277097953</v>
      </c>
      <c r="J87" s="18">
        <f t="shared" si="19"/>
        <v>-449094.09142047</v>
      </c>
    </row>
    <row r="88" spans="1:10" ht="12.75">
      <c r="A88" s="11" t="s">
        <v>14</v>
      </c>
      <c r="B88" s="18">
        <v>0</v>
      </c>
      <c r="C88" s="18">
        <v>0</v>
      </c>
      <c r="D88" s="67">
        <f>'[5]TAXCALC'!$E$185</f>
        <v>-121906.07822769236</v>
      </c>
      <c r="E88" s="18">
        <f t="shared" si="18"/>
        <v>-121906.07822769236</v>
      </c>
      <c r="F88" s="18">
        <f t="shared" si="20"/>
        <v>-583810.3739252603</v>
      </c>
      <c r="G88" s="16">
        <f>'Proxy- Trueup &amp; Interest'!$B$30</f>
        <v>0.0414</v>
      </c>
      <c r="H88" s="18">
        <f>F87*G88*30/365</f>
        <v>-1571.7400965928202</v>
      </c>
      <c r="I88" s="18">
        <f t="shared" si="21"/>
        <v>11238.464180505132</v>
      </c>
      <c r="J88" s="18">
        <f t="shared" si="19"/>
        <v>-572571.9097447551</v>
      </c>
    </row>
    <row r="89" spans="1:10" ht="12.75">
      <c r="A89" s="11" t="s">
        <v>15</v>
      </c>
      <c r="B89" s="18">
        <v>0</v>
      </c>
      <c r="C89" s="18">
        <v>0</v>
      </c>
      <c r="D89" s="18"/>
      <c r="E89" s="18">
        <f t="shared" si="18"/>
        <v>0</v>
      </c>
      <c r="F89" s="18">
        <f t="shared" si="20"/>
        <v>-583810.3739252603</v>
      </c>
      <c r="G89" s="16">
        <f>'Proxy- Trueup &amp; Interest'!$B$31</f>
        <v>0.0459</v>
      </c>
      <c r="H89" s="18">
        <f>F88*G89*31/365</f>
        <v>-2275.9007700226107</v>
      </c>
      <c r="I89" s="18">
        <f t="shared" si="21"/>
        <v>8962.563410482522</v>
      </c>
      <c r="J89" s="18">
        <f t="shared" si="19"/>
        <v>-574847.8105147778</v>
      </c>
    </row>
    <row r="90" spans="1:10" ht="12.75">
      <c r="A90" s="11" t="s">
        <v>16</v>
      </c>
      <c r="B90" s="18">
        <v>0</v>
      </c>
      <c r="C90" s="18">
        <v>0</v>
      </c>
      <c r="D90" s="18"/>
      <c r="E90" s="18">
        <f t="shared" si="18"/>
        <v>0</v>
      </c>
      <c r="F90" s="18">
        <f t="shared" si="20"/>
        <v>-583810.3739252603</v>
      </c>
      <c r="G90" s="16">
        <f>'Proxy- Trueup &amp; Interest'!$B$31</f>
        <v>0.0459</v>
      </c>
      <c r="H90" s="18">
        <f>F89*G90*31/365</f>
        <v>-2275.9007700226107</v>
      </c>
      <c r="I90" s="18">
        <f t="shared" si="21"/>
        <v>6686.662640459912</v>
      </c>
      <c r="J90" s="18">
        <f t="shared" si="19"/>
        <v>-577123.7112848003</v>
      </c>
    </row>
    <row r="91" spans="1:10" ht="12.75">
      <c r="A91" s="11" t="s">
        <v>17</v>
      </c>
      <c r="B91" s="18">
        <v>0</v>
      </c>
      <c r="C91" s="18">
        <v>0</v>
      </c>
      <c r="D91" s="18"/>
      <c r="E91" s="18">
        <f t="shared" si="18"/>
        <v>0</v>
      </c>
      <c r="F91" s="18">
        <f t="shared" si="20"/>
        <v>-583810.3739252603</v>
      </c>
      <c r="G91" s="16">
        <f>'Proxy- Trueup &amp; Interest'!$B$31</f>
        <v>0.0459</v>
      </c>
      <c r="H91" s="18">
        <f>F90*G91*30/365</f>
        <v>-2202.4846161509136</v>
      </c>
      <c r="I91" s="18">
        <f t="shared" si="21"/>
        <v>4484.178024308998</v>
      </c>
      <c r="J91" s="18">
        <f t="shared" si="19"/>
        <v>-579326.1959009513</v>
      </c>
    </row>
    <row r="92" spans="1:10" ht="12.75">
      <c r="A92" s="11" t="s">
        <v>6</v>
      </c>
      <c r="B92" s="18">
        <v>0</v>
      </c>
      <c r="C92" s="18">
        <v>0</v>
      </c>
      <c r="D92" s="18"/>
      <c r="E92" s="18">
        <f t="shared" si="18"/>
        <v>0</v>
      </c>
      <c r="F92" s="18">
        <f t="shared" si="20"/>
        <v>-583810.3739252603</v>
      </c>
      <c r="G92" s="16">
        <f>'Proxy- Trueup &amp; Interest'!$B$31</f>
        <v>0.0459</v>
      </c>
      <c r="H92" s="18">
        <f>F91*G92*31/365</f>
        <v>-2275.9007700226107</v>
      </c>
      <c r="I92" s="18">
        <f t="shared" si="21"/>
        <v>2208.2772542863872</v>
      </c>
      <c r="J92" s="18">
        <f t="shared" si="19"/>
        <v>-581602.0966709739</v>
      </c>
    </row>
    <row r="93" spans="1:10" ht="12.75">
      <c r="A93" s="11" t="s">
        <v>7</v>
      </c>
      <c r="B93" s="18">
        <v>0</v>
      </c>
      <c r="C93" s="18">
        <v>0</v>
      </c>
      <c r="D93" s="20"/>
      <c r="E93" s="18">
        <f t="shared" si="18"/>
        <v>0</v>
      </c>
      <c r="F93" s="18">
        <f t="shared" si="20"/>
        <v>-583810.3739252603</v>
      </c>
      <c r="G93" s="16">
        <f>'Proxy- Trueup &amp; Interest'!$B$31</f>
        <v>0.0459</v>
      </c>
      <c r="H93" s="18">
        <f>F92*G93*30/365</f>
        <v>-2202.4846161509136</v>
      </c>
      <c r="I93" s="18">
        <f t="shared" si="21"/>
        <v>5.7926381354736804</v>
      </c>
      <c r="J93" s="18">
        <f t="shared" si="19"/>
        <v>-583804.5812871248</v>
      </c>
    </row>
    <row r="94" spans="1:10" ht="12.75">
      <c r="A94" s="11" t="s">
        <v>8</v>
      </c>
      <c r="B94" s="19">
        <v>0</v>
      </c>
      <c r="C94" s="19">
        <v>0</v>
      </c>
      <c r="D94" s="19"/>
      <c r="E94" s="19">
        <f t="shared" si="18"/>
        <v>0</v>
      </c>
      <c r="F94" s="19">
        <f t="shared" si="20"/>
        <v>-583810.3739252603</v>
      </c>
      <c r="G94" s="17">
        <f>'Proxy- Trueup &amp; Interest'!$B$31</f>
        <v>0.0459</v>
      </c>
      <c r="H94" s="19">
        <f>F93*G94*31/365</f>
        <v>-2275.9007700226107</v>
      </c>
      <c r="I94" s="19">
        <f t="shared" si="21"/>
        <v>-2270.108131887137</v>
      </c>
      <c r="J94" s="19">
        <f t="shared" si="19"/>
        <v>-586080.4820571474</v>
      </c>
    </row>
    <row r="95" spans="1:10" ht="12.75">
      <c r="A95" s="11" t="s">
        <v>44</v>
      </c>
      <c r="B95" s="66">
        <f>SUM(B83:B94)</f>
        <v>290972.6666666667</v>
      </c>
      <c r="C95" s="66">
        <f>SUM(C83:C94)</f>
        <v>-417783.1714</v>
      </c>
      <c r="D95" s="20">
        <f>SUM(D83:D94)</f>
        <v>-121906.07822769236</v>
      </c>
      <c r="E95" s="20">
        <f>SUM(E83:E94)</f>
        <v>-248716.58296102565</v>
      </c>
      <c r="F95" s="20"/>
      <c r="G95" s="13"/>
      <c r="H95" s="20">
        <f>SUM(H83:H94)</f>
        <v>-24137.45054621818</v>
      </c>
      <c r="I95" s="20"/>
      <c r="J95" s="20"/>
    </row>
    <row r="96" spans="2:4" ht="12.75">
      <c r="B96" s="14"/>
      <c r="C96" s="14"/>
      <c r="D96" s="14"/>
    </row>
    <row r="97" spans="3:10" ht="12.75">
      <c r="C97" s="1"/>
      <c r="D97" s="1"/>
      <c r="E97" s="1"/>
      <c r="F97" s="1"/>
      <c r="G97" s="1"/>
      <c r="H97" s="1"/>
      <c r="I97" s="1"/>
      <c r="J97" s="1"/>
    </row>
    <row r="98" spans="1:10" ht="12.75">
      <c r="A98" s="1" t="s">
        <v>35</v>
      </c>
      <c r="B98" s="1">
        <v>2007</v>
      </c>
      <c r="C98" s="1"/>
      <c r="D98" s="6" t="s">
        <v>37</v>
      </c>
      <c r="E98" s="70" t="s">
        <v>39</v>
      </c>
      <c r="F98" s="70"/>
      <c r="G98" s="70" t="s">
        <v>41</v>
      </c>
      <c r="H98" s="70"/>
      <c r="I98" s="70"/>
      <c r="J98" s="1"/>
    </row>
    <row r="99" spans="1:10" s="10" customFormat="1" ht="25.5">
      <c r="A99" s="23"/>
      <c r="B99" s="6" t="s">
        <v>116</v>
      </c>
      <c r="C99" s="6" t="s">
        <v>45</v>
      </c>
      <c r="D99" s="6" t="s">
        <v>38</v>
      </c>
      <c r="E99" s="24" t="s">
        <v>40</v>
      </c>
      <c r="F99" s="24" t="s">
        <v>23</v>
      </c>
      <c r="G99" s="24" t="s">
        <v>42</v>
      </c>
      <c r="H99" s="24" t="s">
        <v>40</v>
      </c>
      <c r="I99" s="24" t="s">
        <v>23</v>
      </c>
      <c r="J99" s="24" t="s">
        <v>43</v>
      </c>
    </row>
    <row r="100" spans="1:10" ht="12.75">
      <c r="A100" s="11" t="s">
        <v>9</v>
      </c>
      <c r="B100" s="18">
        <v>0</v>
      </c>
      <c r="C100" s="18">
        <v>0</v>
      </c>
      <c r="D100" s="18"/>
      <c r="E100" s="18">
        <f>SUM(B100:D100)</f>
        <v>0</v>
      </c>
      <c r="F100" s="18">
        <f>F94+E100</f>
        <v>-583810.3739252603</v>
      </c>
      <c r="G100" s="16">
        <f>'Proxy- Trueup &amp; Interest'!$B$31</f>
        <v>0.0459</v>
      </c>
      <c r="H100" s="18">
        <f>F94*G100*31/365</f>
        <v>-2275.9007700226107</v>
      </c>
      <c r="I100" s="18">
        <f>I94+H100</f>
        <v>-4546.008901909748</v>
      </c>
      <c r="J100" s="18">
        <f>F100+I100</f>
        <v>-588356.38282717</v>
      </c>
    </row>
    <row r="101" spans="1:10" ht="12.75">
      <c r="A101" s="11" t="s">
        <v>10</v>
      </c>
      <c r="B101" s="18">
        <v>0</v>
      </c>
      <c r="C101" s="18">
        <v>0</v>
      </c>
      <c r="D101" s="18"/>
      <c r="E101" s="18">
        <f aca="true" t="shared" si="22" ref="E101:E111">SUM(B101:D101)</f>
        <v>0</v>
      </c>
      <c r="F101" s="18">
        <f>F100+E101</f>
        <v>-583810.3739252603</v>
      </c>
      <c r="G101" s="16">
        <f>'Proxy- Trueup &amp; Interest'!$B$31</f>
        <v>0.0459</v>
      </c>
      <c r="H101" s="18">
        <f>F100*G101*28/365</f>
        <v>-2055.6523084075193</v>
      </c>
      <c r="I101" s="18">
        <f>I100+H101</f>
        <v>-6601.6612103172665</v>
      </c>
      <c r="J101" s="18">
        <f aca="true" t="shared" si="23" ref="J101:J111">F101+I101</f>
        <v>-590412.0351355775</v>
      </c>
    </row>
    <row r="102" spans="1:10" ht="12.75">
      <c r="A102" s="11" t="s">
        <v>11</v>
      </c>
      <c r="B102" s="18">
        <v>0</v>
      </c>
      <c r="C102" s="18">
        <v>0</v>
      </c>
      <c r="D102" s="18"/>
      <c r="E102" s="18">
        <f t="shared" si="22"/>
        <v>0</v>
      </c>
      <c r="F102" s="18">
        <f aca="true" t="shared" si="24" ref="F102:F111">F101+E102</f>
        <v>-583810.3739252603</v>
      </c>
      <c r="G102" s="16">
        <f>'Proxy- Trueup &amp; Interest'!$B$31</f>
        <v>0.0459</v>
      </c>
      <c r="H102" s="18">
        <f>F101*G102*31/365</f>
        <v>-2275.9007700226107</v>
      </c>
      <c r="I102" s="18">
        <f aca="true" t="shared" si="25" ref="I102:I111">I101+H102</f>
        <v>-8877.561980339877</v>
      </c>
      <c r="J102" s="18">
        <f t="shared" si="23"/>
        <v>-592687.9359056002</v>
      </c>
    </row>
    <row r="103" spans="1:10" ht="12.75">
      <c r="A103" s="11" t="s">
        <v>12</v>
      </c>
      <c r="B103" s="18">
        <v>0</v>
      </c>
      <c r="C103" s="18">
        <v>0</v>
      </c>
      <c r="D103" s="18"/>
      <c r="E103" s="18">
        <f t="shared" si="22"/>
        <v>0</v>
      </c>
      <c r="F103" s="18">
        <f t="shared" si="24"/>
        <v>-583810.3739252603</v>
      </c>
      <c r="G103" s="16">
        <f>'Proxy- Trueup &amp; Interest'!$B$31</f>
        <v>0.0459</v>
      </c>
      <c r="H103" s="18">
        <f>F102*G103*30/365</f>
        <v>-2202.4846161509136</v>
      </c>
      <c r="I103" s="18">
        <f t="shared" si="25"/>
        <v>-11080.04659649079</v>
      </c>
      <c r="J103" s="18">
        <f t="shared" si="23"/>
        <v>-594890.420521751</v>
      </c>
    </row>
    <row r="104" spans="1:10" ht="12.75">
      <c r="A104" s="11" t="s">
        <v>13</v>
      </c>
      <c r="B104" s="18">
        <v>0</v>
      </c>
      <c r="C104" s="18">
        <v>0</v>
      </c>
      <c r="D104" s="18"/>
      <c r="E104" s="18">
        <f t="shared" si="22"/>
        <v>0</v>
      </c>
      <c r="F104" s="18">
        <f t="shared" si="24"/>
        <v>-583810.3739252603</v>
      </c>
      <c r="G104" s="16">
        <f>'Proxy- Trueup &amp; Interest'!$B$31</f>
        <v>0.0459</v>
      </c>
      <c r="H104" s="18">
        <f>F103*G104*31/365</f>
        <v>-2275.9007700226107</v>
      </c>
      <c r="I104" s="18">
        <f t="shared" si="25"/>
        <v>-13355.947366513401</v>
      </c>
      <c r="J104" s="18">
        <f t="shared" si="23"/>
        <v>-597166.3212917737</v>
      </c>
    </row>
    <row r="105" spans="1:10" ht="12.75">
      <c r="A105" s="11" t="s">
        <v>14</v>
      </c>
      <c r="B105" s="18">
        <v>0</v>
      </c>
      <c r="C105" s="18">
        <v>0</v>
      </c>
      <c r="D105" s="18"/>
      <c r="E105" s="18">
        <f t="shared" si="22"/>
        <v>0</v>
      </c>
      <c r="F105" s="18">
        <f t="shared" si="24"/>
        <v>-583810.3739252603</v>
      </c>
      <c r="G105" s="16">
        <f>'Proxy- Trueup &amp; Interest'!$B$31</f>
        <v>0.0459</v>
      </c>
      <c r="H105" s="18">
        <f>F104*G105*30/365</f>
        <v>-2202.4846161509136</v>
      </c>
      <c r="I105" s="18">
        <f t="shared" si="25"/>
        <v>-15558.431982664315</v>
      </c>
      <c r="J105" s="18">
        <f t="shared" si="23"/>
        <v>-599368.8059079245</v>
      </c>
    </row>
    <row r="106" spans="1:10" ht="12.75">
      <c r="A106" s="11" t="s">
        <v>15</v>
      </c>
      <c r="B106" s="18">
        <v>0</v>
      </c>
      <c r="C106" s="18">
        <v>0</v>
      </c>
      <c r="D106" s="18"/>
      <c r="E106" s="18">
        <f t="shared" si="22"/>
        <v>0</v>
      </c>
      <c r="F106" s="18">
        <f t="shared" si="24"/>
        <v>-583810.3739252603</v>
      </c>
      <c r="G106" s="16">
        <f>'Proxy- Trueup &amp; Interest'!$B$31</f>
        <v>0.0459</v>
      </c>
      <c r="H106" s="18">
        <f>F105*G106*31/365</f>
        <v>-2275.9007700226107</v>
      </c>
      <c r="I106" s="18">
        <f t="shared" si="25"/>
        <v>-17834.332752686925</v>
      </c>
      <c r="J106" s="18">
        <f t="shared" si="23"/>
        <v>-601644.7066779472</v>
      </c>
    </row>
    <row r="107" spans="1:10" ht="12.75">
      <c r="A107" s="11" t="s">
        <v>16</v>
      </c>
      <c r="B107" s="18">
        <v>0</v>
      </c>
      <c r="C107" s="18">
        <v>0</v>
      </c>
      <c r="D107" s="18"/>
      <c r="E107" s="18">
        <f t="shared" si="22"/>
        <v>0</v>
      </c>
      <c r="F107" s="18">
        <f t="shared" si="24"/>
        <v>-583810.3739252603</v>
      </c>
      <c r="G107" s="16">
        <f>'Proxy- Trueup &amp; Interest'!$B$31</f>
        <v>0.0459</v>
      </c>
      <c r="H107" s="18">
        <f>F106*G107*31/365</f>
        <v>-2275.9007700226107</v>
      </c>
      <c r="I107" s="18">
        <f t="shared" si="25"/>
        <v>-20110.233522709535</v>
      </c>
      <c r="J107" s="18">
        <f t="shared" si="23"/>
        <v>-603920.6074479698</v>
      </c>
    </row>
    <row r="108" spans="1:10" ht="12.75">
      <c r="A108" s="11" t="s">
        <v>17</v>
      </c>
      <c r="B108" s="18">
        <v>0</v>
      </c>
      <c r="C108" s="18">
        <v>0</v>
      </c>
      <c r="D108" s="18"/>
      <c r="E108" s="18">
        <f t="shared" si="22"/>
        <v>0</v>
      </c>
      <c r="F108" s="18">
        <f t="shared" si="24"/>
        <v>-583810.3739252603</v>
      </c>
      <c r="G108" s="16">
        <f>'Proxy- Trueup &amp; Interest'!$B$31</f>
        <v>0.0459</v>
      </c>
      <c r="H108" s="18">
        <f>F107*G108*30/365</f>
        <v>-2202.4846161509136</v>
      </c>
      <c r="I108" s="18">
        <f t="shared" si="25"/>
        <v>-22312.718138860448</v>
      </c>
      <c r="J108" s="18">
        <f t="shared" si="23"/>
        <v>-606123.0920641207</v>
      </c>
    </row>
    <row r="109" spans="1:10" ht="12.75">
      <c r="A109" s="11" t="s">
        <v>6</v>
      </c>
      <c r="B109" s="18">
        <v>0</v>
      </c>
      <c r="C109" s="18">
        <v>0</v>
      </c>
      <c r="D109" s="18"/>
      <c r="E109" s="18">
        <f t="shared" si="22"/>
        <v>0</v>
      </c>
      <c r="F109" s="18">
        <f t="shared" si="24"/>
        <v>-583810.3739252603</v>
      </c>
      <c r="G109" s="16">
        <f>'Proxy- Trueup &amp; Interest'!$B$34</f>
        <v>0.0514</v>
      </c>
      <c r="H109" s="18">
        <f>F108*G109*31/365</f>
        <v>-2548.6121912671497</v>
      </c>
      <c r="I109" s="18">
        <f t="shared" si="25"/>
        <v>-24861.330330127596</v>
      </c>
      <c r="J109" s="18">
        <f t="shared" si="23"/>
        <v>-608671.7042553879</v>
      </c>
    </row>
    <row r="110" spans="1:10" ht="12.75">
      <c r="A110" s="11" t="s">
        <v>7</v>
      </c>
      <c r="B110" s="18">
        <v>0</v>
      </c>
      <c r="C110" s="18">
        <v>0</v>
      </c>
      <c r="D110" s="18"/>
      <c r="E110" s="18">
        <f t="shared" si="22"/>
        <v>0</v>
      </c>
      <c r="F110" s="18">
        <f t="shared" si="24"/>
        <v>-583810.3739252603</v>
      </c>
      <c r="G110" s="16">
        <f>'Proxy- Trueup &amp; Interest'!$B$34</f>
        <v>0.0514</v>
      </c>
      <c r="H110" s="18">
        <f>F109*G110*30/365</f>
        <v>-2466.398894774661</v>
      </c>
      <c r="I110" s="18">
        <f t="shared" si="25"/>
        <v>-27327.729224902258</v>
      </c>
      <c r="J110" s="18">
        <f t="shared" si="23"/>
        <v>-611138.1031501625</v>
      </c>
    </row>
    <row r="111" spans="1:10" ht="12.75">
      <c r="A111" s="11" t="s">
        <v>8</v>
      </c>
      <c r="B111" s="19">
        <v>0</v>
      </c>
      <c r="C111" s="19">
        <v>0</v>
      </c>
      <c r="D111" s="19"/>
      <c r="E111" s="19">
        <f t="shared" si="22"/>
        <v>0</v>
      </c>
      <c r="F111" s="19">
        <f t="shared" si="24"/>
        <v>-583810.3739252603</v>
      </c>
      <c r="G111" s="17">
        <f>'Proxy- Trueup &amp; Interest'!$B$34</f>
        <v>0.0514</v>
      </c>
      <c r="H111" s="19">
        <f>F110*G111*31/365</f>
        <v>-2548.6121912671497</v>
      </c>
      <c r="I111" s="19">
        <f t="shared" si="25"/>
        <v>-29876.34141616941</v>
      </c>
      <c r="J111" s="19">
        <f t="shared" si="23"/>
        <v>-613686.7153414297</v>
      </c>
    </row>
    <row r="112" spans="1:10" ht="12.75">
      <c r="A112" s="11" t="s">
        <v>44</v>
      </c>
      <c r="B112" s="20">
        <f>SUM(B100:B111)</f>
        <v>0</v>
      </c>
      <c r="C112" s="20">
        <f>SUM(C100:C111)</f>
        <v>0</v>
      </c>
      <c r="D112" s="20">
        <f>SUM(D100:D111)</f>
        <v>0</v>
      </c>
      <c r="E112" s="20">
        <f>SUM(E100:E111)</f>
        <v>0</v>
      </c>
      <c r="F112" s="20"/>
      <c r="G112" s="13"/>
      <c r="H112" s="20">
        <f>SUM(H100:H111)</f>
        <v>-27606.233284282273</v>
      </c>
      <c r="I112" s="20"/>
      <c r="J112" s="20"/>
    </row>
    <row r="114" spans="3:10" ht="12.75"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 t="s">
        <v>35</v>
      </c>
      <c r="B115" s="1">
        <v>2008</v>
      </c>
      <c r="C115" s="1"/>
      <c r="D115" s="6" t="s">
        <v>37</v>
      </c>
      <c r="E115" s="70" t="s">
        <v>39</v>
      </c>
      <c r="F115" s="70"/>
      <c r="G115" s="70" t="s">
        <v>41</v>
      </c>
      <c r="H115" s="70"/>
      <c r="I115" s="70"/>
      <c r="J115" s="1"/>
    </row>
    <row r="116" spans="1:10" s="10" customFormat="1" ht="25.5">
      <c r="A116" s="23"/>
      <c r="B116" s="6" t="s">
        <v>116</v>
      </c>
      <c r="C116" s="6" t="s">
        <v>45</v>
      </c>
      <c r="D116" s="6" t="s">
        <v>38</v>
      </c>
      <c r="E116" s="24" t="s">
        <v>40</v>
      </c>
      <c r="F116" s="24" t="s">
        <v>23</v>
      </c>
      <c r="G116" s="24" t="s">
        <v>42</v>
      </c>
      <c r="H116" s="24" t="s">
        <v>40</v>
      </c>
      <c r="I116" s="24" t="s">
        <v>23</v>
      </c>
      <c r="J116" s="24" t="s">
        <v>43</v>
      </c>
    </row>
    <row r="117" spans="1:10" ht="12.75">
      <c r="A117" s="11" t="s">
        <v>9</v>
      </c>
      <c r="B117" s="18">
        <v>0</v>
      </c>
      <c r="C117" s="18">
        <v>0</v>
      </c>
      <c r="D117" s="18"/>
      <c r="E117" s="18">
        <f>SUM(B117:D117)</f>
        <v>0</v>
      </c>
      <c r="F117" s="18">
        <f>F111+E117</f>
        <v>-583810.3739252603</v>
      </c>
      <c r="G117" s="16">
        <f>'Proxy- Trueup &amp; Interest'!$B$34</f>
        <v>0.0514</v>
      </c>
      <c r="H117" s="18">
        <f>F111*G117*31/366</f>
        <v>-2541.648769979535</v>
      </c>
      <c r="I117" s="18">
        <f>I111+H117</f>
        <v>-32417.990186148945</v>
      </c>
      <c r="J117" s="18">
        <f>F117+I117</f>
        <v>-616228.3641114092</v>
      </c>
    </row>
    <row r="118" spans="1:10" ht="12.75">
      <c r="A118" s="11" t="s">
        <v>10</v>
      </c>
      <c r="B118" s="18">
        <v>0</v>
      </c>
      <c r="C118" s="18">
        <v>0</v>
      </c>
      <c r="D118" s="18"/>
      <c r="E118" s="18">
        <f aca="true" t="shared" si="26" ref="E118:E128">SUM(B118:D118)</f>
        <v>0</v>
      </c>
      <c r="F118" s="18">
        <f>F117+E118</f>
        <v>-583810.3739252603</v>
      </c>
      <c r="G118" s="16">
        <f>'Proxy- Trueup &amp; Interest'!$B$34</f>
        <v>0.0514</v>
      </c>
      <c r="H118" s="18">
        <f>F117*G118*29/366</f>
        <v>-2377.671429980855</v>
      </c>
      <c r="I118" s="18">
        <f>I117+H118</f>
        <v>-34795.6616161298</v>
      </c>
      <c r="J118" s="18">
        <f aca="true" t="shared" si="27" ref="J118:J128">F118+I118</f>
        <v>-618606.0355413901</v>
      </c>
    </row>
    <row r="119" spans="1:10" ht="12.75">
      <c r="A119" s="11" t="s">
        <v>11</v>
      </c>
      <c r="B119" s="18">
        <v>0</v>
      </c>
      <c r="C119" s="18">
        <v>0</v>
      </c>
      <c r="D119" s="18"/>
      <c r="E119" s="18">
        <f t="shared" si="26"/>
        <v>0</v>
      </c>
      <c r="F119" s="18">
        <f aca="true" t="shared" si="28" ref="F119:F128">F118+E119</f>
        <v>-583810.3739252603</v>
      </c>
      <c r="G119" s="16">
        <f>'Proxy- Trueup &amp; Interest'!$B$34</f>
        <v>0.0514</v>
      </c>
      <c r="H119" s="18">
        <f>F118*G119*31/366</f>
        <v>-2541.648769979535</v>
      </c>
      <c r="I119" s="18">
        <f aca="true" t="shared" si="29" ref="I119:I128">I118+H119</f>
        <v>-37337.31038610933</v>
      </c>
      <c r="J119" s="18">
        <f t="shared" si="27"/>
        <v>-621147.6843113696</v>
      </c>
    </row>
    <row r="120" spans="1:10" ht="12.75">
      <c r="A120" s="11" t="s">
        <v>12</v>
      </c>
      <c r="B120" s="18">
        <v>0</v>
      </c>
      <c r="C120" s="18">
        <v>0</v>
      </c>
      <c r="D120" s="18"/>
      <c r="E120" s="18">
        <f t="shared" si="26"/>
        <v>0</v>
      </c>
      <c r="F120" s="18">
        <f t="shared" si="28"/>
        <v>-583810.3739252603</v>
      </c>
      <c r="G120" s="16">
        <f>'Proxy- Trueup &amp; Interest'!$B$35</f>
        <v>0.0408</v>
      </c>
      <c r="H120" s="18">
        <f>F119*G120*30/366</f>
        <v>-1952.4150209959528</v>
      </c>
      <c r="I120" s="18">
        <f t="shared" si="29"/>
        <v>-39289.72540710529</v>
      </c>
      <c r="J120" s="18">
        <f t="shared" si="27"/>
        <v>-623100.0993323656</v>
      </c>
    </row>
    <row r="121" spans="1:10" ht="12.75">
      <c r="A121" s="11" t="s">
        <v>13</v>
      </c>
      <c r="B121" s="18">
        <v>0</v>
      </c>
      <c r="C121" s="18">
        <v>0</v>
      </c>
      <c r="D121" s="18"/>
      <c r="E121" s="18">
        <f t="shared" si="26"/>
        <v>0</v>
      </c>
      <c r="F121" s="18">
        <f t="shared" si="28"/>
        <v>-583810.3739252603</v>
      </c>
      <c r="G121" s="16">
        <f>'Proxy- Trueup &amp; Interest'!$B$35</f>
        <v>0.0408</v>
      </c>
      <c r="H121" s="18">
        <f>F120*G121*31/366</f>
        <v>-2017.4955216958178</v>
      </c>
      <c r="I121" s="18">
        <f t="shared" si="29"/>
        <v>-41307.22092880111</v>
      </c>
      <c r="J121" s="18">
        <f t="shared" si="27"/>
        <v>-625117.5948540614</v>
      </c>
    </row>
    <row r="122" spans="1:10" ht="12.75">
      <c r="A122" s="11" t="s">
        <v>14</v>
      </c>
      <c r="B122" s="18">
        <v>0</v>
      </c>
      <c r="C122" s="18">
        <v>0</v>
      </c>
      <c r="D122" s="18"/>
      <c r="E122" s="18">
        <f t="shared" si="26"/>
        <v>0</v>
      </c>
      <c r="F122" s="18">
        <f t="shared" si="28"/>
        <v>-583810.3739252603</v>
      </c>
      <c r="G122" s="16">
        <f>'Proxy- Trueup &amp; Interest'!$B$35</f>
        <v>0.0408</v>
      </c>
      <c r="H122" s="18">
        <f>F121*G122*30/366</f>
        <v>-1952.4150209959528</v>
      </c>
      <c r="I122" s="18">
        <f t="shared" si="29"/>
        <v>-43259.63594979706</v>
      </c>
      <c r="J122" s="18">
        <f t="shared" si="27"/>
        <v>-627070.0098750574</v>
      </c>
    </row>
    <row r="123" spans="1:10" ht="12.75">
      <c r="A123" s="11" t="s">
        <v>15</v>
      </c>
      <c r="B123" s="18">
        <v>0</v>
      </c>
      <c r="C123" s="18">
        <v>0</v>
      </c>
      <c r="D123" s="18"/>
      <c r="E123" s="18">
        <f t="shared" si="26"/>
        <v>0</v>
      </c>
      <c r="F123" s="18">
        <f t="shared" si="28"/>
        <v>-583810.3739252603</v>
      </c>
      <c r="G123" s="16">
        <f>'Proxy- Trueup &amp; Interest'!$B$36</f>
        <v>0.0335</v>
      </c>
      <c r="H123" s="18">
        <f>F122*G123*31/366</f>
        <v>-1656.5220582551444</v>
      </c>
      <c r="I123" s="18">
        <f t="shared" si="29"/>
        <v>-44916.1580080522</v>
      </c>
      <c r="J123" s="18">
        <f t="shared" si="27"/>
        <v>-628726.5319333124</v>
      </c>
    </row>
    <row r="124" spans="1:10" ht="12.75">
      <c r="A124" s="11" t="s">
        <v>16</v>
      </c>
      <c r="B124" s="18">
        <v>0</v>
      </c>
      <c r="C124" s="18">
        <v>0</v>
      </c>
      <c r="D124" s="18"/>
      <c r="E124" s="18">
        <f t="shared" si="26"/>
        <v>0</v>
      </c>
      <c r="F124" s="18">
        <f t="shared" si="28"/>
        <v>-583810.3739252603</v>
      </c>
      <c r="G124" s="16">
        <f>'Proxy- Trueup &amp; Interest'!$B$36</f>
        <v>0.0335</v>
      </c>
      <c r="H124" s="18">
        <f>F123*G124*31/366</f>
        <v>-1656.5220582551444</v>
      </c>
      <c r="I124" s="18">
        <f t="shared" si="29"/>
        <v>-46572.680066307345</v>
      </c>
      <c r="J124" s="18">
        <f t="shared" si="27"/>
        <v>-630383.0539915676</v>
      </c>
    </row>
    <row r="125" spans="1:10" ht="12.75">
      <c r="A125" s="11" t="s">
        <v>17</v>
      </c>
      <c r="B125" s="18">
        <v>0</v>
      </c>
      <c r="C125" s="18">
        <v>0</v>
      </c>
      <c r="D125" s="18"/>
      <c r="E125" s="18">
        <f t="shared" si="26"/>
        <v>0</v>
      </c>
      <c r="F125" s="18">
        <f t="shared" si="28"/>
        <v>-583810.3739252603</v>
      </c>
      <c r="G125" s="16">
        <f>'Proxy- Trueup &amp; Interest'!$B$36</f>
        <v>0.0335</v>
      </c>
      <c r="H125" s="18">
        <f>F124*G125*30/366</f>
        <v>-1603.0858628275591</v>
      </c>
      <c r="I125" s="18">
        <f t="shared" si="29"/>
        <v>-48175.765929134905</v>
      </c>
      <c r="J125" s="18">
        <f t="shared" si="27"/>
        <v>-631986.1398543952</v>
      </c>
    </row>
    <row r="126" spans="1:10" ht="12.75">
      <c r="A126" s="11" t="s">
        <v>6</v>
      </c>
      <c r="B126" s="18">
        <v>0</v>
      </c>
      <c r="C126" s="18">
        <v>0</v>
      </c>
      <c r="D126" s="18"/>
      <c r="E126" s="18">
        <f t="shared" si="26"/>
        <v>0</v>
      </c>
      <c r="F126" s="18">
        <f t="shared" si="28"/>
        <v>-583810.3739252603</v>
      </c>
      <c r="G126" s="16">
        <f>'Proxy- Trueup &amp; Interest'!$B$36</f>
        <v>0.0335</v>
      </c>
      <c r="H126" s="18">
        <f>F125*G126*31/366</f>
        <v>-1656.5220582551444</v>
      </c>
      <c r="I126" s="18">
        <f t="shared" si="29"/>
        <v>-49832.287987390046</v>
      </c>
      <c r="J126" s="18">
        <f t="shared" si="27"/>
        <v>-633642.6619126503</v>
      </c>
    </row>
    <row r="127" spans="1:10" ht="12.75">
      <c r="A127" s="11" t="s">
        <v>7</v>
      </c>
      <c r="B127" s="18">
        <v>0</v>
      </c>
      <c r="C127" s="18">
        <v>0</v>
      </c>
      <c r="D127" s="18"/>
      <c r="E127" s="18">
        <f t="shared" si="26"/>
        <v>0</v>
      </c>
      <c r="F127" s="18">
        <f t="shared" si="28"/>
        <v>-583810.3739252603</v>
      </c>
      <c r="G127" s="16">
        <f>'Proxy- Trueup &amp; Interest'!$B$36</f>
        <v>0.0335</v>
      </c>
      <c r="H127" s="18">
        <f>F126*G127*30/366</f>
        <v>-1603.0858628275591</v>
      </c>
      <c r="I127" s="18">
        <f t="shared" si="29"/>
        <v>-51435.373850217606</v>
      </c>
      <c r="J127" s="18">
        <f t="shared" si="27"/>
        <v>-635245.7477754778</v>
      </c>
    </row>
    <row r="128" spans="1:10" ht="12.75">
      <c r="A128" s="11" t="s">
        <v>8</v>
      </c>
      <c r="B128" s="19">
        <v>0</v>
      </c>
      <c r="C128" s="19">
        <v>0</v>
      </c>
      <c r="D128" s="19"/>
      <c r="E128" s="19">
        <f t="shared" si="26"/>
        <v>0</v>
      </c>
      <c r="F128" s="19">
        <f t="shared" si="28"/>
        <v>-583810.3739252603</v>
      </c>
      <c r="G128" s="17">
        <f>'Proxy- Trueup &amp; Interest'!$B$36</f>
        <v>0.0335</v>
      </c>
      <c r="H128" s="19">
        <f>F127*G128*31/366</f>
        <v>-1656.5220582551444</v>
      </c>
      <c r="I128" s="19">
        <f t="shared" si="29"/>
        <v>-53091.89590847275</v>
      </c>
      <c r="J128" s="19">
        <f t="shared" si="27"/>
        <v>-636902.269833733</v>
      </c>
    </row>
    <row r="129" spans="1:10" ht="12.75">
      <c r="A129" s="11" t="s">
        <v>44</v>
      </c>
      <c r="B129" s="20">
        <f>SUM(B117:B128)</f>
        <v>0</v>
      </c>
      <c r="C129" s="20">
        <f>SUM(C117:C128)</f>
        <v>0</v>
      </c>
      <c r="D129" s="20">
        <f>SUM(D117:D128)</f>
        <v>0</v>
      </c>
      <c r="E129" s="20">
        <f>SUM(E117:E128)</f>
        <v>0</v>
      </c>
      <c r="F129" s="20"/>
      <c r="G129" s="13"/>
      <c r="H129" s="20">
        <f>SUM(H117:H128)</f>
        <v>-23215.554492303345</v>
      </c>
      <c r="I129" s="20"/>
      <c r="J129" s="20"/>
    </row>
    <row r="131" spans="3:10" ht="12.75"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 t="s">
        <v>35</v>
      </c>
      <c r="B132" s="1">
        <v>2009</v>
      </c>
      <c r="C132" s="1"/>
      <c r="D132" s="6" t="s">
        <v>37</v>
      </c>
      <c r="E132" s="70" t="s">
        <v>39</v>
      </c>
      <c r="F132" s="70"/>
      <c r="G132" s="70" t="s">
        <v>41</v>
      </c>
      <c r="H132" s="70"/>
      <c r="I132" s="70"/>
      <c r="J132" s="1"/>
    </row>
    <row r="133" spans="1:10" s="10" customFormat="1" ht="25.5">
      <c r="A133" s="23"/>
      <c r="B133" s="6" t="s">
        <v>116</v>
      </c>
      <c r="C133" s="6" t="s">
        <v>45</v>
      </c>
      <c r="D133" s="6" t="s">
        <v>38</v>
      </c>
      <c r="E133" s="24" t="s">
        <v>40</v>
      </c>
      <c r="F133" s="24" t="s">
        <v>23</v>
      </c>
      <c r="G133" s="24" t="s">
        <v>42</v>
      </c>
      <c r="H133" s="24" t="s">
        <v>40</v>
      </c>
      <c r="I133" s="24" t="s">
        <v>23</v>
      </c>
      <c r="J133" s="24" t="s">
        <v>43</v>
      </c>
    </row>
    <row r="134" spans="1:10" ht="12.75">
      <c r="A134" s="11" t="s">
        <v>9</v>
      </c>
      <c r="B134" s="18">
        <v>0</v>
      </c>
      <c r="C134" s="18">
        <v>0</v>
      </c>
      <c r="D134" s="18"/>
      <c r="E134" s="18">
        <f>SUM(B134:D134)</f>
        <v>0</v>
      </c>
      <c r="F134" s="18">
        <f>F128+E134</f>
        <v>-583810.3739252603</v>
      </c>
      <c r="G134" s="16">
        <f>'Proxy- Trueup &amp; Interest'!$B$37</f>
        <v>0.0245</v>
      </c>
      <c r="H134" s="18">
        <f>F128*G134*31/365</f>
        <v>-1214.8054219074938</v>
      </c>
      <c r="I134" s="18">
        <f>I128+H134</f>
        <v>-54306.70133038024</v>
      </c>
      <c r="J134" s="18">
        <f>F134+I134</f>
        <v>-638117.0752556405</v>
      </c>
    </row>
    <row r="135" spans="1:10" ht="12.75">
      <c r="A135" s="11" t="s">
        <v>10</v>
      </c>
      <c r="B135" s="18">
        <v>0</v>
      </c>
      <c r="C135" s="18">
        <v>0</v>
      </c>
      <c r="D135" s="18"/>
      <c r="E135" s="18">
        <f aca="true" t="shared" si="30" ref="E135:E145">SUM(B135:D135)</f>
        <v>0</v>
      </c>
      <c r="F135" s="18">
        <f>F134+E135</f>
        <v>-583810.3739252603</v>
      </c>
      <c r="G135" s="16">
        <f>'Proxy- Trueup &amp; Interest'!$B$37</f>
        <v>0.0245</v>
      </c>
      <c r="H135" s="18">
        <f>F134*G135*28/365</f>
        <v>-1097.2436068841878</v>
      </c>
      <c r="I135" s="18">
        <f>I134+H135</f>
        <v>-55403.94493726442</v>
      </c>
      <c r="J135" s="18">
        <f aca="true" t="shared" si="31" ref="J135:J145">F135+I135</f>
        <v>-639214.3188625247</v>
      </c>
    </row>
    <row r="136" spans="1:10" ht="12.75">
      <c r="A136" s="11" t="s">
        <v>11</v>
      </c>
      <c r="B136" s="18">
        <v>0</v>
      </c>
      <c r="C136" s="18">
        <v>0</v>
      </c>
      <c r="D136" s="18"/>
      <c r="E136" s="18">
        <f t="shared" si="30"/>
        <v>0</v>
      </c>
      <c r="F136" s="18">
        <f aca="true" t="shared" si="32" ref="F136:F145">F135+E136</f>
        <v>-583810.3739252603</v>
      </c>
      <c r="G136" s="16">
        <f>'Proxy- Trueup &amp; Interest'!$B$37</f>
        <v>0.0245</v>
      </c>
      <c r="H136" s="18">
        <f>F135*G136*31/365</f>
        <v>-1214.8054219074938</v>
      </c>
      <c r="I136" s="18">
        <f aca="true" t="shared" si="33" ref="I136:I145">I135+H136</f>
        <v>-56618.750359171914</v>
      </c>
      <c r="J136" s="18">
        <f t="shared" si="31"/>
        <v>-640429.1242844322</v>
      </c>
    </row>
    <row r="137" spans="1:10" ht="12.75">
      <c r="A137" s="11" t="s">
        <v>12</v>
      </c>
      <c r="B137" s="18">
        <v>0</v>
      </c>
      <c r="C137" s="18">
        <v>0</v>
      </c>
      <c r="D137" s="18"/>
      <c r="E137" s="18">
        <f t="shared" si="30"/>
        <v>0</v>
      </c>
      <c r="F137" s="18">
        <f t="shared" si="32"/>
        <v>-583810.3739252603</v>
      </c>
      <c r="G137" s="16">
        <f>'Proxy- Trueup &amp; Interest'!$B$38</f>
        <v>0.01</v>
      </c>
      <c r="H137" s="18">
        <f>F136*G137*30/365</f>
        <v>-479.8441429522687</v>
      </c>
      <c r="I137" s="18">
        <f t="shared" si="33"/>
        <v>-57098.594502124186</v>
      </c>
      <c r="J137" s="18">
        <f t="shared" si="31"/>
        <v>-640908.9684273845</v>
      </c>
    </row>
    <row r="138" spans="1:10" ht="12.75">
      <c r="A138" s="11" t="s">
        <v>13</v>
      </c>
      <c r="B138" s="18">
        <v>0</v>
      </c>
      <c r="C138" s="18">
        <v>0</v>
      </c>
      <c r="D138" s="18"/>
      <c r="E138" s="18">
        <f t="shared" si="30"/>
        <v>0</v>
      </c>
      <c r="F138" s="18">
        <f t="shared" si="32"/>
        <v>-583810.3739252603</v>
      </c>
      <c r="G138" s="16">
        <f>'Proxy- Trueup &amp; Interest'!$B$38</f>
        <v>0.01</v>
      </c>
      <c r="H138" s="18">
        <f>F137*G138*31/365</f>
        <v>-495.83894771734435</v>
      </c>
      <c r="I138" s="18">
        <f t="shared" si="33"/>
        <v>-57594.433449841534</v>
      </c>
      <c r="J138" s="18">
        <f t="shared" si="31"/>
        <v>-641404.8073751018</v>
      </c>
    </row>
    <row r="139" spans="1:10" ht="12.75">
      <c r="A139" s="11" t="s">
        <v>14</v>
      </c>
      <c r="B139" s="18">
        <v>0</v>
      </c>
      <c r="C139" s="18">
        <v>0</v>
      </c>
      <c r="D139" s="18"/>
      <c r="E139" s="18">
        <f t="shared" si="30"/>
        <v>0</v>
      </c>
      <c r="F139" s="18">
        <f t="shared" si="32"/>
        <v>-583810.3739252603</v>
      </c>
      <c r="G139" s="16">
        <f>'Proxy- Trueup &amp; Interest'!$B$38</f>
        <v>0.01</v>
      </c>
      <c r="H139" s="18">
        <f>F138*G139*30/365</f>
        <v>-479.8441429522687</v>
      </c>
      <c r="I139" s="18">
        <f t="shared" si="33"/>
        <v>-58074.277592793806</v>
      </c>
      <c r="J139" s="18">
        <f t="shared" si="31"/>
        <v>-641884.6515180541</v>
      </c>
    </row>
    <row r="140" spans="1:10" ht="12.75">
      <c r="A140" s="11" t="s">
        <v>15</v>
      </c>
      <c r="B140" s="18">
        <v>0</v>
      </c>
      <c r="C140" s="18">
        <v>0</v>
      </c>
      <c r="D140" s="18"/>
      <c r="E140" s="18">
        <f t="shared" si="30"/>
        <v>0</v>
      </c>
      <c r="F140" s="18">
        <f t="shared" si="32"/>
        <v>-583810.3739252603</v>
      </c>
      <c r="G140" s="16">
        <f>'Proxy- Trueup &amp; Interest'!$B$39</f>
        <v>0.0055</v>
      </c>
      <c r="H140" s="18">
        <f>F139*G140*31/365</f>
        <v>-272.7114212445394</v>
      </c>
      <c r="I140" s="18">
        <f t="shared" si="33"/>
        <v>-58346.98901403834</v>
      </c>
      <c r="J140" s="18">
        <f t="shared" si="31"/>
        <v>-642157.3629392986</v>
      </c>
    </row>
    <row r="141" spans="1:10" ht="12.75">
      <c r="A141" s="11" t="s">
        <v>16</v>
      </c>
      <c r="B141" s="18">
        <v>0</v>
      </c>
      <c r="C141" s="18">
        <v>0</v>
      </c>
      <c r="D141" s="18"/>
      <c r="E141" s="18">
        <f t="shared" si="30"/>
        <v>0</v>
      </c>
      <c r="F141" s="18">
        <f t="shared" si="32"/>
        <v>-583810.3739252603</v>
      </c>
      <c r="G141" s="16">
        <f>'Proxy- Trueup &amp; Interest'!$B$39</f>
        <v>0.0055</v>
      </c>
      <c r="H141" s="18">
        <f>F140*G141*31/365</f>
        <v>-272.7114212445394</v>
      </c>
      <c r="I141" s="18">
        <f t="shared" si="33"/>
        <v>-58619.70043528288</v>
      </c>
      <c r="J141" s="18">
        <f t="shared" si="31"/>
        <v>-642430.0743605432</v>
      </c>
    </row>
    <row r="142" spans="1:10" ht="12.75">
      <c r="A142" s="11" t="s">
        <v>17</v>
      </c>
      <c r="B142" s="18">
        <v>0</v>
      </c>
      <c r="C142" s="18">
        <v>0</v>
      </c>
      <c r="D142" s="18"/>
      <c r="E142" s="18">
        <f t="shared" si="30"/>
        <v>0</v>
      </c>
      <c r="F142" s="18">
        <f t="shared" si="32"/>
        <v>-583810.3739252603</v>
      </c>
      <c r="G142" s="16">
        <f>'Proxy- Trueup &amp; Interest'!$B$39</f>
        <v>0.0055</v>
      </c>
      <c r="H142" s="18">
        <f>F141*G142*30/365</f>
        <v>-263.9142786237478</v>
      </c>
      <c r="I142" s="18">
        <f t="shared" si="33"/>
        <v>-58883.61471390663</v>
      </c>
      <c r="J142" s="18">
        <f t="shared" si="31"/>
        <v>-642693.9886391669</v>
      </c>
    </row>
    <row r="143" spans="1:10" ht="12.75">
      <c r="A143" s="11" t="s">
        <v>6</v>
      </c>
      <c r="B143" s="18">
        <v>0</v>
      </c>
      <c r="C143" s="18">
        <v>0</v>
      </c>
      <c r="D143" s="18"/>
      <c r="E143" s="18">
        <f t="shared" si="30"/>
        <v>0</v>
      </c>
      <c r="F143" s="18">
        <f t="shared" si="32"/>
        <v>-583810.3739252603</v>
      </c>
      <c r="G143" s="16">
        <f>'Proxy- Trueup &amp; Interest'!$B$39</f>
        <v>0.0055</v>
      </c>
      <c r="H143" s="18">
        <f>F142*G143*31/365</f>
        <v>-272.7114212445394</v>
      </c>
      <c r="I143" s="18">
        <f t="shared" si="33"/>
        <v>-59156.32613515117</v>
      </c>
      <c r="J143" s="18">
        <f t="shared" si="31"/>
        <v>-642966.7000604115</v>
      </c>
    </row>
    <row r="144" spans="1:10" ht="12.75">
      <c r="A144" s="11" t="s">
        <v>7</v>
      </c>
      <c r="B144" s="20">
        <v>0</v>
      </c>
      <c r="C144" s="20">
        <v>0</v>
      </c>
      <c r="D144" s="20"/>
      <c r="E144" s="20">
        <f t="shared" si="30"/>
        <v>0</v>
      </c>
      <c r="F144" s="20">
        <f t="shared" si="32"/>
        <v>-583810.3739252603</v>
      </c>
      <c r="G144" s="16">
        <f>'Proxy- Trueup &amp; Interest'!$B$39</f>
        <v>0.0055</v>
      </c>
      <c r="H144" s="20">
        <f>F143*G144*30/365</f>
        <v>-263.9142786237478</v>
      </c>
      <c r="I144" s="20">
        <f t="shared" si="33"/>
        <v>-59420.24041377492</v>
      </c>
      <c r="J144" s="20">
        <f t="shared" si="31"/>
        <v>-643230.6143390352</v>
      </c>
    </row>
    <row r="145" spans="1:10" ht="12.75">
      <c r="A145" s="11" t="s">
        <v>8</v>
      </c>
      <c r="B145" s="19">
        <v>0</v>
      </c>
      <c r="C145" s="19">
        <v>0</v>
      </c>
      <c r="D145" s="19"/>
      <c r="E145" s="19">
        <f t="shared" si="30"/>
        <v>0</v>
      </c>
      <c r="F145" s="19">
        <f t="shared" si="32"/>
        <v>-583810.3739252603</v>
      </c>
      <c r="G145" s="17">
        <f>'Proxy- Trueup &amp; Interest'!$B$39</f>
        <v>0.0055</v>
      </c>
      <c r="H145" s="19">
        <f>F144*G145*31/365</f>
        <v>-272.7114212445394</v>
      </c>
      <c r="I145" s="19">
        <f t="shared" si="33"/>
        <v>-59692.951835019456</v>
      </c>
      <c r="J145" s="19">
        <f t="shared" si="31"/>
        <v>-643503.3257602798</v>
      </c>
    </row>
    <row r="146" spans="1:10" ht="12.75">
      <c r="A146" s="11" t="s">
        <v>44</v>
      </c>
      <c r="B146" s="20">
        <f>SUM(B134:B145)</f>
        <v>0</v>
      </c>
      <c r="C146" s="20">
        <f>SUM(C134:C145)</f>
        <v>0</v>
      </c>
      <c r="D146" s="20">
        <f>SUM(D134:D145)</f>
        <v>0</v>
      </c>
      <c r="E146" s="20">
        <f>SUM(E134:E145)</f>
        <v>0</v>
      </c>
      <c r="F146" s="20"/>
      <c r="G146" s="13"/>
      <c r="H146" s="20">
        <f>SUM(H134:H145)</f>
        <v>-6601.055926546712</v>
      </c>
      <c r="I146" s="20"/>
      <c r="J146" s="20"/>
    </row>
    <row r="148" spans="3:10" ht="12.75"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 t="s">
        <v>35</v>
      </c>
      <c r="B149" s="1">
        <v>2010</v>
      </c>
      <c r="C149" s="1"/>
      <c r="D149" s="6" t="s">
        <v>37</v>
      </c>
      <c r="E149" s="70" t="s">
        <v>39</v>
      </c>
      <c r="F149" s="70"/>
      <c r="G149" s="70" t="s">
        <v>41</v>
      </c>
      <c r="H149" s="70"/>
      <c r="I149" s="70"/>
      <c r="J149" s="1"/>
    </row>
    <row r="150" spans="1:10" s="10" customFormat="1" ht="25.5">
      <c r="A150" s="23"/>
      <c r="B150" s="6" t="s">
        <v>116</v>
      </c>
      <c r="C150" s="6" t="s">
        <v>45</v>
      </c>
      <c r="D150" s="6" t="s">
        <v>38</v>
      </c>
      <c r="E150" s="24" t="s">
        <v>40</v>
      </c>
      <c r="F150" s="24" t="s">
        <v>23</v>
      </c>
      <c r="G150" s="24" t="s">
        <v>42</v>
      </c>
      <c r="H150" s="24" t="s">
        <v>40</v>
      </c>
      <c r="I150" s="24" t="s">
        <v>23</v>
      </c>
      <c r="J150" s="24" t="s">
        <v>43</v>
      </c>
    </row>
    <row r="151" spans="1:10" ht="12.75">
      <c r="A151" s="11" t="s">
        <v>9</v>
      </c>
      <c r="B151" s="18">
        <v>0</v>
      </c>
      <c r="C151" s="18">
        <v>0</v>
      </c>
      <c r="D151" s="18"/>
      <c r="E151" s="18">
        <f>SUM(B151:D151)</f>
        <v>0</v>
      </c>
      <c r="F151" s="18">
        <f>F145+E152</f>
        <v>-583810.3739252603</v>
      </c>
      <c r="G151" s="16">
        <f>'Proxy- Trueup &amp; Interest'!$B$39</f>
        <v>0.0055</v>
      </c>
      <c r="H151" s="18">
        <f>F145*G151*31/365</f>
        <v>-272.7114212445394</v>
      </c>
      <c r="I151" s="18">
        <f>I145+H151</f>
        <v>-59965.66325626399</v>
      </c>
      <c r="J151" s="18">
        <f>F151+I151</f>
        <v>-643776.0371815242</v>
      </c>
    </row>
    <row r="152" spans="1:10" ht="12.75">
      <c r="A152" s="11" t="s">
        <v>10</v>
      </c>
      <c r="B152" s="18">
        <v>0</v>
      </c>
      <c r="C152" s="18">
        <v>0</v>
      </c>
      <c r="D152" s="18"/>
      <c r="E152" s="18">
        <f aca="true" t="shared" si="34" ref="E152:E162">SUM(B152:D152)</f>
        <v>0</v>
      </c>
      <c r="F152" s="18">
        <f>F151+E152</f>
        <v>-583810.3739252603</v>
      </c>
      <c r="G152" s="16">
        <f>'Proxy- Trueup &amp; Interest'!$B$39</f>
        <v>0.0055</v>
      </c>
      <c r="H152" s="18">
        <f>F151*G152*28/365</f>
        <v>-246.3199933821646</v>
      </c>
      <c r="I152" s="18">
        <f>I151+H152</f>
        <v>-60211.98324964616</v>
      </c>
      <c r="J152" s="18">
        <f aca="true" t="shared" si="35" ref="J152:J162">F152+I152</f>
        <v>-644022.3571749064</v>
      </c>
    </row>
    <row r="153" spans="1:10" ht="12.75">
      <c r="A153" s="11" t="s">
        <v>11</v>
      </c>
      <c r="B153" s="18">
        <v>0</v>
      </c>
      <c r="C153" s="18">
        <v>0</v>
      </c>
      <c r="D153" s="18"/>
      <c r="E153" s="18">
        <f t="shared" si="34"/>
        <v>0</v>
      </c>
      <c r="F153" s="18">
        <f aca="true" t="shared" si="36" ref="F153:F162">F152+E153</f>
        <v>-583810.3739252603</v>
      </c>
      <c r="G153" s="16">
        <f>'Proxy- Trueup &amp; Interest'!$B$39</f>
        <v>0.0055</v>
      </c>
      <c r="H153" s="18">
        <f>F152*G153*31/365</f>
        <v>-272.7114212445394</v>
      </c>
      <c r="I153" s="18">
        <f aca="true" t="shared" si="37" ref="I153:I162">I152+H153</f>
        <v>-60484.6946708907</v>
      </c>
      <c r="J153" s="18">
        <f t="shared" si="35"/>
        <v>-644295.068596151</v>
      </c>
    </row>
    <row r="154" spans="1:10" ht="12.75">
      <c r="A154" s="11" t="s">
        <v>12</v>
      </c>
      <c r="B154" s="18">
        <v>0</v>
      </c>
      <c r="C154" s="18">
        <v>0</v>
      </c>
      <c r="D154" s="18"/>
      <c r="E154" s="18">
        <f t="shared" si="34"/>
        <v>0</v>
      </c>
      <c r="F154" s="18">
        <f t="shared" si="36"/>
        <v>-583810.3739252603</v>
      </c>
      <c r="G154" s="16">
        <f>'Proxy- Trueup &amp; Interest'!$B$39</f>
        <v>0.0055</v>
      </c>
      <c r="H154" s="18">
        <f>F153*G154*30/365</f>
        <v>-263.9142786237478</v>
      </c>
      <c r="I154" s="18">
        <f t="shared" si="37"/>
        <v>-60748.60894951445</v>
      </c>
      <c r="J154" s="18">
        <f t="shared" si="35"/>
        <v>-644558.9828747747</v>
      </c>
    </row>
    <row r="155" spans="1:10" ht="12.75">
      <c r="A155" s="11" t="s">
        <v>13</v>
      </c>
      <c r="B155" s="18">
        <v>0</v>
      </c>
      <c r="C155" s="18">
        <v>0</v>
      </c>
      <c r="D155" s="18"/>
      <c r="E155" s="18">
        <f t="shared" si="34"/>
        <v>0</v>
      </c>
      <c r="F155" s="18">
        <f t="shared" si="36"/>
        <v>-583810.3739252603</v>
      </c>
      <c r="G155" s="16">
        <f>'Proxy- Trueup &amp; Interest'!$B$39</f>
        <v>0.0055</v>
      </c>
      <c r="H155" s="18">
        <f>F154*G155*31/365</f>
        <v>-272.7114212445394</v>
      </c>
      <c r="I155" s="18">
        <f t="shared" si="37"/>
        <v>-61021.320370758986</v>
      </c>
      <c r="J155" s="18">
        <f t="shared" si="35"/>
        <v>-644831.6942960193</v>
      </c>
    </row>
    <row r="156" spans="1:10" ht="12.75">
      <c r="A156" s="11" t="s">
        <v>14</v>
      </c>
      <c r="B156" s="18">
        <v>0</v>
      </c>
      <c r="C156" s="18">
        <v>0</v>
      </c>
      <c r="D156" s="18"/>
      <c r="E156" s="18">
        <f t="shared" si="34"/>
        <v>0</v>
      </c>
      <c r="F156" s="18">
        <f t="shared" si="36"/>
        <v>-583810.3739252603</v>
      </c>
      <c r="G156" s="16">
        <f>'Proxy- Trueup &amp; Interest'!$B$39</f>
        <v>0.0055</v>
      </c>
      <c r="H156" s="18">
        <f>F155*G156*30/365</f>
        <v>-263.9142786237478</v>
      </c>
      <c r="I156" s="18">
        <f t="shared" si="37"/>
        <v>-61285.234649382735</v>
      </c>
      <c r="J156" s="18">
        <f t="shared" si="35"/>
        <v>-645095.608574643</v>
      </c>
    </row>
    <row r="157" spans="1:10" ht="12.75">
      <c r="A157" s="11" t="s">
        <v>15</v>
      </c>
      <c r="B157" s="18">
        <v>0</v>
      </c>
      <c r="C157" s="18">
        <v>0</v>
      </c>
      <c r="D157" s="18"/>
      <c r="E157" s="18">
        <f t="shared" si="34"/>
        <v>0</v>
      </c>
      <c r="F157" s="18">
        <f t="shared" si="36"/>
        <v>-583810.3739252603</v>
      </c>
      <c r="G157" s="16">
        <f>'Proxy- Trueup &amp; Interest'!$B$43</f>
        <v>0.0089</v>
      </c>
      <c r="H157" s="18">
        <f>F156*G157*31/365</f>
        <v>-441.2966634684364</v>
      </c>
      <c r="I157" s="18">
        <f t="shared" si="37"/>
        <v>-61726.53131285117</v>
      </c>
      <c r="J157" s="18">
        <f t="shared" si="35"/>
        <v>-645536.9052381114</v>
      </c>
    </row>
    <row r="158" spans="1:10" ht="12.75">
      <c r="A158" s="11" t="s">
        <v>16</v>
      </c>
      <c r="B158" s="18">
        <v>0</v>
      </c>
      <c r="C158" s="18">
        <v>0</v>
      </c>
      <c r="D158" s="18"/>
      <c r="E158" s="18">
        <f t="shared" si="34"/>
        <v>0</v>
      </c>
      <c r="F158" s="18">
        <f t="shared" si="36"/>
        <v>-583810.3739252603</v>
      </c>
      <c r="G158" s="16">
        <f>'Proxy- Trueup &amp; Interest'!$B$43</f>
        <v>0.0089</v>
      </c>
      <c r="H158" s="18">
        <f>F157*G158*31/365</f>
        <v>-441.2966634684364</v>
      </c>
      <c r="I158" s="18">
        <f t="shared" si="37"/>
        <v>-62167.827976319604</v>
      </c>
      <c r="J158" s="18">
        <f t="shared" si="35"/>
        <v>-645978.2019015799</v>
      </c>
    </row>
    <row r="159" spans="1:10" ht="12.75">
      <c r="A159" s="11" t="s">
        <v>17</v>
      </c>
      <c r="B159" s="18">
        <v>0</v>
      </c>
      <c r="C159" s="18">
        <v>0</v>
      </c>
      <c r="D159" s="18"/>
      <c r="E159" s="18">
        <f t="shared" si="34"/>
        <v>0</v>
      </c>
      <c r="F159" s="18">
        <f t="shared" si="36"/>
        <v>-583810.3739252603</v>
      </c>
      <c r="G159" s="16">
        <f>'Proxy- Trueup &amp; Interest'!$B$43</f>
        <v>0.0089</v>
      </c>
      <c r="H159" s="18">
        <f>F158*G159*30/365</f>
        <v>-427.06128722751913</v>
      </c>
      <c r="I159" s="18">
        <f t="shared" si="37"/>
        <v>-62594.88926354712</v>
      </c>
      <c r="J159" s="18">
        <f t="shared" si="35"/>
        <v>-646405.2631888074</v>
      </c>
    </row>
    <row r="160" spans="1:10" ht="12.75">
      <c r="A160" s="11" t="s">
        <v>6</v>
      </c>
      <c r="B160" s="18">
        <v>0</v>
      </c>
      <c r="C160" s="18">
        <v>0</v>
      </c>
      <c r="D160" s="18"/>
      <c r="E160" s="18">
        <f t="shared" si="34"/>
        <v>0</v>
      </c>
      <c r="F160" s="18">
        <f t="shared" si="36"/>
        <v>-583810.3739252603</v>
      </c>
      <c r="G160" s="16">
        <f>'Proxy- Trueup &amp; Interest'!$B$44</f>
        <v>0.012</v>
      </c>
      <c r="H160" s="18">
        <f>F159*G160*31/365</f>
        <v>-595.0067372608132</v>
      </c>
      <c r="I160" s="18">
        <f t="shared" si="37"/>
        <v>-63189.89600080793</v>
      </c>
      <c r="J160" s="18">
        <f t="shared" si="35"/>
        <v>-647000.2699260681</v>
      </c>
    </row>
    <row r="161" spans="1:10" ht="12.75">
      <c r="A161" s="11" t="s">
        <v>7</v>
      </c>
      <c r="B161" s="18">
        <v>0</v>
      </c>
      <c r="C161" s="18">
        <v>0</v>
      </c>
      <c r="D161" s="18"/>
      <c r="E161" s="18">
        <f t="shared" si="34"/>
        <v>0</v>
      </c>
      <c r="F161" s="18">
        <f t="shared" si="36"/>
        <v>-583810.3739252603</v>
      </c>
      <c r="G161" s="16">
        <f>'Proxy- Trueup &amp; Interest'!$B$44</f>
        <v>0.012</v>
      </c>
      <c r="H161" s="18">
        <f>F160*G161*30/365</f>
        <v>-575.8129715427225</v>
      </c>
      <c r="I161" s="18">
        <f t="shared" si="37"/>
        <v>-63765.70897235065</v>
      </c>
      <c r="J161" s="18">
        <f t="shared" si="35"/>
        <v>-647576.082897611</v>
      </c>
    </row>
    <row r="162" spans="1:10" ht="12.75">
      <c r="A162" s="11" t="s">
        <v>8</v>
      </c>
      <c r="B162" s="19">
        <v>0</v>
      </c>
      <c r="C162" s="19">
        <v>0</v>
      </c>
      <c r="D162" s="19"/>
      <c r="E162" s="19">
        <f t="shared" si="34"/>
        <v>0</v>
      </c>
      <c r="F162" s="19">
        <f t="shared" si="36"/>
        <v>-583810.3739252603</v>
      </c>
      <c r="G162" s="17">
        <f>'Proxy- Trueup &amp; Interest'!$B$44</f>
        <v>0.012</v>
      </c>
      <c r="H162" s="19">
        <f>F161*G162*31/365</f>
        <v>-595.0067372608132</v>
      </c>
      <c r="I162" s="19">
        <f t="shared" si="37"/>
        <v>-64360.71570961146</v>
      </c>
      <c r="J162" s="19">
        <f t="shared" si="35"/>
        <v>-648171.0896348717</v>
      </c>
    </row>
    <row r="163" spans="1:10" ht="12.75">
      <c r="A163" s="11" t="s">
        <v>44</v>
      </c>
      <c r="B163" s="20">
        <f>SUM(B151:B162)</f>
        <v>0</v>
      </c>
      <c r="C163" s="20">
        <f>SUM(C151:C162)</f>
        <v>0</v>
      </c>
      <c r="D163" s="20">
        <f>SUM(D151:D162)</f>
        <v>0</v>
      </c>
      <c r="E163" s="20">
        <f>SUM(E151:E162)</f>
        <v>0</v>
      </c>
      <c r="F163" s="20"/>
      <c r="G163" s="13"/>
      <c r="H163" s="20">
        <f>SUM(H151:H162)</f>
        <v>-4667.763874592019</v>
      </c>
      <c r="I163" s="20"/>
      <c r="J163" s="20"/>
    </row>
    <row r="164" spans="8:10" ht="12.75">
      <c r="H164" s="18"/>
      <c r="I164" s="18"/>
      <c r="J164" s="18"/>
    </row>
    <row r="165" spans="3:10" ht="12.75"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 t="s">
        <v>35</v>
      </c>
      <c r="B166" s="1">
        <v>2011</v>
      </c>
      <c r="C166" s="1"/>
      <c r="D166" s="6" t="s">
        <v>37</v>
      </c>
      <c r="E166" s="70" t="s">
        <v>39</v>
      </c>
      <c r="F166" s="70"/>
      <c r="G166" s="70" t="s">
        <v>41</v>
      </c>
      <c r="H166" s="70"/>
      <c r="I166" s="70"/>
      <c r="J166" s="1"/>
    </row>
    <row r="167" spans="1:10" s="10" customFormat="1" ht="25.5">
      <c r="A167" s="23"/>
      <c r="B167" s="6" t="s">
        <v>116</v>
      </c>
      <c r="C167" s="6" t="s">
        <v>45</v>
      </c>
      <c r="D167" s="6" t="s">
        <v>38</v>
      </c>
      <c r="E167" s="24" t="s">
        <v>40</v>
      </c>
      <c r="F167" s="24" t="s">
        <v>23</v>
      </c>
      <c r="G167" s="24" t="s">
        <v>42</v>
      </c>
      <c r="H167" s="24" t="s">
        <v>40</v>
      </c>
      <c r="I167" s="24" t="s">
        <v>23</v>
      </c>
      <c r="J167" s="24" t="s">
        <v>43</v>
      </c>
    </row>
    <row r="168" spans="1:10" ht="12.75">
      <c r="A168" s="11" t="s">
        <v>9</v>
      </c>
      <c r="B168" s="18">
        <v>0</v>
      </c>
      <c r="C168" s="18">
        <v>0</v>
      </c>
      <c r="D168" s="18"/>
      <c r="E168" s="18">
        <f>SUM(B168:D168)</f>
        <v>0</v>
      </c>
      <c r="F168" s="18">
        <f>F162+E168</f>
        <v>-583810.3739252603</v>
      </c>
      <c r="G168" s="16">
        <f>'Proxy- Trueup &amp; Interest'!$B$45</f>
        <v>0.0147</v>
      </c>
      <c r="H168" s="18">
        <f>F162*G168*31/365</f>
        <v>-728.8832531444962</v>
      </c>
      <c r="I168" s="18">
        <f>I162+H168</f>
        <v>-65089.598962755954</v>
      </c>
      <c r="J168" s="18">
        <f>F168+I168</f>
        <v>-648899.9728880163</v>
      </c>
    </row>
    <row r="169" spans="1:10" ht="12.75">
      <c r="A169" s="11" t="s">
        <v>10</v>
      </c>
      <c r="B169" s="18">
        <v>0</v>
      </c>
      <c r="C169" s="18">
        <v>0</v>
      </c>
      <c r="D169" s="18"/>
      <c r="E169" s="18">
        <f aca="true" t="shared" si="38" ref="E169:E179">SUM(B169:D169)</f>
        <v>0</v>
      </c>
      <c r="F169" s="18">
        <f>F168+E169</f>
        <v>-583810.3739252603</v>
      </c>
      <c r="G169" s="16">
        <f>'Proxy- Trueup &amp; Interest'!$B$45</f>
        <v>0.0147</v>
      </c>
      <c r="H169" s="18">
        <f>F168*G169*28/365</f>
        <v>-658.3461641305126</v>
      </c>
      <c r="I169" s="18">
        <f>I168+H169</f>
        <v>-65747.94512688647</v>
      </c>
      <c r="J169" s="18">
        <f aca="true" t="shared" si="39" ref="J169:J179">F169+I169</f>
        <v>-649558.3190521467</v>
      </c>
    </row>
    <row r="170" spans="1:10" ht="12.75">
      <c r="A170" s="11" t="s">
        <v>11</v>
      </c>
      <c r="B170" s="18">
        <v>0</v>
      </c>
      <c r="C170" s="18">
        <v>0</v>
      </c>
      <c r="D170" s="18"/>
      <c r="E170" s="18">
        <f t="shared" si="38"/>
        <v>0</v>
      </c>
      <c r="F170" s="18">
        <f aca="true" t="shared" si="40" ref="F170:F179">F169+E170</f>
        <v>-583810.3739252603</v>
      </c>
      <c r="G170" s="16">
        <f>'Proxy- Trueup &amp; Interest'!$B$45</f>
        <v>0.0147</v>
      </c>
      <c r="H170" s="18">
        <f>F169*G170*31/365</f>
        <v>-728.8832531444962</v>
      </c>
      <c r="I170" s="18">
        <f aca="true" t="shared" si="41" ref="I170:I179">I169+H170</f>
        <v>-66476.82838003096</v>
      </c>
      <c r="J170" s="18">
        <f t="shared" si="39"/>
        <v>-650287.2023052912</v>
      </c>
    </row>
    <row r="171" spans="1:10" ht="12.75">
      <c r="A171" s="11" t="s">
        <v>12</v>
      </c>
      <c r="B171" s="18">
        <v>0</v>
      </c>
      <c r="C171" s="18">
        <v>0</v>
      </c>
      <c r="D171" s="18"/>
      <c r="E171" s="18">
        <f t="shared" si="38"/>
        <v>0</v>
      </c>
      <c r="F171" s="18">
        <f t="shared" si="40"/>
        <v>-583810.3739252603</v>
      </c>
      <c r="G171" s="16">
        <f>'Proxy- Trueup &amp; Interest'!$B$46</f>
        <v>0.0147</v>
      </c>
      <c r="H171" s="18">
        <f>F170*G171*30/365</f>
        <v>-705.370890139835</v>
      </c>
      <c r="I171" s="18">
        <f t="shared" si="41"/>
        <v>-67182.1992701708</v>
      </c>
      <c r="J171" s="18">
        <f t="shared" si="39"/>
        <v>-650992.573195431</v>
      </c>
    </row>
    <row r="172" spans="1:10" ht="12.75">
      <c r="A172" s="11" t="s">
        <v>13</v>
      </c>
      <c r="B172" s="18">
        <v>0</v>
      </c>
      <c r="C172" s="18">
        <v>0</v>
      </c>
      <c r="D172" s="18"/>
      <c r="E172" s="18">
        <f t="shared" si="38"/>
        <v>0</v>
      </c>
      <c r="F172" s="18">
        <f t="shared" si="40"/>
        <v>-583810.3739252603</v>
      </c>
      <c r="G172" s="16">
        <f>'Proxy- Trueup &amp; Interest'!$B$46</f>
        <v>0.0147</v>
      </c>
      <c r="H172" s="18">
        <f>F171*G172*31/365</f>
        <v>-728.8832531444962</v>
      </c>
      <c r="I172" s="18">
        <f t="shared" si="41"/>
        <v>-67911.08252331529</v>
      </c>
      <c r="J172" s="18">
        <f t="shared" si="39"/>
        <v>-651721.4564485756</v>
      </c>
    </row>
    <row r="173" spans="1:10" ht="12.75">
      <c r="A173" s="11" t="s">
        <v>14</v>
      </c>
      <c r="B173" s="18">
        <v>0</v>
      </c>
      <c r="C173" s="18">
        <v>0</v>
      </c>
      <c r="D173" s="18"/>
      <c r="E173" s="18">
        <f t="shared" si="38"/>
        <v>0</v>
      </c>
      <c r="F173" s="18">
        <f t="shared" si="40"/>
        <v>-583810.3739252603</v>
      </c>
      <c r="G173" s="16">
        <f>'Proxy- Trueup &amp; Interest'!$B$46</f>
        <v>0.0147</v>
      </c>
      <c r="H173" s="18">
        <f>F172*G173*30/365</f>
        <v>-705.370890139835</v>
      </c>
      <c r="I173" s="18">
        <f t="shared" si="41"/>
        <v>-68616.45341345512</v>
      </c>
      <c r="J173" s="18">
        <f t="shared" si="39"/>
        <v>-652426.8273387154</v>
      </c>
    </row>
    <row r="174" spans="1:10" ht="12.75">
      <c r="A174" s="11" t="s">
        <v>15</v>
      </c>
      <c r="B174" s="18">
        <v>0</v>
      </c>
      <c r="C174" s="18">
        <v>0</v>
      </c>
      <c r="D174" s="18"/>
      <c r="E174" s="18">
        <f t="shared" si="38"/>
        <v>0</v>
      </c>
      <c r="F174" s="18">
        <f t="shared" si="40"/>
        <v>-583810.3739252603</v>
      </c>
      <c r="G174" s="16">
        <f>'Proxy- Trueup &amp; Interest'!$B$47</f>
        <v>0.0147</v>
      </c>
      <c r="H174" s="18">
        <f>F173*G174*31/365</f>
        <v>-728.8832531444962</v>
      </c>
      <c r="I174" s="18">
        <f t="shared" si="41"/>
        <v>-69345.33666659961</v>
      </c>
      <c r="J174" s="18">
        <f t="shared" si="39"/>
        <v>-653155.7105918599</v>
      </c>
    </row>
    <row r="175" spans="1:10" ht="12.75">
      <c r="A175" s="11" t="s">
        <v>16</v>
      </c>
      <c r="B175" s="18">
        <v>0</v>
      </c>
      <c r="C175" s="18">
        <v>0</v>
      </c>
      <c r="D175" s="18"/>
      <c r="E175" s="18">
        <f t="shared" si="38"/>
        <v>0</v>
      </c>
      <c r="F175" s="18">
        <f t="shared" si="40"/>
        <v>-583810.3739252603</v>
      </c>
      <c r="G175" s="16">
        <f>'Proxy- Trueup &amp; Interest'!$B$47</f>
        <v>0.0147</v>
      </c>
      <c r="H175" s="18">
        <f>F174*G175*31/365</f>
        <v>-728.8832531444962</v>
      </c>
      <c r="I175" s="18">
        <f t="shared" si="41"/>
        <v>-70074.21991974411</v>
      </c>
      <c r="J175" s="18">
        <f t="shared" si="39"/>
        <v>-653884.5938450043</v>
      </c>
    </row>
    <row r="176" spans="1:10" ht="12.75">
      <c r="A176" s="11" t="s">
        <v>17</v>
      </c>
      <c r="B176" s="18">
        <v>0</v>
      </c>
      <c r="C176" s="18">
        <v>0</v>
      </c>
      <c r="D176" s="18"/>
      <c r="E176" s="18">
        <f t="shared" si="38"/>
        <v>0</v>
      </c>
      <c r="F176" s="18">
        <f t="shared" si="40"/>
        <v>-583810.3739252603</v>
      </c>
      <c r="G176" s="16">
        <f>'Proxy- Trueup &amp; Interest'!$B$47</f>
        <v>0.0147</v>
      </c>
      <c r="H176" s="18">
        <f>F175*G176*30/365</f>
        <v>-705.370890139835</v>
      </c>
      <c r="I176" s="18">
        <f t="shared" si="41"/>
        <v>-70779.59080988394</v>
      </c>
      <c r="J176" s="18">
        <f t="shared" si="39"/>
        <v>-654589.9647351442</v>
      </c>
    </row>
    <row r="177" spans="1:10" ht="12.75">
      <c r="A177" s="11" t="s">
        <v>6</v>
      </c>
      <c r="B177" s="18">
        <v>0</v>
      </c>
      <c r="C177" s="18">
        <v>0</v>
      </c>
      <c r="D177" s="18"/>
      <c r="E177" s="18">
        <f t="shared" si="38"/>
        <v>0</v>
      </c>
      <c r="F177" s="18">
        <f t="shared" si="40"/>
        <v>-583810.3739252603</v>
      </c>
      <c r="G177" s="16">
        <f>'Proxy- Trueup &amp; Interest'!$B$48</f>
        <v>0.0147</v>
      </c>
      <c r="H177" s="18">
        <f>F176*G177*31/365</f>
        <v>-728.8832531444962</v>
      </c>
      <c r="I177" s="18">
        <f t="shared" si="41"/>
        <v>-71508.47406302844</v>
      </c>
      <c r="J177" s="18">
        <f t="shared" si="39"/>
        <v>-655318.8479882887</v>
      </c>
    </row>
    <row r="178" spans="1:10" ht="12.75">
      <c r="A178" s="11" t="s">
        <v>7</v>
      </c>
      <c r="B178" s="18">
        <v>0</v>
      </c>
      <c r="C178" s="18">
        <v>0</v>
      </c>
      <c r="D178" s="18"/>
      <c r="E178" s="18">
        <f t="shared" si="38"/>
        <v>0</v>
      </c>
      <c r="F178" s="18">
        <f t="shared" si="40"/>
        <v>-583810.3739252603</v>
      </c>
      <c r="G178" s="16">
        <f>'Proxy- Trueup &amp; Interest'!$B$48</f>
        <v>0.0147</v>
      </c>
      <c r="H178" s="18">
        <f>F177*G178*30/365</f>
        <v>-705.370890139835</v>
      </c>
      <c r="I178" s="18">
        <f t="shared" si="41"/>
        <v>-72213.84495316827</v>
      </c>
      <c r="J178" s="18">
        <f t="shared" si="39"/>
        <v>-656024.2188784286</v>
      </c>
    </row>
    <row r="179" spans="1:10" ht="12.75">
      <c r="A179" s="11" t="s">
        <v>8</v>
      </c>
      <c r="B179" s="19">
        <v>0</v>
      </c>
      <c r="C179" s="19">
        <v>0</v>
      </c>
      <c r="D179" s="19"/>
      <c r="E179" s="19">
        <f t="shared" si="38"/>
        <v>0</v>
      </c>
      <c r="F179" s="19">
        <f t="shared" si="40"/>
        <v>-583810.3739252603</v>
      </c>
      <c r="G179" s="17">
        <f>'Proxy- Trueup &amp; Interest'!$B$48</f>
        <v>0.0147</v>
      </c>
      <c r="H179" s="19">
        <f>F178*G179*31/365</f>
        <v>-728.8832531444962</v>
      </c>
      <c r="I179" s="19">
        <f t="shared" si="41"/>
        <v>-72942.72820631276</v>
      </c>
      <c r="J179" s="19">
        <f t="shared" si="39"/>
        <v>-656753.102131573</v>
      </c>
    </row>
    <row r="180" spans="1:10" ht="12.75">
      <c r="A180" s="11" t="s">
        <v>44</v>
      </c>
      <c r="B180" s="20">
        <f>SUM(B168:B179)</f>
        <v>0</v>
      </c>
      <c r="C180" s="20">
        <f>SUM(C168:C179)</f>
        <v>0</v>
      </c>
      <c r="D180" s="20">
        <f>SUM(D168:D179)</f>
        <v>0</v>
      </c>
      <c r="E180" s="20">
        <f>SUM(E168:E179)</f>
        <v>0</v>
      </c>
      <c r="F180" s="20"/>
      <c r="G180" s="13"/>
      <c r="H180" s="20">
        <f>SUM(H168:H179)</f>
        <v>-8582.012496701325</v>
      </c>
      <c r="I180" s="20"/>
      <c r="J180" s="20"/>
    </row>
    <row r="182" spans="3:10" ht="12.75"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 t="s">
        <v>35</v>
      </c>
      <c r="B183" s="1">
        <v>2012</v>
      </c>
      <c r="C183" s="1"/>
      <c r="D183" s="6" t="s">
        <v>37</v>
      </c>
      <c r="E183" s="70" t="s">
        <v>39</v>
      </c>
      <c r="F183" s="70"/>
      <c r="G183" s="70" t="s">
        <v>41</v>
      </c>
      <c r="H183" s="70"/>
      <c r="I183" s="70"/>
      <c r="J183" s="1"/>
    </row>
    <row r="184" spans="1:10" s="10" customFormat="1" ht="25.5">
      <c r="A184" s="23"/>
      <c r="B184" s="6" t="s">
        <v>116</v>
      </c>
      <c r="C184" s="6" t="s">
        <v>45</v>
      </c>
      <c r="D184" s="6" t="s">
        <v>38</v>
      </c>
      <c r="E184" s="24" t="s">
        <v>40</v>
      </c>
      <c r="F184" s="24" t="s">
        <v>23</v>
      </c>
      <c r="G184" s="24" t="s">
        <v>42</v>
      </c>
      <c r="H184" s="24" t="s">
        <v>40</v>
      </c>
      <c r="I184" s="24" t="s">
        <v>23</v>
      </c>
      <c r="J184" s="24" t="s">
        <v>43</v>
      </c>
    </row>
    <row r="185" spans="1:10" ht="12.75">
      <c r="A185" s="11" t="s">
        <v>9</v>
      </c>
      <c r="B185" s="18">
        <v>0</v>
      </c>
      <c r="C185" s="18">
        <v>0</v>
      </c>
      <c r="D185" s="18"/>
      <c r="E185" s="18">
        <f>SUM(B185:D185)</f>
        <v>0</v>
      </c>
      <c r="F185" s="18">
        <f>F179+E185</f>
        <v>-583810.3739252603</v>
      </c>
      <c r="G185" s="16">
        <f>'Proxy- Trueup &amp; Interest'!$B$49</f>
        <v>0.0147</v>
      </c>
      <c r="H185" s="18">
        <f>F179*G185*31/366</f>
        <v>-726.8917688462872</v>
      </c>
      <c r="I185" s="18">
        <f>I179+H185</f>
        <v>-73669.61997515905</v>
      </c>
      <c r="J185" s="18">
        <f>F185+I185</f>
        <v>-657479.9939004193</v>
      </c>
    </row>
    <row r="186" spans="1:10" ht="12.75">
      <c r="A186" s="11" t="s">
        <v>10</v>
      </c>
      <c r="B186" s="18">
        <v>0</v>
      </c>
      <c r="C186" s="18">
        <v>0</v>
      </c>
      <c r="D186" s="18"/>
      <c r="E186" s="18">
        <f>SUM(B186:D186)</f>
        <v>0</v>
      </c>
      <c r="F186" s="18">
        <f>F185+E186</f>
        <v>-583810.3739252603</v>
      </c>
      <c r="G186" s="16">
        <f>'Proxy- Trueup &amp; Interest'!$B$49</f>
        <v>0.0147</v>
      </c>
      <c r="H186" s="18">
        <f>F185*G186*29/366</f>
        <v>-679.9955256949138</v>
      </c>
      <c r="I186" s="18">
        <f>I185+H186</f>
        <v>-74349.61550085396</v>
      </c>
      <c r="J186" s="18">
        <f>F186+I186</f>
        <v>-658159.9894261142</v>
      </c>
    </row>
    <row r="187" spans="1:10" ht="12.75">
      <c r="A187" s="11" t="s">
        <v>11</v>
      </c>
      <c r="B187" s="18">
        <v>0</v>
      </c>
      <c r="C187" s="18">
        <v>0</v>
      </c>
      <c r="D187" s="18"/>
      <c r="E187" s="18">
        <f>SUM(B187:D187)</f>
        <v>0</v>
      </c>
      <c r="F187" s="18">
        <f>F186+E187</f>
        <v>-583810.3739252603</v>
      </c>
      <c r="G187" s="16">
        <f>'Proxy- Trueup &amp; Interest'!$B$49</f>
        <v>0.0147</v>
      </c>
      <c r="H187" s="18">
        <f>F186*G187*31/366</f>
        <v>-726.8917688462872</v>
      </c>
      <c r="I187" s="18">
        <f>I186+H187</f>
        <v>-75076.50726970025</v>
      </c>
      <c r="J187" s="18">
        <f>F187+I187</f>
        <v>-658886.8811949606</v>
      </c>
    </row>
    <row r="188" spans="1:10" ht="12.75">
      <c r="A188" s="11" t="s">
        <v>12</v>
      </c>
      <c r="B188" s="18">
        <v>0</v>
      </c>
      <c r="C188" s="18">
        <v>0</v>
      </c>
      <c r="D188" s="18"/>
      <c r="E188" s="18">
        <f>SUM(B188:D188)</f>
        <v>0</v>
      </c>
      <c r="F188" s="18">
        <f>F187+E188</f>
        <v>-583810.3739252603</v>
      </c>
      <c r="G188" s="16">
        <f>'Proxy- Trueup &amp; Interest'!$B$49</f>
        <v>0.0147</v>
      </c>
      <c r="H188" s="18">
        <f>F187*G188*30/366</f>
        <v>-703.4436472706004</v>
      </c>
      <c r="I188" s="18">
        <f>I187+H188</f>
        <v>-75779.95091697085</v>
      </c>
      <c r="J188" s="18">
        <f>F188+I188</f>
        <v>-659590.3248422311</v>
      </c>
    </row>
    <row r="189" spans="1:10" ht="12.75">
      <c r="A189" s="11" t="s">
        <v>13</v>
      </c>
      <c r="B189" s="18"/>
      <c r="C189" s="18"/>
      <c r="D189" s="18"/>
      <c r="E189" s="18"/>
      <c r="F189" s="18"/>
      <c r="H189" s="18"/>
      <c r="I189" s="18"/>
      <c r="J189" s="18"/>
    </row>
    <row r="190" spans="1:10" ht="12.75">
      <c r="A190" s="11" t="s">
        <v>14</v>
      </c>
      <c r="B190" s="18"/>
      <c r="C190" s="18"/>
      <c r="D190" s="18"/>
      <c r="E190" s="18"/>
      <c r="F190" s="18"/>
      <c r="H190" s="18"/>
      <c r="I190" s="18"/>
      <c r="J190" s="18"/>
    </row>
    <row r="191" spans="1:10" ht="12.75">
      <c r="A191" s="11" t="s">
        <v>15</v>
      </c>
      <c r="B191" s="18"/>
      <c r="C191" s="18"/>
      <c r="D191" s="18"/>
      <c r="E191" s="18"/>
      <c r="F191" s="18"/>
      <c r="H191" s="18"/>
      <c r="I191" s="18"/>
      <c r="J191" s="18"/>
    </row>
    <row r="192" spans="1:10" ht="12.75">
      <c r="A192" s="11" t="s">
        <v>16</v>
      </c>
      <c r="B192" s="18"/>
      <c r="C192" s="18"/>
      <c r="D192" s="18"/>
      <c r="E192" s="18"/>
      <c r="F192" s="18"/>
      <c r="H192" s="18"/>
      <c r="I192" s="18"/>
      <c r="J192" s="18"/>
    </row>
    <row r="193" spans="1:10" ht="12.75">
      <c r="A193" s="11" t="s">
        <v>17</v>
      </c>
      <c r="B193" s="18"/>
      <c r="C193" s="18"/>
      <c r="D193" s="18"/>
      <c r="E193" s="18"/>
      <c r="F193" s="18"/>
      <c r="H193" s="18"/>
      <c r="I193" s="18"/>
      <c r="J193" s="18"/>
    </row>
    <row r="194" spans="1:10" ht="12.75">
      <c r="A194" s="11" t="s">
        <v>6</v>
      </c>
      <c r="B194" s="18"/>
      <c r="C194" s="18"/>
      <c r="D194" s="18"/>
      <c r="E194" s="18"/>
      <c r="F194" s="18"/>
      <c r="H194" s="18"/>
      <c r="I194" s="18"/>
      <c r="J194" s="18"/>
    </row>
    <row r="195" spans="1:10" ht="12.75">
      <c r="A195" s="11" t="s">
        <v>7</v>
      </c>
      <c r="B195" s="18"/>
      <c r="C195" s="18"/>
      <c r="D195" s="18"/>
      <c r="E195" s="18"/>
      <c r="F195" s="18"/>
      <c r="H195" s="18"/>
      <c r="I195" s="18"/>
      <c r="J195" s="18"/>
    </row>
    <row r="196" spans="1:10" ht="12.75">
      <c r="A196" s="11" t="s">
        <v>8</v>
      </c>
      <c r="B196" s="19"/>
      <c r="C196" s="19"/>
      <c r="D196" s="19"/>
      <c r="E196" s="19"/>
      <c r="F196" s="19"/>
      <c r="G196" s="12"/>
      <c r="H196" s="19"/>
      <c r="I196" s="19"/>
      <c r="J196" s="19"/>
    </row>
    <row r="197" spans="1:10" ht="12.75">
      <c r="A197" s="11" t="s">
        <v>44</v>
      </c>
      <c r="B197" s="20">
        <f>SUM(B185:B196)</f>
        <v>0</v>
      </c>
      <c r="C197" s="20">
        <f>SUM(C185:C196)</f>
        <v>0</v>
      </c>
      <c r="D197" s="20">
        <f>SUM(D185:D196)</f>
        <v>0</v>
      </c>
      <c r="E197" s="20">
        <f>SUM(E185:E196)</f>
        <v>0</v>
      </c>
      <c r="F197" s="20"/>
      <c r="G197" s="13"/>
      <c r="H197" s="20">
        <f>SUM(H185:H196)</f>
        <v>-2837.2227106580885</v>
      </c>
      <c r="I197" s="20"/>
      <c r="J197" s="20"/>
    </row>
    <row r="199" spans="1:10" ht="13.5" thickBot="1">
      <c r="A199" s="1" t="s">
        <v>107</v>
      </c>
      <c r="B199" s="68">
        <f>B197+B180+B163+B146+B129+B112+B95+B78+B61+B44+B27+B10</f>
        <v>4443707.916666666</v>
      </c>
      <c r="C199" s="68">
        <f>C197+C180+C163+C146+C129+C112+C95+C78+C61+C44+C27+C10</f>
        <v>-4429990.281602833</v>
      </c>
      <c r="D199" s="68">
        <f>D197+D180+D163+D146+D129+D112+D95+D78+D61+D44+D27+D10</f>
        <v>-597528.0089890934</v>
      </c>
      <c r="E199" s="68">
        <f>E197+E180+E163+E146+E129+E112+E95+E78+E61+E44+E27+E10</f>
        <v>-583810.3739252603</v>
      </c>
      <c r="F199" s="68"/>
      <c r="G199" s="68"/>
      <c r="H199" s="68">
        <f>H197+H180+H163+H146+H129+H112+H95+H78+H61+H44+H27+H10</f>
        <v>-75779.95091697089</v>
      </c>
      <c r="I199" s="68"/>
      <c r="J199" s="68">
        <f>E199+H199</f>
        <v>-659590.3248422311</v>
      </c>
    </row>
    <row r="200" ht="13.5" thickTop="1"/>
  </sheetData>
  <sheetProtection/>
  <mergeCells count="26">
    <mergeCell ref="E98:F98"/>
    <mergeCell ref="G98:I98"/>
    <mergeCell ref="E183:F183"/>
    <mergeCell ref="G183:I183"/>
    <mergeCell ref="E132:F132"/>
    <mergeCell ref="G132:I132"/>
    <mergeCell ref="E149:F149"/>
    <mergeCell ref="G149:I149"/>
    <mergeCell ref="E166:F166"/>
    <mergeCell ref="G166:I166"/>
    <mergeCell ref="E115:F115"/>
    <mergeCell ref="G115:I115"/>
    <mergeCell ref="E30:F30"/>
    <mergeCell ref="G30:I30"/>
    <mergeCell ref="E47:F47"/>
    <mergeCell ref="G47:I47"/>
    <mergeCell ref="E64:F64"/>
    <mergeCell ref="G64:I64"/>
    <mergeCell ref="E81:F81"/>
    <mergeCell ref="G81:I81"/>
    <mergeCell ref="E13:F13"/>
    <mergeCell ref="G13:I13"/>
    <mergeCell ref="A1:J1"/>
    <mergeCell ref="A2:J2"/>
    <mergeCell ref="E5:F5"/>
    <mergeCell ref="G5:I5"/>
  </mergeCells>
  <printOptions/>
  <pageMargins left="0.2755905511811024" right="0.15748031496062992" top="0.2755905511811024" bottom="0.35433070866141736" header="0.15748031496062992" footer="0.15748031496062992"/>
  <pageSetup fitToHeight="5" fitToWidth="1" horizontalDpi="600" verticalDpi="600" orientation="portrait" scale="71" r:id="rId1"/>
  <headerFooter alignWithMargins="0">
    <oddFooter>&amp;R&amp;Z&amp;F</oddFooter>
  </headerFooter>
  <rowBreaks count="2" manualBreakCount="2">
    <brk id="63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45"/>
  <sheetViews>
    <sheetView zoomScalePageLayoutView="0" workbookViewId="0" topLeftCell="A202">
      <selection activeCell="H246" sqref="H246"/>
    </sheetView>
  </sheetViews>
  <sheetFormatPr defaultColWidth="9.140625" defaultRowHeight="12.75"/>
  <cols>
    <col min="1" max="1" width="14.8515625" style="0" bestFit="1" customWidth="1"/>
    <col min="2" max="2" width="12.28125" style="0" bestFit="1" customWidth="1"/>
    <col min="3" max="4" width="11.421875" style="0" bestFit="1" customWidth="1"/>
    <col min="5" max="5" width="11.28125" style="0" bestFit="1" customWidth="1"/>
    <col min="6" max="6" width="11.28125" style="0" customWidth="1"/>
    <col min="7" max="7" width="12.28125" style="0" bestFit="1" customWidth="1"/>
    <col min="8" max="8" width="5.28125" style="0" customWidth="1"/>
    <col min="9" max="9" width="11.7109375" style="0" customWidth="1"/>
    <col min="10" max="10" width="10.28125" style="0" customWidth="1"/>
    <col min="11" max="11" width="11.140625" style="0" customWidth="1"/>
    <col min="12" max="12" width="11.00390625" style="0" customWidth="1"/>
    <col min="13" max="13" width="10.00390625" style="0" customWidth="1"/>
    <col min="14" max="14" width="12.140625" style="0" customWidth="1"/>
  </cols>
  <sheetData>
    <row r="1" spans="1:19" ht="12.75">
      <c r="A1" s="28" t="s">
        <v>48</v>
      </c>
      <c r="B1" s="26" t="s">
        <v>49</v>
      </c>
      <c r="C1" s="26" t="s">
        <v>50</v>
      </c>
      <c r="D1" s="26" t="s">
        <v>51</v>
      </c>
      <c r="E1" s="26" t="s">
        <v>52</v>
      </c>
      <c r="F1" s="26" t="s">
        <v>53</v>
      </c>
      <c r="G1" s="26"/>
      <c r="I1" s="25" t="s">
        <v>65</v>
      </c>
      <c r="J1" s="27"/>
      <c r="K1" s="27"/>
      <c r="L1" s="27"/>
      <c r="M1" s="27"/>
      <c r="N1" s="36"/>
      <c r="S1" s="26"/>
    </row>
    <row r="2" spans="1:19" ht="12.75">
      <c r="A2" s="29">
        <v>2006</v>
      </c>
      <c r="B2" s="26" t="s">
        <v>54</v>
      </c>
      <c r="C2" s="26" t="s">
        <v>55</v>
      </c>
      <c r="D2" s="26" t="s">
        <v>56</v>
      </c>
      <c r="E2" s="26" t="s">
        <v>57</v>
      </c>
      <c r="F2" s="26" t="s">
        <v>58</v>
      </c>
      <c r="G2" s="26" t="s">
        <v>44</v>
      </c>
      <c r="I2" s="27" t="s">
        <v>54</v>
      </c>
      <c r="J2" s="36" t="s">
        <v>55</v>
      </c>
      <c r="K2" s="36" t="s">
        <v>56</v>
      </c>
      <c r="L2" s="36" t="s">
        <v>57</v>
      </c>
      <c r="M2" s="36" t="s">
        <v>58</v>
      </c>
      <c r="N2" s="36" t="s">
        <v>44</v>
      </c>
      <c r="S2" s="27"/>
    </row>
    <row r="3" spans="1:19" ht="12.75">
      <c r="A3" s="26" t="s">
        <v>28</v>
      </c>
      <c r="B3" s="30">
        <v>16231852</v>
      </c>
      <c r="C3" s="30">
        <v>2472356</v>
      </c>
      <c r="D3" s="30">
        <v>3371212</v>
      </c>
      <c r="E3" s="30">
        <v>11155</v>
      </c>
      <c r="F3" s="30">
        <v>119311</v>
      </c>
      <c r="G3" s="30">
        <f>SUM(B3:F3)</f>
        <v>22205886</v>
      </c>
      <c r="I3" s="44">
        <f aca="true" t="shared" si="0" ref="I3:J7">+B3*J$11</f>
        <v>76289.7044</v>
      </c>
      <c r="J3" s="44">
        <f t="shared" si="0"/>
        <v>8900.4816</v>
      </c>
      <c r="K3" s="44">
        <f aca="true" t="shared" si="1" ref="K3:M7">+B11*L$11</f>
        <v>7342.9123</v>
      </c>
      <c r="L3" s="44">
        <f t="shared" si="1"/>
        <v>47.8485</v>
      </c>
      <c r="M3" s="44">
        <f t="shared" si="1"/>
        <v>438.97220000000004</v>
      </c>
      <c r="N3" s="44">
        <f>SUM(I3:M3)</f>
        <v>93019.919</v>
      </c>
      <c r="S3" s="27"/>
    </row>
    <row r="4" spans="1:19" ht="12.75">
      <c r="A4" s="26" t="s">
        <v>29</v>
      </c>
      <c r="B4" s="30">
        <v>15807296</v>
      </c>
      <c r="C4" s="30">
        <v>2490759</v>
      </c>
      <c r="D4" s="30">
        <v>3588431</v>
      </c>
      <c r="E4" s="30">
        <v>11132</v>
      </c>
      <c r="F4" s="30">
        <v>119311</v>
      </c>
      <c r="G4" s="30">
        <f>SUM(B4:F4)</f>
        <v>22016929</v>
      </c>
      <c r="I4" s="44">
        <f t="shared" si="0"/>
        <v>74294.2912</v>
      </c>
      <c r="J4" s="44">
        <f t="shared" si="0"/>
        <v>8966.732399999999</v>
      </c>
      <c r="K4" s="44">
        <f t="shared" si="1"/>
        <v>7239.491</v>
      </c>
      <c r="L4" s="44">
        <f t="shared" si="1"/>
        <v>47.8485</v>
      </c>
      <c r="M4" s="44">
        <f t="shared" si="1"/>
        <v>438.97220000000004</v>
      </c>
      <c r="N4" s="44">
        <f>SUM(I4:M4)</f>
        <v>90987.33529999999</v>
      </c>
      <c r="S4" s="27"/>
    </row>
    <row r="5" spans="1:19" ht="12.75">
      <c r="A5" s="26" t="s">
        <v>30</v>
      </c>
      <c r="B5" s="30">
        <v>15621439</v>
      </c>
      <c r="C5" s="30">
        <v>2298093</v>
      </c>
      <c r="D5" s="30">
        <v>3374672</v>
      </c>
      <c r="E5" s="30">
        <v>11134</v>
      </c>
      <c r="F5" s="30">
        <v>119311</v>
      </c>
      <c r="G5" s="30">
        <f>SUM(B5:F5)</f>
        <v>21424649</v>
      </c>
      <c r="I5" s="44">
        <f t="shared" si="0"/>
        <v>73420.7633</v>
      </c>
      <c r="J5" s="44">
        <f t="shared" si="0"/>
        <v>8273.1348</v>
      </c>
      <c r="K5" s="44">
        <f t="shared" si="1"/>
        <v>7143.6187</v>
      </c>
      <c r="L5" s="44">
        <f t="shared" si="1"/>
        <v>47.8485</v>
      </c>
      <c r="M5" s="44">
        <f t="shared" si="1"/>
        <v>438.97220000000004</v>
      </c>
      <c r="N5" s="44">
        <f>SUM(I5:M5)</f>
        <v>89324.33750000001</v>
      </c>
      <c r="S5" s="27"/>
    </row>
    <row r="6" spans="1:19" ht="12.75">
      <c r="A6" s="26" t="s">
        <v>31</v>
      </c>
      <c r="B6" s="30">
        <v>13270734</v>
      </c>
      <c r="C6" s="30">
        <v>2108802</v>
      </c>
      <c r="D6" s="30">
        <v>3222013</v>
      </c>
      <c r="E6" s="30">
        <v>11134</v>
      </c>
      <c r="F6" s="30">
        <v>119311</v>
      </c>
      <c r="G6" s="30">
        <f>SUM(B6:F6)</f>
        <v>18731994</v>
      </c>
      <c r="I6" s="44">
        <f t="shared" si="0"/>
        <v>62372.4498</v>
      </c>
      <c r="J6" s="44">
        <f t="shared" si="0"/>
        <v>7591.687199999999</v>
      </c>
      <c r="K6" s="44">
        <f t="shared" si="1"/>
        <v>7146.6383000000005</v>
      </c>
      <c r="L6" s="44">
        <f t="shared" si="1"/>
        <v>47.8485</v>
      </c>
      <c r="M6" s="44">
        <f t="shared" si="1"/>
        <v>438.97220000000004</v>
      </c>
      <c r="N6" s="44">
        <f>SUM(I6:M6)</f>
        <v>77597.596</v>
      </c>
      <c r="S6" s="27"/>
    </row>
    <row r="7" spans="1:19" ht="12.75">
      <c r="A7" s="26" t="s">
        <v>13</v>
      </c>
      <c r="B7" s="30">
        <v>11078514</v>
      </c>
      <c r="C7" s="30">
        <v>1972373</v>
      </c>
      <c r="D7" s="30">
        <v>3132248</v>
      </c>
      <c r="E7" s="30">
        <v>11137</v>
      </c>
      <c r="F7" s="30">
        <v>119858</v>
      </c>
      <c r="G7" s="30">
        <f>SUM(B7:F7)</f>
        <v>16314130</v>
      </c>
      <c r="I7" s="44">
        <f t="shared" si="0"/>
        <v>52069.0158</v>
      </c>
      <c r="J7" s="44">
        <f t="shared" si="0"/>
        <v>7100.5428</v>
      </c>
      <c r="K7" s="44">
        <f t="shared" si="1"/>
        <v>7194.9519</v>
      </c>
      <c r="L7" s="44">
        <f t="shared" si="1"/>
        <v>47.8485</v>
      </c>
      <c r="M7" s="44">
        <f t="shared" si="1"/>
        <v>441.6246</v>
      </c>
      <c r="N7" s="44">
        <f>SUM(I7:M7)</f>
        <v>66853.98359999999</v>
      </c>
      <c r="S7" s="27"/>
    </row>
    <row r="8" spans="1:19" ht="12.75">
      <c r="A8" s="26"/>
      <c r="B8" s="32"/>
      <c r="C8" s="33"/>
      <c r="D8" s="32"/>
      <c r="E8" s="32"/>
      <c r="F8" s="32"/>
      <c r="G8" s="32"/>
      <c r="H8" s="32"/>
      <c r="I8" s="45">
        <f aca="true" t="shared" si="2" ref="I8:N8">SUM(I3:I7)</f>
        <v>338446.2245</v>
      </c>
      <c r="J8" s="45">
        <f t="shared" si="2"/>
        <v>40832.5788</v>
      </c>
      <c r="K8" s="45">
        <f t="shared" si="2"/>
        <v>36067.6122</v>
      </c>
      <c r="L8" s="45">
        <f t="shared" si="2"/>
        <v>239.2425</v>
      </c>
      <c r="M8" s="45">
        <f t="shared" si="2"/>
        <v>2197.5134000000003</v>
      </c>
      <c r="N8" s="45">
        <f t="shared" si="2"/>
        <v>417783.1714</v>
      </c>
      <c r="S8" s="26"/>
    </row>
    <row r="9" spans="1:19" ht="12.75">
      <c r="A9" s="28" t="s">
        <v>61</v>
      </c>
      <c r="B9" s="26" t="s">
        <v>51</v>
      </c>
      <c r="C9" s="26" t="s">
        <v>52</v>
      </c>
      <c r="D9" s="26" t="s">
        <v>53</v>
      </c>
      <c r="E9" s="26"/>
      <c r="F9" s="26"/>
      <c r="G9" s="26"/>
      <c r="H9" s="26"/>
      <c r="S9" s="26"/>
    </row>
    <row r="10" spans="1:19" ht="12.75">
      <c r="A10" s="29">
        <v>2006</v>
      </c>
      <c r="B10" s="26" t="s">
        <v>56</v>
      </c>
      <c r="C10" s="26" t="s">
        <v>57</v>
      </c>
      <c r="D10" s="26" t="s">
        <v>58</v>
      </c>
      <c r="E10" s="26" t="s">
        <v>44</v>
      </c>
      <c r="F10" s="34"/>
      <c r="G10" s="26"/>
      <c r="H10" s="26"/>
      <c r="I10" s="59" t="s">
        <v>68</v>
      </c>
      <c r="J10" s="60" t="s">
        <v>54</v>
      </c>
      <c r="K10" s="61" t="s">
        <v>55</v>
      </c>
      <c r="L10" s="61" t="s">
        <v>56</v>
      </c>
      <c r="M10" s="61" t="s">
        <v>57</v>
      </c>
      <c r="N10" s="61" t="s">
        <v>58</v>
      </c>
      <c r="S10" s="26"/>
    </row>
    <row r="11" spans="1:19" ht="12.75">
      <c r="A11" s="26" t="s">
        <v>28</v>
      </c>
      <c r="B11" s="30">
        <v>9727</v>
      </c>
      <c r="C11" s="30">
        <v>31</v>
      </c>
      <c r="D11" s="30">
        <v>331</v>
      </c>
      <c r="E11" s="30">
        <f>SUM(B11:D11)</f>
        <v>10089</v>
      </c>
      <c r="F11" s="26"/>
      <c r="G11" s="26"/>
      <c r="H11" s="26"/>
      <c r="I11" s="62" t="s">
        <v>69</v>
      </c>
      <c r="J11" s="63">
        <f>J43</f>
        <v>0.0047</v>
      </c>
      <c r="K11" s="63">
        <f>K43</f>
        <v>0.0036</v>
      </c>
      <c r="L11" s="63">
        <f>L43</f>
        <v>0.7549</v>
      </c>
      <c r="M11" s="63">
        <f>M43</f>
        <v>1.5435</v>
      </c>
      <c r="N11" s="63">
        <f>N43</f>
        <v>1.3262</v>
      </c>
      <c r="S11" s="26"/>
    </row>
    <row r="12" spans="1:19" ht="12.75">
      <c r="A12" s="26" t="s">
        <v>29</v>
      </c>
      <c r="B12" s="30">
        <v>9590</v>
      </c>
      <c r="C12" s="30">
        <v>31</v>
      </c>
      <c r="D12" s="30">
        <v>331</v>
      </c>
      <c r="E12" s="30">
        <f>SUM(B12:D12)</f>
        <v>9952</v>
      </c>
      <c r="F12" s="26"/>
      <c r="G12" s="26"/>
      <c r="H12" s="26"/>
      <c r="I12" s="42"/>
      <c r="J12" s="43"/>
      <c r="K12" s="43"/>
      <c r="L12" s="43"/>
      <c r="M12" s="43"/>
      <c r="N12" s="43"/>
      <c r="S12" s="26"/>
    </row>
    <row r="13" spans="1:19" ht="12.75">
      <c r="A13" s="26" t="s">
        <v>30</v>
      </c>
      <c r="B13" s="30">
        <v>9463</v>
      </c>
      <c r="C13" s="30">
        <v>31</v>
      </c>
      <c r="D13" s="30">
        <v>331</v>
      </c>
      <c r="E13" s="30">
        <f>SUM(B13:D13)</f>
        <v>9825</v>
      </c>
      <c r="F13" s="26"/>
      <c r="G13" s="26"/>
      <c r="H13" s="26"/>
      <c r="I13" s="44"/>
      <c r="J13" s="44"/>
      <c r="K13" s="44"/>
      <c r="L13" s="44"/>
      <c r="M13" s="44"/>
      <c r="N13" s="44"/>
      <c r="S13" s="26"/>
    </row>
    <row r="14" spans="1:19" ht="12.75">
      <c r="A14" s="26" t="s">
        <v>31</v>
      </c>
      <c r="B14" s="30">
        <v>9467</v>
      </c>
      <c r="C14" s="30">
        <v>31</v>
      </c>
      <c r="D14" s="30">
        <v>331</v>
      </c>
      <c r="E14" s="30">
        <f>SUM(B14:D14)</f>
        <v>9829</v>
      </c>
      <c r="F14" s="26"/>
      <c r="G14" s="26"/>
      <c r="H14" s="26"/>
      <c r="I14" s="44"/>
      <c r="J14" s="44"/>
      <c r="K14" s="44"/>
      <c r="L14" s="44"/>
      <c r="M14" s="44"/>
      <c r="N14" s="44"/>
      <c r="S14" s="26"/>
    </row>
    <row r="15" spans="1:19" ht="12.75">
      <c r="A15" s="26" t="s">
        <v>13</v>
      </c>
      <c r="B15" s="30">
        <v>9531</v>
      </c>
      <c r="C15" s="30">
        <v>31</v>
      </c>
      <c r="D15" s="30">
        <v>333</v>
      </c>
      <c r="E15" s="30">
        <f>SUM(B15:D15)</f>
        <v>9895</v>
      </c>
      <c r="F15" s="26"/>
      <c r="G15" s="26"/>
      <c r="H15" s="26"/>
      <c r="S15" s="26"/>
    </row>
    <row r="16" spans="1:19" ht="12.75">
      <c r="A16" s="27"/>
      <c r="B16" s="27"/>
      <c r="C16" s="27"/>
      <c r="D16" s="27"/>
      <c r="E16" s="27"/>
      <c r="F16" s="27"/>
      <c r="G16" s="27"/>
      <c r="H16" s="27"/>
      <c r="S16" s="27"/>
    </row>
    <row r="17" spans="1:19" ht="12.75">
      <c r="A17" s="25" t="s">
        <v>62</v>
      </c>
      <c r="B17" s="26" t="s">
        <v>49</v>
      </c>
      <c r="C17" s="26" t="s">
        <v>50</v>
      </c>
      <c r="D17" s="26" t="s">
        <v>51</v>
      </c>
      <c r="E17" s="26" t="s">
        <v>52</v>
      </c>
      <c r="F17" s="26" t="s">
        <v>53</v>
      </c>
      <c r="G17" s="26"/>
      <c r="S17" s="26"/>
    </row>
    <row r="18" spans="1:19" ht="12.75">
      <c r="A18" s="27">
        <v>2006</v>
      </c>
      <c r="B18" s="26" t="s">
        <v>54</v>
      </c>
      <c r="C18" s="26" t="s">
        <v>55</v>
      </c>
      <c r="D18" s="26" t="s">
        <v>56</v>
      </c>
      <c r="E18" s="26" t="s">
        <v>57</v>
      </c>
      <c r="F18" s="26" t="s">
        <v>58</v>
      </c>
      <c r="G18" s="26" t="s">
        <v>44</v>
      </c>
      <c r="S18" s="27"/>
    </row>
    <row r="19" spans="1:19" ht="12.75">
      <c r="A19" s="27" t="s">
        <v>28</v>
      </c>
      <c r="B19" s="30">
        <v>12828</v>
      </c>
      <c r="C19" s="30">
        <f>792+102</f>
        <v>894</v>
      </c>
      <c r="D19" s="30">
        <v>81</v>
      </c>
      <c r="E19" s="30">
        <v>189</v>
      </c>
      <c r="F19" s="30">
        <v>2371</v>
      </c>
      <c r="G19" s="30">
        <v>16363</v>
      </c>
      <c r="S19" s="27"/>
    </row>
    <row r="20" spans="1:19" ht="12.75">
      <c r="A20" s="27" t="s">
        <v>29</v>
      </c>
      <c r="B20" s="30">
        <v>12835</v>
      </c>
      <c r="C20" s="30">
        <f>794+99</f>
        <v>893</v>
      </c>
      <c r="D20" s="30">
        <v>80</v>
      </c>
      <c r="E20" s="30">
        <v>189</v>
      </c>
      <c r="F20" s="30">
        <v>2371</v>
      </c>
      <c r="G20" s="30">
        <v>16368</v>
      </c>
      <c r="S20" s="27"/>
    </row>
    <row r="21" spans="1:19" ht="12.75">
      <c r="A21" s="27" t="s">
        <v>30</v>
      </c>
      <c r="B21" s="30">
        <v>12843</v>
      </c>
      <c r="C21" s="30">
        <f>796+98</f>
        <v>894</v>
      </c>
      <c r="D21" s="30">
        <v>80</v>
      </c>
      <c r="E21" s="30">
        <v>189</v>
      </c>
      <c r="F21" s="30">
        <v>2371</v>
      </c>
      <c r="G21" s="30">
        <v>16377</v>
      </c>
      <c r="I21" s="27"/>
      <c r="J21" s="27"/>
      <c r="S21" s="27"/>
    </row>
    <row r="22" spans="1:19" ht="12.75">
      <c r="A22" s="27" t="s">
        <v>31</v>
      </c>
      <c r="B22" s="30">
        <v>12856</v>
      </c>
      <c r="C22" s="30">
        <f>799+98</f>
        <v>897</v>
      </c>
      <c r="D22" s="30">
        <v>80</v>
      </c>
      <c r="E22" s="30">
        <v>189</v>
      </c>
      <c r="F22" s="30">
        <v>2371</v>
      </c>
      <c r="G22" s="30">
        <v>16393</v>
      </c>
      <c r="I22" s="27"/>
      <c r="J22" s="27"/>
      <c r="S22" s="27"/>
    </row>
    <row r="23" spans="1:19" ht="12.75">
      <c r="A23" s="27" t="s">
        <v>13</v>
      </c>
      <c r="B23" s="30">
        <v>12861</v>
      </c>
      <c r="C23" s="30">
        <f>798+93</f>
        <v>891</v>
      </c>
      <c r="D23" s="30">
        <v>80</v>
      </c>
      <c r="E23" s="30">
        <v>189</v>
      </c>
      <c r="F23" s="30">
        <v>2371</v>
      </c>
      <c r="G23" s="30">
        <v>16392</v>
      </c>
      <c r="I23" s="27"/>
      <c r="J23" s="27"/>
      <c r="S23" s="27"/>
    </row>
    <row r="24" spans="1:19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6"/>
      <c r="M24" s="36"/>
      <c r="N24" s="36"/>
      <c r="O24" s="36"/>
      <c r="P24" s="36"/>
      <c r="Q24" s="36"/>
      <c r="R24" s="36"/>
      <c r="S24" s="36"/>
    </row>
    <row r="25" spans="1:19" ht="12.75">
      <c r="A25" s="25" t="s">
        <v>48</v>
      </c>
      <c r="B25" s="27" t="s">
        <v>49</v>
      </c>
      <c r="C25" s="27" t="s">
        <v>50</v>
      </c>
      <c r="D25" s="27" t="s">
        <v>51</v>
      </c>
      <c r="E25" s="27" t="s">
        <v>52</v>
      </c>
      <c r="F25" s="27" t="s">
        <v>53</v>
      </c>
      <c r="G25" s="27"/>
      <c r="H25" s="27"/>
      <c r="I25" s="25" t="s">
        <v>65</v>
      </c>
      <c r="J25" s="27"/>
      <c r="K25" s="27"/>
      <c r="L25" s="27"/>
      <c r="M25" s="27"/>
      <c r="N25" s="36"/>
      <c r="R25" s="36"/>
      <c r="S25" s="36"/>
    </row>
    <row r="26" spans="1:19" ht="12.75">
      <c r="A26" s="27">
        <v>2005</v>
      </c>
      <c r="B26" s="27" t="s">
        <v>54</v>
      </c>
      <c r="C26" s="27" t="s">
        <v>55</v>
      </c>
      <c r="D26" s="27" t="s">
        <v>56</v>
      </c>
      <c r="E26" s="27" t="s">
        <v>57</v>
      </c>
      <c r="F26" s="27" t="s">
        <v>58</v>
      </c>
      <c r="G26" s="27" t="s">
        <v>44</v>
      </c>
      <c r="H26" s="27"/>
      <c r="I26" s="27" t="s">
        <v>54</v>
      </c>
      <c r="J26" s="36" t="s">
        <v>55</v>
      </c>
      <c r="K26" s="36" t="s">
        <v>56</v>
      </c>
      <c r="L26" s="36" t="s">
        <v>57</v>
      </c>
      <c r="M26" s="36" t="s">
        <v>58</v>
      </c>
      <c r="N26" s="36" t="s">
        <v>44</v>
      </c>
      <c r="R26" s="27"/>
      <c r="S26" s="36"/>
    </row>
    <row r="27" spans="1:19" ht="12.75">
      <c r="A27" s="27" t="s">
        <v>28</v>
      </c>
      <c r="B27" s="36">
        <v>16986135</v>
      </c>
      <c r="C27" s="36">
        <v>2670525</v>
      </c>
      <c r="D27" s="36">
        <v>3209212</v>
      </c>
      <c r="E27" s="36">
        <v>11061</v>
      </c>
      <c r="F27" s="36">
        <v>112255</v>
      </c>
      <c r="G27" s="36">
        <v>22989188</v>
      </c>
      <c r="H27" s="27"/>
      <c r="I27" s="44">
        <f aca="true" t="shared" si="3" ref="I27:J29">+B27*J$42</f>
        <v>84930.675</v>
      </c>
      <c r="J27" s="44">
        <f t="shared" si="3"/>
        <v>10682.1</v>
      </c>
      <c r="K27" s="44">
        <f aca="true" t="shared" si="4" ref="K27:M29">+B43*L$42</f>
        <v>10254.711</v>
      </c>
      <c r="L27" s="44">
        <f t="shared" si="4"/>
        <v>59.127190000000006</v>
      </c>
      <c r="M27" s="44">
        <f t="shared" si="4"/>
        <v>405.4995</v>
      </c>
      <c r="N27" s="44">
        <f>SUM(I27:M27)</f>
        <v>106332.11269000001</v>
      </c>
      <c r="R27" s="27"/>
      <c r="S27" s="36"/>
    </row>
    <row r="28" spans="1:19" ht="12.75">
      <c r="A28" s="27" t="s">
        <v>29</v>
      </c>
      <c r="B28" s="36">
        <v>18304313</v>
      </c>
      <c r="C28" s="36">
        <v>2647119</v>
      </c>
      <c r="D28" s="36">
        <v>3512087</v>
      </c>
      <c r="E28" s="36">
        <v>10878</v>
      </c>
      <c r="F28" s="36">
        <v>136658</v>
      </c>
      <c r="G28" s="36">
        <v>24611055</v>
      </c>
      <c r="H28" s="27"/>
      <c r="I28" s="44">
        <f t="shared" si="3"/>
        <v>91521.565</v>
      </c>
      <c r="J28" s="44">
        <f t="shared" si="3"/>
        <v>10588.476</v>
      </c>
      <c r="K28" s="44">
        <f t="shared" si="4"/>
        <v>9361.4255</v>
      </c>
      <c r="L28" s="44">
        <f t="shared" si="4"/>
        <v>58.14895333333333</v>
      </c>
      <c r="M28" s="44">
        <f t="shared" si="4"/>
        <v>405.4995</v>
      </c>
      <c r="N28" s="44">
        <f aca="true" t="shared" si="5" ref="N28:N38">SUM(I28:M28)</f>
        <v>111935.11495333334</v>
      </c>
      <c r="R28" s="27"/>
      <c r="S28" s="36"/>
    </row>
    <row r="29" spans="1:19" ht="12.75">
      <c r="A29" s="27" t="s">
        <v>30</v>
      </c>
      <c r="B29" s="36">
        <v>16146631</v>
      </c>
      <c r="C29" s="36">
        <v>2482180</v>
      </c>
      <c r="D29" s="36">
        <v>3223696</v>
      </c>
      <c r="E29" s="36">
        <v>11042</v>
      </c>
      <c r="F29" s="36">
        <v>123433</v>
      </c>
      <c r="G29" s="36">
        <v>21986982</v>
      </c>
      <c r="H29" s="27"/>
      <c r="I29" s="44">
        <f t="shared" si="3"/>
        <v>80733.155</v>
      </c>
      <c r="J29" s="44">
        <f t="shared" si="3"/>
        <v>9928.72</v>
      </c>
      <c r="K29" s="44">
        <f t="shared" si="4"/>
        <v>9533.8864</v>
      </c>
      <c r="L29" s="44">
        <f t="shared" si="4"/>
        <v>59.025624444444446</v>
      </c>
      <c r="M29" s="44">
        <f t="shared" si="4"/>
        <v>405.4995</v>
      </c>
      <c r="N29" s="44">
        <f t="shared" si="5"/>
        <v>100660.28652444445</v>
      </c>
      <c r="R29" s="27"/>
      <c r="S29" s="36"/>
    </row>
    <row r="30" spans="1:19" ht="12.75">
      <c r="A30" s="27" t="s">
        <v>31</v>
      </c>
      <c r="B30" s="36">
        <v>14695046</v>
      </c>
      <c r="C30" s="36">
        <v>2377445</v>
      </c>
      <c r="D30" s="36">
        <v>3143148</v>
      </c>
      <c r="E30" s="36">
        <v>11020</v>
      </c>
      <c r="F30" s="36">
        <v>139708</v>
      </c>
      <c r="G30" s="36">
        <v>20366367</v>
      </c>
      <c r="H30" s="27"/>
      <c r="I30" s="44">
        <f>+B30*J$43</f>
        <v>69066.71620000001</v>
      </c>
      <c r="J30" s="44">
        <f>+C30*K$43</f>
        <v>8558.802</v>
      </c>
      <c r="K30" s="44">
        <f>+B46*L$43</f>
        <v>6670.2964</v>
      </c>
      <c r="L30" s="44">
        <f>+C46*M$43</f>
        <v>47.24825</v>
      </c>
      <c r="M30" s="44">
        <f>+D46*N$43</f>
        <v>428.36260000000004</v>
      </c>
      <c r="N30" s="44">
        <f t="shared" si="5"/>
        <v>84771.42545000001</v>
      </c>
      <c r="R30" s="27"/>
      <c r="S30" s="36"/>
    </row>
    <row r="31" spans="1:19" ht="12.75">
      <c r="A31" s="27" t="s">
        <v>13</v>
      </c>
      <c r="B31" s="36">
        <v>11787209</v>
      </c>
      <c r="C31" s="36">
        <v>2482321</v>
      </c>
      <c r="D31" s="36">
        <v>3905755</v>
      </c>
      <c r="E31" s="36">
        <v>12437</v>
      </c>
      <c r="F31" s="36">
        <v>116280</v>
      </c>
      <c r="G31" s="36">
        <v>18304002</v>
      </c>
      <c r="H31" s="27"/>
      <c r="I31" s="44">
        <f aca="true" t="shared" si="6" ref="I31:J38">+B31*J$43</f>
        <v>55399.882300000005</v>
      </c>
      <c r="J31" s="44">
        <f t="shared" si="6"/>
        <v>8936.355599999999</v>
      </c>
      <c r="K31" s="44">
        <f aca="true" t="shared" si="7" ref="K31:M38">+B47*L$43</f>
        <v>9607.6123</v>
      </c>
      <c r="L31" s="44">
        <f t="shared" si="7"/>
        <v>50.935500000000005</v>
      </c>
      <c r="M31" s="44">
        <f t="shared" si="7"/>
        <v>428.36260000000004</v>
      </c>
      <c r="N31" s="44">
        <f t="shared" si="5"/>
        <v>74423.14830000002</v>
      </c>
      <c r="R31" s="27"/>
      <c r="S31" s="36"/>
    </row>
    <row r="32" spans="1:19" ht="12.75">
      <c r="A32" s="27" t="s">
        <v>32</v>
      </c>
      <c r="B32" s="36">
        <v>9978180</v>
      </c>
      <c r="C32" s="36">
        <v>2138421</v>
      </c>
      <c r="D32" s="36">
        <v>2979436</v>
      </c>
      <c r="E32" s="36">
        <v>10812</v>
      </c>
      <c r="F32" s="36">
        <v>119160</v>
      </c>
      <c r="G32" s="36">
        <v>15226009</v>
      </c>
      <c r="H32" s="27"/>
      <c r="I32" s="44">
        <f t="shared" si="6"/>
        <v>46897.446</v>
      </c>
      <c r="J32" s="44">
        <f t="shared" si="6"/>
        <v>7698.3156</v>
      </c>
      <c r="K32" s="44">
        <f t="shared" si="7"/>
        <v>6424.9539</v>
      </c>
      <c r="L32" s="44">
        <f t="shared" si="7"/>
        <v>46.305</v>
      </c>
      <c r="M32" s="44">
        <f t="shared" si="7"/>
        <v>438.97220000000004</v>
      </c>
      <c r="N32" s="44">
        <f t="shared" si="5"/>
        <v>61505.9927</v>
      </c>
      <c r="R32" s="27"/>
      <c r="S32" s="36"/>
    </row>
    <row r="33" spans="1:19" ht="12.75">
      <c r="A33" s="27" t="s">
        <v>33</v>
      </c>
      <c r="B33" s="36">
        <v>11140234</v>
      </c>
      <c r="C33" s="36">
        <v>2449764</v>
      </c>
      <c r="D33" s="36">
        <v>3364751</v>
      </c>
      <c r="E33" s="36">
        <v>10780</v>
      </c>
      <c r="F33" s="36">
        <v>119311</v>
      </c>
      <c r="G33" s="36">
        <v>17084840</v>
      </c>
      <c r="H33" s="27"/>
      <c r="I33" s="44">
        <f t="shared" si="6"/>
        <v>52359.0998</v>
      </c>
      <c r="J33" s="44">
        <f t="shared" si="6"/>
        <v>8819.1504</v>
      </c>
      <c r="K33" s="44">
        <f t="shared" si="7"/>
        <v>7634.3037</v>
      </c>
      <c r="L33" s="44">
        <f t="shared" si="7"/>
        <v>46.305</v>
      </c>
      <c r="M33" s="44">
        <f t="shared" si="7"/>
        <v>438.97220000000004</v>
      </c>
      <c r="N33" s="44">
        <f t="shared" si="5"/>
        <v>69297.8311</v>
      </c>
      <c r="R33" s="27"/>
      <c r="S33" s="36"/>
    </row>
    <row r="34" spans="1:19" ht="12.75">
      <c r="A34" s="27" t="s">
        <v>24</v>
      </c>
      <c r="B34" s="36">
        <v>13290211</v>
      </c>
      <c r="C34" s="36">
        <v>2647759</v>
      </c>
      <c r="D34" s="36">
        <v>3112417</v>
      </c>
      <c r="E34" s="36">
        <v>10734</v>
      </c>
      <c r="F34" s="36">
        <v>119311</v>
      </c>
      <c r="G34" s="36">
        <v>19180432</v>
      </c>
      <c r="H34" s="27"/>
      <c r="I34" s="44">
        <f t="shared" si="6"/>
        <v>62463.991700000006</v>
      </c>
      <c r="J34" s="44">
        <f t="shared" si="6"/>
        <v>9531.9324</v>
      </c>
      <c r="K34" s="44">
        <f t="shared" si="7"/>
        <v>6952.629</v>
      </c>
      <c r="L34" s="44">
        <f t="shared" si="7"/>
        <v>46.305</v>
      </c>
      <c r="M34" s="44">
        <f t="shared" si="7"/>
        <v>438.97220000000004</v>
      </c>
      <c r="N34" s="44">
        <f t="shared" si="5"/>
        <v>79433.8303</v>
      </c>
      <c r="R34" s="27"/>
      <c r="S34" s="36"/>
    </row>
    <row r="35" spans="1:19" ht="12.75">
      <c r="A35" s="27" t="s">
        <v>34</v>
      </c>
      <c r="B35" s="36">
        <v>11452136</v>
      </c>
      <c r="C35" s="36">
        <v>2205986</v>
      </c>
      <c r="D35" s="36">
        <v>3102091</v>
      </c>
      <c r="E35" s="36">
        <v>10841</v>
      </c>
      <c r="F35" s="36">
        <v>119160</v>
      </c>
      <c r="G35" s="36">
        <v>16890214</v>
      </c>
      <c r="H35" s="27"/>
      <c r="I35" s="44">
        <f t="shared" si="6"/>
        <v>53825.0392</v>
      </c>
      <c r="J35" s="44">
        <f t="shared" si="6"/>
        <v>7941.549599999999</v>
      </c>
      <c r="K35" s="44">
        <f t="shared" si="7"/>
        <v>7755.8426</v>
      </c>
      <c r="L35" s="44">
        <f t="shared" si="7"/>
        <v>46.305</v>
      </c>
      <c r="M35" s="44">
        <f t="shared" si="7"/>
        <v>438.97220000000004</v>
      </c>
      <c r="N35" s="44">
        <f t="shared" si="5"/>
        <v>70007.7086</v>
      </c>
      <c r="R35" s="27"/>
      <c r="S35" s="36"/>
    </row>
    <row r="36" spans="1:19" ht="12.75">
      <c r="A36" s="27" t="s">
        <v>25</v>
      </c>
      <c r="B36" s="36">
        <v>9613844</v>
      </c>
      <c r="C36" s="36">
        <v>2152365</v>
      </c>
      <c r="D36" s="36">
        <v>3316634</v>
      </c>
      <c r="E36" s="36">
        <v>10701</v>
      </c>
      <c r="F36" s="36">
        <v>119311</v>
      </c>
      <c r="G36" s="36">
        <v>15212855</v>
      </c>
      <c r="H36" s="27"/>
      <c r="I36" s="44">
        <f t="shared" si="6"/>
        <v>45185.0668</v>
      </c>
      <c r="J36" s="44">
        <f t="shared" si="6"/>
        <v>7748.514</v>
      </c>
      <c r="K36" s="44">
        <f t="shared" si="7"/>
        <v>8060.8222000000005</v>
      </c>
      <c r="L36" s="44">
        <f t="shared" si="7"/>
        <v>46.305</v>
      </c>
      <c r="M36" s="44">
        <f t="shared" si="7"/>
        <v>438.97220000000004</v>
      </c>
      <c r="N36" s="44">
        <f t="shared" si="5"/>
        <v>61479.6802</v>
      </c>
      <c r="R36" s="27"/>
      <c r="S36" s="36"/>
    </row>
    <row r="37" spans="1:19" ht="12.75">
      <c r="A37" s="27" t="s">
        <v>26</v>
      </c>
      <c r="B37" s="36">
        <v>9808437</v>
      </c>
      <c r="C37" s="36">
        <v>1930998</v>
      </c>
      <c r="D37" s="36">
        <v>3354326</v>
      </c>
      <c r="E37" s="36">
        <v>10643</v>
      </c>
      <c r="F37" s="36">
        <v>119311</v>
      </c>
      <c r="G37" s="36">
        <v>15223715</v>
      </c>
      <c r="H37" s="27"/>
      <c r="I37" s="44">
        <f t="shared" si="6"/>
        <v>46099.653900000005</v>
      </c>
      <c r="J37" s="44">
        <f t="shared" si="6"/>
        <v>6951.592799999999</v>
      </c>
      <c r="K37" s="44">
        <f t="shared" si="7"/>
        <v>5514.5445</v>
      </c>
      <c r="L37" s="44">
        <f t="shared" si="7"/>
        <v>46.305</v>
      </c>
      <c r="M37" s="44">
        <f t="shared" si="7"/>
        <v>438.97220000000004</v>
      </c>
      <c r="N37" s="44">
        <f t="shared" si="5"/>
        <v>59051.068400000004</v>
      </c>
      <c r="R37" s="27"/>
      <c r="S37" s="36"/>
    </row>
    <row r="38" spans="1:19" ht="12.75">
      <c r="A38" s="27" t="s">
        <v>27</v>
      </c>
      <c r="B38" s="36">
        <v>11615689</v>
      </c>
      <c r="C38" s="36">
        <v>2117050</v>
      </c>
      <c r="D38" s="36">
        <v>3601322</v>
      </c>
      <c r="E38" s="36">
        <v>10694</v>
      </c>
      <c r="F38" s="36">
        <v>119311</v>
      </c>
      <c r="G38" s="36">
        <v>17464066</v>
      </c>
      <c r="H38" s="27"/>
      <c r="I38" s="44">
        <f t="shared" si="6"/>
        <v>54593.738300000005</v>
      </c>
      <c r="J38" s="44">
        <f t="shared" si="6"/>
        <v>7621.38</v>
      </c>
      <c r="K38" s="44">
        <f t="shared" si="7"/>
        <v>7345.177000000001</v>
      </c>
      <c r="L38" s="44">
        <f t="shared" si="7"/>
        <v>46.305</v>
      </c>
      <c r="M38" s="44">
        <f t="shared" si="7"/>
        <v>440.2984</v>
      </c>
      <c r="N38" s="44">
        <f t="shared" si="5"/>
        <v>70046.89869999999</v>
      </c>
      <c r="R38" s="27"/>
      <c r="S38" s="36"/>
    </row>
    <row r="39" spans="1:19" ht="12.75">
      <c r="A39" s="27" t="s">
        <v>59</v>
      </c>
      <c r="B39" s="36">
        <v>154818065</v>
      </c>
      <c r="C39" s="36">
        <v>28301933</v>
      </c>
      <c r="D39" s="36">
        <v>39824875</v>
      </c>
      <c r="E39" s="36">
        <v>131643</v>
      </c>
      <c r="F39" s="36">
        <v>1463209</v>
      </c>
      <c r="G39" s="36">
        <v>224539725</v>
      </c>
      <c r="H39" s="27"/>
      <c r="I39" s="45">
        <f aca="true" t="shared" si="8" ref="I39:N39">SUM(I27:I38)</f>
        <v>743076.0292</v>
      </c>
      <c r="J39" s="45">
        <f t="shared" si="8"/>
        <v>105006.8884</v>
      </c>
      <c r="K39" s="45">
        <f t="shared" si="8"/>
        <v>95116.2045</v>
      </c>
      <c r="L39" s="45">
        <f t="shared" si="8"/>
        <v>598.6205177777778</v>
      </c>
      <c r="M39" s="45">
        <f t="shared" si="8"/>
        <v>5147.3553</v>
      </c>
      <c r="N39" s="45">
        <f t="shared" si="8"/>
        <v>948945.0979177777</v>
      </c>
      <c r="R39" s="27"/>
      <c r="S39" s="36"/>
    </row>
    <row r="40" spans="1:19" ht="12.75">
      <c r="A40" s="27"/>
      <c r="B40" s="31"/>
      <c r="C40" s="31"/>
      <c r="D40" s="31"/>
      <c r="E40" s="31"/>
      <c r="F40" s="31"/>
      <c r="G40" s="31"/>
      <c r="H40" s="31"/>
      <c r="R40" s="32"/>
      <c r="S40" s="36"/>
    </row>
    <row r="41" spans="1:19" ht="12.75">
      <c r="A41" s="25" t="s">
        <v>61</v>
      </c>
      <c r="B41" s="27" t="s">
        <v>51</v>
      </c>
      <c r="C41" s="27" t="s">
        <v>52</v>
      </c>
      <c r="D41" s="27" t="s">
        <v>53</v>
      </c>
      <c r="E41" s="27"/>
      <c r="F41" s="27"/>
      <c r="G41" s="27"/>
      <c r="H41" s="27"/>
      <c r="I41" s="59" t="s">
        <v>68</v>
      </c>
      <c r="J41" s="60" t="s">
        <v>54</v>
      </c>
      <c r="K41" s="61" t="s">
        <v>55</v>
      </c>
      <c r="L41" s="61" t="s">
        <v>56</v>
      </c>
      <c r="M41" s="61" t="s">
        <v>57</v>
      </c>
      <c r="N41" s="61" t="s">
        <v>58</v>
      </c>
      <c r="R41" s="36"/>
      <c r="S41" s="36"/>
    </row>
    <row r="42" spans="1:19" ht="12.75">
      <c r="A42" s="27">
        <v>2005</v>
      </c>
      <c r="B42" s="27" t="s">
        <v>56</v>
      </c>
      <c r="C42" s="27" t="s">
        <v>57</v>
      </c>
      <c r="D42" s="27" t="s">
        <v>58</v>
      </c>
      <c r="E42" s="27" t="s">
        <v>44</v>
      </c>
      <c r="F42" s="27"/>
      <c r="G42" s="27"/>
      <c r="H42" s="27"/>
      <c r="I42" s="62" t="s">
        <v>108</v>
      </c>
      <c r="J42" s="63">
        <v>0.005</v>
      </c>
      <c r="K42" s="63">
        <v>0.004</v>
      </c>
      <c r="L42" s="63">
        <v>1.0327</v>
      </c>
      <c r="M42" s="63">
        <v>1.9244</v>
      </c>
      <c r="N42" s="63">
        <v>1.2873</v>
      </c>
      <c r="R42" s="36"/>
      <c r="S42" s="36"/>
    </row>
    <row r="43" spans="1:19" ht="12.75">
      <c r="A43" s="27" t="s">
        <v>28</v>
      </c>
      <c r="B43" s="36">
        <f>(29354-10359)-9065</f>
        <v>9930</v>
      </c>
      <c r="C43" s="36">
        <v>30.725</v>
      </c>
      <c r="D43" s="36">
        <v>315</v>
      </c>
      <c r="E43" s="36">
        <f>SUM(B43:D43)</f>
        <v>10275.725</v>
      </c>
      <c r="F43" s="27"/>
      <c r="G43" s="27"/>
      <c r="H43" s="27"/>
      <c r="I43" s="62" t="s">
        <v>109</v>
      </c>
      <c r="J43" s="63">
        <v>0.0047</v>
      </c>
      <c r="K43" s="63">
        <v>0.0036</v>
      </c>
      <c r="L43" s="63">
        <v>0.7549</v>
      </c>
      <c r="M43" s="63">
        <v>1.5435</v>
      </c>
      <c r="N43" s="63">
        <v>1.3262</v>
      </c>
      <c r="R43" s="36"/>
      <c r="S43" s="36"/>
    </row>
    <row r="44" spans="1:19" ht="12.75">
      <c r="A44" s="27" t="s">
        <v>29</v>
      </c>
      <c r="B44" s="36">
        <v>9065</v>
      </c>
      <c r="C44" s="36">
        <v>30.216666666666665</v>
      </c>
      <c r="D44" s="36">
        <v>315</v>
      </c>
      <c r="E44" s="36">
        <f>SUM(B44:D44)</f>
        <v>9410.216666666667</v>
      </c>
      <c r="F44" s="27"/>
      <c r="G44" s="27"/>
      <c r="H44" s="27"/>
      <c r="I44" s="35"/>
      <c r="J44" s="35"/>
      <c r="K44" s="35"/>
      <c r="L44" s="35"/>
      <c r="M44" s="35"/>
      <c r="N44" s="44"/>
      <c r="R44" s="36"/>
      <c r="S44" s="36"/>
    </row>
    <row r="45" spans="1:19" ht="12.75">
      <c r="A45" s="27" t="s">
        <v>30</v>
      </c>
      <c r="B45" s="36">
        <v>9232</v>
      </c>
      <c r="C45" s="36">
        <v>30.67222222222222</v>
      </c>
      <c r="D45" s="36">
        <v>315</v>
      </c>
      <c r="E45" s="36">
        <v>9577.672222222222</v>
      </c>
      <c r="F45" s="27"/>
      <c r="G45" s="27"/>
      <c r="H45" s="27"/>
      <c r="I45" s="35"/>
      <c r="J45" s="35"/>
      <c r="K45" s="35"/>
      <c r="L45" s="35"/>
      <c r="M45" s="35"/>
      <c r="N45" s="44"/>
      <c r="R45" s="36"/>
      <c r="S45" s="36"/>
    </row>
    <row r="46" spans="1:19" ht="12.75">
      <c r="A46" s="27" t="s">
        <v>31</v>
      </c>
      <c r="B46" s="36">
        <v>8836</v>
      </c>
      <c r="C46" s="36">
        <v>30.61111111111111</v>
      </c>
      <c r="D46" s="36">
        <v>323</v>
      </c>
      <c r="E46" s="36">
        <v>9189.611111111111</v>
      </c>
      <c r="F46" s="27"/>
      <c r="G46" s="27"/>
      <c r="H46" s="27"/>
      <c r="I46" s="35"/>
      <c r="J46" s="35"/>
      <c r="K46" s="35"/>
      <c r="L46" s="35"/>
      <c r="M46" s="35"/>
      <c r="N46" s="44"/>
      <c r="R46" s="36"/>
      <c r="S46" s="36"/>
    </row>
    <row r="47" spans="1:19" ht="12.75">
      <c r="A47" s="27" t="s">
        <v>13</v>
      </c>
      <c r="B47" s="36">
        <v>12727</v>
      </c>
      <c r="C47" s="36">
        <v>33</v>
      </c>
      <c r="D47" s="36">
        <v>323</v>
      </c>
      <c r="E47" s="36">
        <v>13085</v>
      </c>
      <c r="F47" s="27"/>
      <c r="G47" s="27"/>
      <c r="H47" s="27"/>
      <c r="I47" s="35"/>
      <c r="J47" s="35"/>
      <c r="K47" s="35"/>
      <c r="L47" s="35"/>
      <c r="M47" s="35"/>
      <c r="N47" s="44"/>
      <c r="R47" s="36"/>
      <c r="S47" s="36"/>
    </row>
    <row r="48" spans="1:19" ht="12.75">
      <c r="A48" s="27" t="s">
        <v>32</v>
      </c>
      <c r="B48" s="36">
        <v>8511</v>
      </c>
      <c r="C48" s="36">
        <v>30</v>
      </c>
      <c r="D48" s="36">
        <v>331</v>
      </c>
      <c r="E48" s="36">
        <v>8872</v>
      </c>
      <c r="F48" s="27"/>
      <c r="G48" s="27"/>
      <c r="H48" s="27"/>
      <c r="I48" s="35"/>
      <c r="J48" s="35"/>
      <c r="K48" s="35"/>
      <c r="L48" s="35"/>
      <c r="M48" s="35"/>
      <c r="N48" s="44"/>
      <c r="R48" s="36"/>
      <c r="S48" s="36"/>
    </row>
    <row r="49" spans="1:19" ht="12.75">
      <c r="A49" s="27" t="s">
        <v>33</v>
      </c>
      <c r="B49" s="36">
        <v>10113</v>
      </c>
      <c r="C49" s="36">
        <v>30</v>
      </c>
      <c r="D49" s="36">
        <v>331</v>
      </c>
      <c r="E49" s="36">
        <v>10474</v>
      </c>
      <c r="F49" s="27"/>
      <c r="G49" s="27"/>
      <c r="H49" s="27"/>
      <c r="I49" s="35"/>
      <c r="J49" s="35"/>
      <c r="K49" s="35"/>
      <c r="L49" s="35"/>
      <c r="M49" s="35"/>
      <c r="N49" s="44"/>
      <c r="R49" s="36"/>
      <c r="S49" s="36"/>
    </row>
    <row r="50" spans="1:19" ht="12.75">
      <c r="A50" s="27" t="s">
        <v>24</v>
      </c>
      <c r="B50" s="36">
        <v>9210</v>
      </c>
      <c r="C50" s="36">
        <v>30</v>
      </c>
      <c r="D50" s="36">
        <v>331</v>
      </c>
      <c r="E50" s="36">
        <v>9571</v>
      </c>
      <c r="F50" s="27"/>
      <c r="G50" s="27"/>
      <c r="H50" s="27"/>
      <c r="I50" s="35"/>
      <c r="J50" s="35"/>
      <c r="K50" s="35"/>
      <c r="L50" s="35"/>
      <c r="M50" s="35"/>
      <c r="N50" s="44"/>
      <c r="R50" s="36"/>
      <c r="S50" s="36"/>
    </row>
    <row r="51" spans="1:19" ht="12.75">
      <c r="A51" s="27" t="s">
        <v>34</v>
      </c>
      <c r="B51" s="36">
        <v>10274</v>
      </c>
      <c r="C51" s="36">
        <v>30</v>
      </c>
      <c r="D51" s="36">
        <v>331</v>
      </c>
      <c r="E51" s="36">
        <v>10635</v>
      </c>
      <c r="F51" s="27"/>
      <c r="G51" s="27"/>
      <c r="H51" s="27"/>
      <c r="I51" s="35"/>
      <c r="J51" s="35"/>
      <c r="K51" s="35"/>
      <c r="L51" s="35"/>
      <c r="M51" s="35"/>
      <c r="N51" s="44"/>
      <c r="R51" s="36"/>
      <c r="S51" s="36"/>
    </row>
    <row r="52" spans="1:19" ht="12.75">
      <c r="A52" s="27" t="s">
        <v>25</v>
      </c>
      <c r="B52" s="36">
        <v>10678</v>
      </c>
      <c r="C52" s="36">
        <v>30</v>
      </c>
      <c r="D52" s="36">
        <v>331</v>
      </c>
      <c r="E52" s="36">
        <v>11039</v>
      </c>
      <c r="F52" s="27"/>
      <c r="G52" s="27"/>
      <c r="H52" s="27"/>
      <c r="I52" s="35"/>
      <c r="J52" s="35"/>
      <c r="K52" s="35"/>
      <c r="L52" s="35"/>
      <c r="M52" s="35"/>
      <c r="N52" s="44"/>
      <c r="R52" s="36"/>
      <c r="S52" s="36"/>
    </row>
    <row r="53" spans="1:19" ht="12.75">
      <c r="A53" s="27" t="s">
        <v>26</v>
      </c>
      <c r="B53" s="36">
        <v>7305</v>
      </c>
      <c r="C53" s="36">
        <v>30</v>
      </c>
      <c r="D53" s="36">
        <v>331</v>
      </c>
      <c r="E53" s="36">
        <v>7666</v>
      </c>
      <c r="F53" s="27"/>
      <c r="G53" s="27"/>
      <c r="H53" s="27"/>
      <c r="I53" s="35"/>
      <c r="J53" s="35"/>
      <c r="K53" s="35"/>
      <c r="L53" s="35"/>
      <c r="M53" s="35"/>
      <c r="N53" s="44"/>
      <c r="R53" s="36"/>
      <c r="S53" s="36"/>
    </row>
    <row r="54" spans="1:19" ht="12.75">
      <c r="A54" s="27" t="s">
        <v>27</v>
      </c>
      <c r="B54" s="36">
        <v>9730</v>
      </c>
      <c r="C54" s="36">
        <v>30</v>
      </c>
      <c r="D54" s="36">
        <v>332</v>
      </c>
      <c r="E54" s="36">
        <v>10091</v>
      </c>
      <c r="F54" s="27"/>
      <c r="G54" s="27"/>
      <c r="H54" s="27"/>
      <c r="I54" s="35"/>
      <c r="J54" s="35"/>
      <c r="K54" s="35"/>
      <c r="L54" s="35"/>
      <c r="M54" s="35"/>
      <c r="N54" s="44"/>
      <c r="R54" s="27"/>
      <c r="S54" s="27"/>
    </row>
    <row r="55" spans="1:19" ht="12.75">
      <c r="A55" s="27" t="s">
        <v>59</v>
      </c>
      <c r="B55" s="36">
        <v>115611</v>
      </c>
      <c r="C55" s="36">
        <v>365</v>
      </c>
      <c r="D55" s="36">
        <v>3909</v>
      </c>
      <c r="E55" s="36">
        <f>SUM(E43:E54)</f>
        <v>119886.225</v>
      </c>
      <c r="F55" s="27"/>
      <c r="G55" s="27"/>
      <c r="H55" s="27"/>
      <c r="I55" s="45"/>
      <c r="J55" s="45"/>
      <c r="K55" s="45"/>
      <c r="L55" s="45"/>
      <c r="M55" s="45"/>
      <c r="N55" s="45"/>
      <c r="R55" s="27"/>
      <c r="S55" s="27"/>
    </row>
    <row r="56" spans="1:19" ht="12.75">
      <c r="A56" s="27"/>
      <c r="B56" s="27"/>
      <c r="C56" s="27"/>
      <c r="D56" s="27"/>
      <c r="E56" s="27"/>
      <c r="F56" s="27"/>
      <c r="G56" s="27"/>
      <c r="H56" s="27"/>
      <c r="R56" s="27"/>
      <c r="S56" s="27"/>
    </row>
    <row r="57" spans="1:19" ht="12.75">
      <c r="A57" s="25" t="s">
        <v>62</v>
      </c>
      <c r="B57" s="27" t="s">
        <v>49</v>
      </c>
      <c r="C57" s="27" t="s">
        <v>50</v>
      </c>
      <c r="D57" s="27" t="s">
        <v>51</v>
      </c>
      <c r="E57" s="27" t="s">
        <v>52</v>
      </c>
      <c r="F57" s="27" t="s">
        <v>53</v>
      </c>
      <c r="G57" s="27"/>
      <c r="H57" s="27"/>
      <c r="R57" s="27"/>
      <c r="S57" s="27"/>
    </row>
    <row r="58" spans="1:19" ht="12.75">
      <c r="A58" s="27">
        <v>2005</v>
      </c>
      <c r="B58" s="27" t="s">
        <v>54</v>
      </c>
      <c r="C58" s="27" t="s">
        <v>55</v>
      </c>
      <c r="D58" s="27" t="s">
        <v>56</v>
      </c>
      <c r="E58" s="27" t="s">
        <v>57</v>
      </c>
      <c r="F58" s="27" t="s">
        <v>58</v>
      </c>
      <c r="G58" s="27" t="s">
        <v>44</v>
      </c>
      <c r="H58" s="27"/>
      <c r="R58" s="27"/>
      <c r="S58" s="27"/>
    </row>
    <row r="59" spans="1:19" ht="12.75">
      <c r="A59" s="27" t="s">
        <v>28</v>
      </c>
      <c r="B59" s="36">
        <v>12677</v>
      </c>
      <c r="C59" s="36">
        <v>892</v>
      </c>
      <c r="D59" s="36">
        <v>74</v>
      </c>
      <c r="E59" s="36">
        <v>189</v>
      </c>
      <c r="F59" s="36">
        <v>2371</v>
      </c>
      <c r="G59" s="33">
        <f aca="true" t="shared" si="9" ref="G59:G71">SUM(B59:F59)</f>
        <v>16203</v>
      </c>
      <c r="H59" s="27"/>
      <c r="R59" s="27"/>
      <c r="S59" s="27"/>
    </row>
    <row r="60" spans="1:19" ht="12.75">
      <c r="A60" s="27" t="s">
        <v>29</v>
      </c>
      <c r="B60" s="36">
        <v>12686</v>
      </c>
      <c r="C60" s="36">
        <v>892</v>
      </c>
      <c r="D60" s="36">
        <v>74</v>
      </c>
      <c r="E60" s="36">
        <v>189</v>
      </c>
      <c r="F60" s="36">
        <v>2371</v>
      </c>
      <c r="G60" s="33">
        <f t="shared" si="9"/>
        <v>16212</v>
      </c>
      <c r="H60" s="27"/>
      <c r="R60" s="27"/>
      <c r="S60" s="27"/>
    </row>
    <row r="61" spans="1:19" ht="12.75">
      <c r="A61" s="27" t="s">
        <v>30</v>
      </c>
      <c r="B61" s="36">
        <v>12700</v>
      </c>
      <c r="C61" s="36">
        <v>892</v>
      </c>
      <c r="D61" s="36">
        <v>73</v>
      </c>
      <c r="E61" s="36">
        <v>189</v>
      </c>
      <c r="F61" s="36">
        <v>2371</v>
      </c>
      <c r="G61" s="33">
        <f t="shared" si="9"/>
        <v>16225</v>
      </c>
      <c r="H61" s="27"/>
      <c r="R61" s="27"/>
      <c r="S61" s="27"/>
    </row>
    <row r="62" spans="1:19" ht="12.75">
      <c r="A62" s="27" t="s">
        <v>31</v>
      </c>
      <c r="B62" s="36">
        <v>12711</v>
      </c>
      <c r="C62" s="36">
        <v>894</v>
      </c>
      <c r="D62" s="36">
        <v>73</v>
      </c>
      <c r="E62" s="36">
        <v>189</v>
      </c>
      <c r="F62" s="36">
        <v>2371</v>
      </c>
      <c r="G62" s="33">
        <f t="shared" si="9"/>
        <v>16238</v>
      </c>
      <c r="H62" s="27"/>
      <c r="R62" s="27"/>
      <c r="S62" s="27"/>
    </row>
    <row r="63" spans="1:19" ht="12.75">
      <c r="A63" s="27" t="s">
        <v>13</v>
      </c>
      <c r="B63" s="36">
        <v>12721</v>
      </c>
      <c r="C63" s="36">
        <v>898</v>
      </c>
      <c r="D63" s="36">
        <v>72</v>
      </c>
      <c r="E63" s="36">
        <v>189</v>
      </c>
      <c r="F63" s="36">
        <v>2371</v>
      </c>
      <c r="G63" s="33">
        <f t="shared" si="9"/>
        <v>16251</v>
      </c>
      <c r="H63" s="27"/>
      <c r="R63" s="27"/>
      <c r="S63" s="27"/>
    </row>
    <row r="64" spans="1:19" ht="12.75">
      <c r="A64" s="27" t="s">
        <v>32</v>
      </c>
      <c r="B64" s="36">
        <v>12748</v>
      </c>
      <c r="C64" s="36">
        <v>907</v>
      </c>
      <c r="D64" s="36">
        <v>72</v>
      </c>
      <c r="E64" s="36">
        <v>189</v>
      </c>
      <c r="F64" s="36">
        <v>2371</v>
      </c>
      <c r="G64" s="33">
        <f t="shared" si="9"/>
        <v>16287</v>
      </c>
      <c r="H64" s="27"/>
      <c r="R64" s="27"/>
      <c r="S64" s="27"/>
    </row>
    <row r="65" spans="1:19" ht="12.75">
      <c r="A65" s="27" t="s">
        <v>33</v>
      </c>
      <c r="B65" s="36">
        <v>12763</v>
      </c>
      <c r="C65" s="36">
        <v>906</v>
      </c>
      <c r="D65" s="36">
        <v>73</v>
      </c>
      <c r="E65" s="36">
        <v>189</v>
      </c>
      <c r="F65" s="36">
        <v>2371</v>
      </c>
      <c r="G65" s="33">
        <f t="shared" si="9"/>
        <v>16302</v>
      </c>
      <c r="H65" s="27"/>
      <c r="R65" s="27"/>
      <c r="S65" s="27"/>
    </row>
    <row r="66" spans="1:19" ht="12.75">
      <c r="A66" s="27" t="s">
        <v>24</v>
      </c>
      <c r="B66" s="36">
        <v>12791</v>
      </c>
      <c r="C66" s="36">
        <v>910</v>
      </c>
      <c r="D66" s="36">
        <v>73</v>
      </c>
      <c r="E66" s="36">
        <v>189</v>
      </c>
      <c r="F66" s="36">
        <v>2371</v>
      </c>
      <c r="G66" s="33">
        <f t="shared" si="9"/>
        <v>16334</v>
      </c>
      <c r="H66" s="27"/>
      <c r="R66" s="27"/>
      <c r="S66" s="27"/>
    </row>
    <row r="67" spans="1:19" ht="12.75">
      <c r="A67" s="27" t="s">
        <v>34</v>
      </c>
      <c r="B67" s="36">
        <v>12796</v>
      </c>
      <c r="C67" s="36">
        <v>904</v>
      </c>
      <c r="D67" s="36">
        <v>77</v>
      </c>
      <c r="E67" s="36">
        <v>189</v>
      </c>
      <c r="F67" s="36">
        <v>2371</v>
      </c>
      <c r="G67" s="33">
        <f t="shared" si="9"/>
        <v>16337</v>
      </c>
      <c r="H67" s="27"/>
      <c r="R67" s="27"/>
      <c r="S67" s="27"/>
    </row>
    <row r="68" spans="1:19" ht="12.75">
      <c r="A68" s="27" t="s">
        <v>25</v>
      </c>
      <c r="B68" s="36">
        <v>12802</v>
      </c>
      <c r="C68" s="36">
        <v>901</v>
      </c>
      <c r="D68" s="36">
        <v>80</v>
      </c>
      <c r="E68" s="36">
        <v>189</v>
      </c>
      <c r="F68" s="36">
        <v>2371</v>
      </c>
      <c r="G68" s="33">
        <f t="shared" si="9"/>
        <v>16343</v>
      </c>
      <c r="H68" s="27"/>
      <c r="R68" s="27"/>
      <c r="S68" s="27"/>
    </row>
    <row r="69" spans="1:19" ht="12.75">
      <c r="A69" s="27" t="s">
        <v>26</v>
      </c>
      <c r="B69" s="36">
        <v>12811</v>
      </c>
      <c r="C69" s="36">
        <v>889</v>
      </c>
      <c r="D69" s="36">
        <v>82</v>
      </c>
      <c r="E69" s="36">
        <v>189</v>
      </c>
      <c r="F69" s="36">
        <v>2371</v>
      </c>
      <c r="G69" s="33">
        <f t="shared" si="9"/>
        <v>16342</v>
      </c>
      <c r="H69" s="27"/>
      <c r="R69" s="27"/>
      <c r="S69" s="27"/>
    </row>
    <row r="70" spans="1:19" ht="12.75">
      <c r="A70" s="27" t="s">
        <v>27</v>
      </c>
      <c r="B70" s="36">
        <v>12821</v>
      </c>
      <c r="C70" s="36">
        <v>890</v>
      </c>
      <c r="D70" s="36">
        <v>82</v>
      </c>
      <c r="E70" s="36">
        <v>189</v>
      </c>
      <c r="F70" s="36">
        <v>2371</v>
      </c>
      <c r="G70" s="33">
        <f t="shared" si="9"/>
        <v>16353</v>
      </c>
      <c r="H70" s="27"/>
      <c r="R70" s="27"/>
      <c r="S70" s="27"/>
    </row>
    <row r="71" spans="1:19" ht="12.75">
      <c r="A71" s="38" t="s">
        <v>44</v>
      </c>
      <c r="B71" s="37">
        <f>SUM(B59:B70)</f>
        <v>153027</v>
      </c>
      <c r="C71" s="37">
        <f>SUM(C59:C70)</f>
        <v>10775</v>
      </c>
      <c r="D71" s="37">
        <f>SUM(D59:D70)</f>
        <v>905</v>
      </c>
      <c r="E71" s="37">
        <f>SUM(E59:E70)</f>
        <v>2268</v>
      </c>
      <c r="F71" s="37">
        <f>SUM(F59:F70)</f>
        <v>28452</v>
      </c>
      <c r="G71" s="33">
        <f t="shared" si="9"/>
        <v>195427</v>
      </c>
      <c r="H71" s="27"/>
      <c r="R71" s="27"/>
      <c r="S71" s="27"/>
    </row>
    <row r="72" spans="1:19" ht="12.75">
      <c r="A72" s="27"/>
      <c r="B72" s="27"/>
      <c r="C72" s="27"/>
      <c r="D72" s="27"/>
      <c r="E72" s="27"/>
      <c r="F72" s="27"/>
      <c r="G72" s="27"/>
      <c r="H72" s="27"/>
      <c r="O72" s="27"/>
      <c r="P72" s="27"/>
      <c r="Q72" s="27"/>
      <c r="R72" s="27"/>
      <c r="S72" s="27"/>
    </row>
    <row r="73" spans="1:19" ht="12.75">
      <c r="A73" s="27"/>
      <c r="B73" s="27"/>
      <c r="C73" s="27"/>
      <c r="D73" s="27"/>
      <c r="E73" s="27"/>
      <c r="F73" s="27"/>
      <c r="G73" s="27"/>
      <c r="H73" s="27"/>
      <c r="O73" s="27"/>
      <c r="P73" s="27"/>
      <c r="Q73" s="27"/>
      <c r="R73" s="27"/>
      <c r="S73" s="27"/>
    </row>
    <row r="74" spans="1:19" ht="12.75">
      <c r="A74" s="25" t="s">
        <v>48</v>
      </c>
      <c r="B74" s="27" t="s">
        <v>49</v>
      </c>
      <c r="C74" s="27" t="s">
        <v>50</v>
      </c>
      <c r="D74" s="27" t="s">
        <v>51</v>
      </c>
      <c r="E74" s="27" t="s">
        <v>52</v>
      </c>
      <c r="F74" s="27" t="s">
        <v>53</v>
      </c>
      <c r="G74" s="36"/>
      <c r="H74" s="27"/>
      <c r="I74" s="25" t="s">
        <v>65</v>
      </c>
      <c r="J74" s="27"/>
      <c r="K74" s="27"/>
      <c r="L74" s="27"/>
      <c r="M74" s="27"/>
      <c r="N74" s="36"/>
      <c r="O74" s="27"/>
      <c r="P74" s="27"/>
      <c r="Q74" s="27"/>
      <c r="R74" s="27"/>
      <c r="S74" s="27"/>
    </row>
    <row r="75" spans="1:19" ht="12.75">
      <c r="A75" s="27">
        <v>2004</v>
      </c>
      <c r="B75" s="27" t="s">
        <v>54</v>
      </c>
      <c r="C75" s="36" t="s">
        <v>55</v>
      </c>
      <c r="D75" s="36" t="s">
        <v>56</v>
      </c>
      <c r="E75" s="36" t="s">
        <v>57</v>
      </c>
      <c r="F75" s="36" t="s">
        <v>58</v>
      </c>
      <c r="G75" s="36" t="s">
        <v>44</v>
      </c>
      <c r="H75" s="27"/>
      <c r="I75" s="27" t="s">
        <v>54</v>
      </c>
      <c r="J75" s="36" t="s">
        <v>55</v>
      </c>
      <c r="K75" s="36" t="s">
        <v>56</v>
      </c>
      <c r="L75" s="36" t="s">
        <v>57</v>
      </c>
      <c r="M75" s="36" t="s">
        <v>58</v>
      </c>
      <c r="N75" s="36" t="s">
        <v>44</v>
      </c>
      <c r="O75" s="27"/>
      <c r="P75" s="27"/>
      <c r="Q75" s="27"/>
      <c r="R75" s="27"/>
      <c r="S75" s="27"/>
    </row>
    <row r="76" spans="1:19" ht="12.75">
      <c r="A76" s="27" t="s">
        <v>28</v>
      </c>
      <c r="B76" s="36">
        <v>14876179</v>
      </c>
      <c r="C76" s="36">
        <v>2345771</v>
      </c>
      <c r="D76" s="36">
        <v>3282339</v>
      </c>
      <c r="E76" s="36">
        <v>11205</v>
      </c>
      <c r="F76" s="36">
        <v>110046</v>
      </c>
      <c r="G76" s="36">
        <v>20625540</v>
      </c>
      <c r="H76" s="27"/>
      <c r="I76" s="44">
        <f aca="true" t="shared" si="10" ref="I76:M87">I92+I108</f>
        <v>85079.20800000001</v>
      </c>
      <c r="J76" s="44">
        <f t="shared" si="10"/>
        <v>11275.3523</v>
      </c>
      <c r="K76" s="44">
        <f t="shared" si="10"/>
        <v>9961.66</v>
      </c>
      <c r="L76" s="44">
        <f t="shared" si="10"/>
        <v>65.2621125</v>
      </c>
      <c r="M76" s="44">
        <f t="shared" si="10"/>
        <v>617.673</v>
      </c>
      <c r="N76" s="44">
        <f>SUM(I76:M76)</f>
        <v>106999.15541250001</v>
      </c>
      <c r="O76" s="27"/>
      <c r="P76" s="27"/>
      <c r="Q76" s="27"/>
      <c r="R76" s="27"/>
      <c r="S76" s="27"/>
    </row>
    <row r="77" spans="1:19" ht="12.75">
      <c r="A77" s="27" t="s">
        <v>29</v>
      </c>
      <c r="B77" s="36">
        <v>20042803</v>
      </c>
      <c r="C77" s="36">
        <v>2803824</v>
      </c>
      <c r="D77" s="36">
        <v>3832431</v>
      </c>
      <c r="E77" s="36">
        <v>11185</v>
      </c>
      <c r="F77" s="36">
        <v>134455</v>
      </c>
      <c r="G77" s="36">
        <v>26824698</v>
      </c>
      <c r="H77" s="27"/>
      <c r="I77" s="44">
        <f t="shared" si="10"/>
        <v>95461.406</v>
      </c>
      <c r="J77" s="44">
        <f t="shared" si="10"/>
        <v>11861.6712</v>
      </c>
      <c r="K77" s="44">
        <f t="shared" si="10"/>
        <v>10092.704</v>
      </c>
      <c r="L77" s="44">
        <f t="shared" si="10"/>
        <v>65.23055138888888</v>
      </c>
      <c r="M77" s="44">
        <f t="shared" si="10"/>
        <v>617.673</v>
      </c>
      <c r="N77" s="44">
        <f aca="true" t="shared" si="11" ref="N77:N87">SUM(I77:M77)</f>
        <v>118098.68475138888</v>
      </c>
      <c r="O77" s="27"/>
      <c r="P77" s="27"/>
      <c r="Q77" s="27"/>
      <c r="R77" s="27"/>
      <c r="S77" s="27"/>
    </row>
    <row r="78" spans="1:19" ht="12.75">
      <c r="A78" s="27" t="s">
        <v>30</v>
      </c>
      <c r="B78" s="36">
        <v>16321677</v>
      </c>
      <c r="C78" s="36">
        <v>2410271</v>
      </c>
      <c r="D78" s="36">
        <v>3396375</v>
      </c>
      <c r="E78" s="36">
        <v>10991</v>
      </c>
      <c r="F78" s="36">
        <v>125902</v>
      </c>
      <c r="G78" s="36">
        <v>22265216</v>
      </c>
      <c r="H78" s="27"/>
      <c r="I78" s="44">
        <f t="shared" si="10"/>
        <v>88108.15400000001</v>
      </c>
      <c r="J78" s="44">
        <f t="shared" si="10"/>
        <v>11359.2023</v>
      </c>
      <c r="K78" s="44">
        <f t="shared" si="10"/>
        <v>9990.62</v>
      </c>
      <c r="L78" s="44">
        <f t="shared" si="10"/>
        <v>64.92440861111112</v>
      </c>
      <c r="M78" s="44">
        <f t="shared" si="10"/>
        <v>617.673</v>
      </c>
      <c r="N78" s="44">
        <f t="shared" si="11"/>
        <v>110140.57370861112</v>
      </c>
      <c r="O78" s="27"/>
      <c r="P78" s="27"/>
      <c r="Q78" s="27"/>
      <c r="R78" s="27"/>
      <c r="S78" s="27"/>
    </row>
    <row r="79" spans="1:19" ht="12.75">
      <c r="A79" s="27" t="s">
        <v>31</v>
      </c>
      <c r="B79" s="36">
        <v>12527883</v>
      </c>
      <c r="C79" s="36">
        <v>2039089</v>
      </c>
      <c r="D79" s="36">
        <v>2998905</v>
      </c>
      <c r="E79" s="36">
        <v>10986</v>
      </c>
      <c r="F79" s="36">
        <v>134586</v>
      </c>
      <c r="G79" s="36">
        <v>17711449</v>
      </c>
      <c r="H79" s="27"/>
      <c r="I79" s="44">
        <f t="shared" si="10"/>
        <v>62639.415</v>
      </c>
      <c r="J79" s="44">
        <f t="shared" si="10"/>
        <v>8156.356</v>
      </c>
      <c r="K79" s="44">
        <f t="shared" si="10"/>
        <v>9463.6628</v>
      </c>
      <c r="L79" s="44">
        <f t="shared" si="10"/>
        <v>58.72627333333333</v>
      </c>
      <c r="M79" s="44">
        <f t="shared" si="10"/>
        <v>399.06300000000005</v>
      </c>
      <c r="N79" s="44">
        <f t="shared" si="11"/>
        <v>80717.22307333334</v>
      </c>
      <c r="O79" s="27"/>
      <c r="P79" s="27"/>
      <c r="Q79" s="27"/>
      <c r="R79" s="27"/>
      <c r="S79" s="27"/>
    </row>
    <row r="80" spans="1:19" ht="12.75">
      <c r="A80" s="27" t="s">
        <v>13</v>
      </c>
      <c r="B80" s="36">
        <v>11569135</v>
      </c>
      <c r="C80" s="36">
        <v>1900171</v>
      </c>
      <c r="D80" s="36">
        <v>2871496</v>
      </c>
      <c r="E80" s="36">
        <v>10740</v>
      </c>
      <c r="F80" s="36">
        <v>97683</v>
      </c>
      <c r="G80" s="36">
        <v>16449225</v>
      </c>
      <c r="H80" s="27"/>
      <c r="I80" s="44">
        <f t="shared" si="10"/>
        <v>57845.675</v>
      </c>
      <c r="J80" s="44">
        <f t="shared" si="10"/>
        <v>7600.684</v>
      </c>
      <c r="K80" s="44">
        <f t="shared" si="10"/>
        <v>9601.0119</v>
      </c>
      <c r="L80" s="44">
        <f t="shared" si="10"/>
        <v>57.41126666666667</v>
      </c>
      <c r="M80" s="44">
        <f t="shared" si="10"/>
        <v>399.06300000000005</v>
      </c>
      <c r="N80" s="44">
        <f t="shared" si="11"/>
        <v>75503.84516666667</v>
      </c>
      <c r="O80" s="27"/>
      <c r="P80" s="27"/>
      <c r="Q80" s="27"/>
      <c r="R80" s="27"/>
      <c r="S80" s="27"/>
    </row>
    <row r="81" spans="1:19" ht="12.75">
      <c r="A81" s="27" t="s">
        <v>32</v>
      </c>
      <c r="B81" s="36">
        <v>9711606</v>
      </c>
      <c r="C81" s="36">
        <v>2043864</v>
      </c>
      <c r="D81" s="36">
        <v>2852185</v>
      </c>
      <c r="E81" s="36">
        <v>11283</v>
      </c>
      <c r="F81" s="36">
        <v>101418</v>
      </c>
      <c r="G81" s="36">
        <v>14720356</v>
      </c>
      <c r="H81" s="27"/>
      <c r="I81" s="44">
        <f t="shared" si="10"/>
        <v>48558.03</v>
      </c>
      <c r="J81" s="44">
        <f t="shared" si="10"/>
        <v>8175.456</v>
      </c>
      <c r="K81" s="44">
        <f t="shared" si="10"/>
        <v>9891.2006</v>
      </c>
      <c r="L81" s="44">
        <f t="shared" si="10"/>
        <v>60.313903333333336</v>
      </c>
      <c r="M81" s="44">
        <f t="shared" si="10"/>
        <v>401.6376</v>
      </c>
      <c r="N81" s="44">
        <f t="shared" si="11"/>
        <v>67086.63810333333</v>
      </c>
      <c r="O81" s="27"/>
      <c r="P81" s="27"/>
      <c r="Q81" s="27"/>
      <c r="R81" s="27"/>
      <c r="S81" s="27"/>
    </row>
    <row r="82" spans="1:19" ht="12.75">
      <c r="A82" s="27" t="s">
        <v>33</v>
      </c>
      <c r="B82" s="36">
        <v>9103980</v>
      </c>
      <c r="C82" s="36">
        <v>2080368</v>
      </c>
      <c r="D82" s="36">
        <v>2965029</v>
      </c>
      <c r="E82" s="36">
        <v>10986</v>
      </c>
      <c r="F82" s="36">
        <v>98146</v>
      </c>
      <c r="G82" s="36">
        <v>14258509</v>
      </c>
      <c r="H82" s="27"/>
      <c r="I82" s="44">
        <f t="shared" si="10"/>
        <v>45519.9</v>
      </c>
      <c r="J82" s="44">
        <f t="shared" si="10"/>
        <v>8321.472</v>
      </c>
      <c r="K82" s="44">
        <f t="shared" si="10"/>
        <v>10125.6235</v>
      </c>
      <c r="L82" s="44">
        <f t="shared" si="10"/>
        <v>58.72627333333333</v>
      </c>
      <c r="M82" s="44">
        <f t="shared" si="10"/>
        <v>401.6376</v>
      </c>
      <c r="N82" s="44">
        <f t="shared" si="11"/>
        <v>64427.35937333334</v>
      </c>
      <c r="O82" s="27"/>
      <c r="P82" s="27"/>
      <c r="Q82" s="27"/>
      <c r="R82" s="27"/>
      <c r="S82" s="27"/>
    </row>
    <row r="83" spans="1:19" ht="12.75">
      <c r="A83" s="27" t="s">
        <v>24</v>
      </c>
      <c r="B83" s="36">
        <v>10586726</v>
      </c>
      <c r="C83" s="36">
        <v>2298251</v>
      </c>
      <c r="D83" s="36">
        <v>3176540</v>
      </c>
      <c r="E83" s="36">
        <v>11009</v>
      </c>
      <c r="F83" s="36">
        <v>72441</v>
      </c>
      <c r="G83" s="36">
        <v>16144967</v>
      </c>
      <c r="H83" s="27"/>
      <c r="I83" s="44">
        <f t="shared" si="10"/>
        <v>52933.630000000005</v>
      </c>
      <c r="J83" s="44">
        <f t="shared" si="10"/>
        <v>9193.004</v>
      </c>
      <c r="K83" s="44">
        <f t="shared" si="10"/>
        <v>9985.1763</v>
      </c>
      <c r="L83" s="44">
        <f t="shared" si="10"/>
        <v>58.84922111111111</v>
      </c>
      <c r="M83" s="44">
        <f t="shared" si="10"/>
        <v>401.6376</v>
      </c>
      <c r="N83" s="44">
        <f t="shared" si="11"/>
        <v>72572.29712111113</v>
      </c>
      <c r="O83" s="27"/>
      <c r="P83" s="27"/>
      <c r="Q83" s="27"/>
      <c r="R83" s="27"/>
      <c r="S83" s="27"/>
    </row>
    <row r="84" spans="1:19" ht="12.75">
      <c r="A84" s="27" t="s">
        <v>34</v>
      </c>
      <c r="B84" s="36">
        <v>12075928</v>
      </c>
      <c r="C84" s="36">
        <v>2546247</v>
      </c>
      <c r="D84" s="36">
        <v>2626314</v>
      </c>
      <c r="E84" s="36">
        <v>12573</v>
      </c>
      <c r="F84" s="36">
        <v>72356</v>
      </c>
      <c r="G84" s="36">
        <v>17333418</v>
      </c>
      <c r="H84" s="27"/>
      <c r="I84" s="44">
        <f t="shared" si="10"/>
        <v>60379.64</v>
      </c>
      <c r="J84" s="44">
        <f t="shared" si="10"/>
        <v>10184.988</v>
      </c>
      <c r="K84" s="44">
        <f t="shared" si="10"/>
        <v>9633.025599999999</v>
      </c>
      <c r="L84" s="44">
        <f t="shared" si="10"/>
        <v>67.20967</v>
      </c>
      <c r="M84" s="44">
        <f t="shared" si="10"/>
        <v>405.4995</v>
      </c>
      <c r="N84" s="44">
        <f t="shared" si="11"/>
        <v>80670.36276999999</v>
      </c>
      <c r="O84" s="27"/>
      <c r="P84" s="27"/>
      <c r="Q84" s="27"/>
      <c r="R84" s="27"/>
      <c r="S84" s="27"/>
    </row>
    <row r="85" spans="1:19" ht="12.75">
      <c r="A85" s="27" t="s">
        <v>25</v>
      </c>
      <c r="B85" s="36">
        <v>10571794</v>
      </c>
      <c r="C85" s="36">
        <v>2351779</v>
      </c>
      <c r="D85" s="36">
        <v>1033331</v>
      </c>
      <c r="E85" s="36">
        <v>11878</v>
      </c>
      <c r="F85" s="36">
        <v>70815</v>
      </c>
      <c r="G85" s="36">
        <v>14039597</v>
      </c>
      <c r="H85" s="27"/>
      <c r="I85" s="44">
        <f t="shared" si="10"/>
        <v>52858.97</v>
      </c>
      <c r="J85" s="44">
        <f t="shared" si="10"/>
        <v>9407.116</v>
      </c>
      <c r="K85" s="44">
        <f t="shared" si="10"/>
        <v>5007.5623</v>
      </c>
      <c r="L85" s="44">
        <f t="shared" si="10"/>
        <v>63.494508888888895</v>
      </c>
      <c r="M85" s="44">
        <f t="shared" si="10"/>
        <v>405.4995</v>
      </c>
      <c r="N85" s="44">
        <f t="shared" si="11"/>
        <v>67742.6423088889</v>
      </c>
      <c r="O85" s="27"/>
      <c r="P85" s="27"/>
      <c r="Q85" s="27"/>
      <c r="R85" s="27"/>
      <c r="S85" s="27"/>
    </row>
    <row r="86" spans="1:19" ht="12.75">
      <c r="A86" s="27" t="s">
        <v>26</v>
      </c>
      <c r="B86" s="36">
        <v>10442136</v>
      </c>
      <c r="C86" s="36">
        <v>2112632</v>
      </c>
      <c r="D86" s="36">
        <v>4405580</v>
      </c>
      <c r="E86" s="36">
        <v>11595</v>
      </c>
      <c r="F86" s="36">
        <v>112241</v>
      </c>
      <c r="G86" s="36">
        <v>17084184</v>
      </c>
      <c r="H86" s="27"/>
      <c r="I86" s="44">
        <f t="shared" si="10"/>
        <v>52210.68</v>
      </c>
      <c r="J86" s="44">
        <f t="shared" si="10"/>
        <v>8450.528</v>
      </c>
      <c r="K86" s="44">
        <f t="shared" si="10"/>
        <v>14283.2737</v>
      </c>
      <c r="L86" s="44">
        <f t="shared" si="10"/>
        <v>61.98171666666668</v>
      </c>
      <c r="M86" s="44">
        <f t="shared" si="10"/>
        <v>405.4995</v>
      </c>
      <c r="N86" s="44">
        <f t="shared" si="11"/>
        <v>75411.96291666667</v>
      </c>
      <c r="O86" s="27"/>
      <c r="P86" s="27"/>
      <c r="Q86" s="27"/>
      <c r="R86" s="27"/>
      <c r="S86" s="27"/>
    </row>
    <row r="87" spans="1:19" ht="12.75">
      <c r="A87" s="27" t="s">
        <v>27</v>
      </c>
      <c r="B87" s="36">
        <v>10960154</v>
      </c>
      <c r="C87" s="36">
        <v>1997427</v>
      </c>
      <c r="D87" s="36">
        <v>2863112</v>
      </c>
      <c r="E87" s="36">
        <v>10867</v>
      </c>
      <c r="F87" s="36">
        <v>108619</v>
      </c>
      <c r="G87" s="36">
        <v>15940179</v>
      </c>
      <c r="H87" s="27"/>
      <c r="I87" s="44">
        <f t="shared" si="10"/>
        <v>54800.770000000004</v>
      </c>
      <c r="J87" s="44">
        <f t="shared" si="10"/>
        <v>7989.7080000000005</v>
      </c>
      <c r="K87" s="44">
        <f t="shared" si="10"/>
        <v>9506.003499999999</v>
      </c>
      <c r="L87" s="44">
        <f t="shared" si="10"/>
        <v>58.08480666666667</v>
      </c>
      <c r="M87" s="44">
        <f t="shared" si="10"/>
        <v>404.21220000000005</v>
      </c>
      <c r="N87" s="44">
        <f t="shared" si="11"/>
        <v>72758.77850666665</v>
      </c>
      <c r="O87" s="27"/>
      <c r="P87" s="27"/>
      <c r="Q87" s="27"/>
      <c r="R87" s="27"/>
      <c r="S87" s="27"/>
    </row>
    <row r="88" spans="1:19" ht="12.75">
      <c r="A88" s="27" t="s">
        <v>59</v>
      </c>
      <c r="B88" s="36">
        <v>148790001</v>
      </c>
      <c r="C88" s="36">
        <v>26929694</v>
      </c>
      <c r="D88" s="36">
        <v>36303637</v>
      </c>
      <c r="E88" s="36">
        <v>135298</v>
      </c>
      <c r="F88" s="36">
        <v>1238708</v>
      </c>
      <c r="G88" s="36">
        <v>213397338</v>
      </c>
      <c r="H88" s="27"/>
      <c r="I88" s="45">
        <f aca="true" t="shared" si="12" ref="I88:N88">SUM(I76:I87)</f>
        <v>756395.4780000001</v>
      </c>
      <c r="J88" s="45">
        <f t="shared" si="12"/>
        <v>111975.53779999999</v>
      </c>
      <c r="K88" s="45">
        <f t="shared" si="12"/>
        <v>117541.52419999999</v>
      </c>
      <c r="L88" s="45">
        <f t="shared" si="12"/>
        <v>740.2147124999999</v>
      </c>
      <c r="M88" s="45">
        <f t="shared" si="12"/>
        <v>5476.7685</v>
      </c>
      <c r="N88" s="45">
        <f t="shared" si="12"/>
        <v>992129.5232124999</v>
      </c>
      <c r="O88" s="27"/>
      <c r="P88" s="27"/>
      <c r="Q88" s="27"/>
      <c r="R88" s="27"/>
      <c r="S88" s="27"/>
    </row>
    <row r="89" spans="1:19" ht="12.75">
      <c r="A89" s="27"/>
      <c r="B89" s="32"/>
      <c r="C89" s="32"/>
      <c r="D89" s="32"/>
      <c r="E89" s="32"/>
      <c r="F89" s="32"/>
      <c r="G89" s="32"/>
      <c r="H89" s="27"/>
      <c r="O89" s="27"/>
      <c r="P89" s="27"/>
      <c r="Q89" s="27"/>
      <c r="R89" s="27"/>
      <c r="S89" s="27"/>
    </row>
    <row r="90" spans="1:19" ht="12.75">
      <c r="A90" s="25" t="s">
        <v>61</v>
      </c>
      <c r="B90" s="27" t="s">
        <v>51</v>
      </c>
      <c r="C90" s="27" t="s">
        <v>52</v>
      </c>
      <c r="D90" s="27" t="s">
        <v>53</v>
      </c>
      <c r="E90" s="36"/>
      <c r="F90" s="36"/>
      <c r="G90" s="36"/>
      <c r="H90" s="27"/>
      <c r="I90" s="25" t="s">
        <v>66</v>
      </c>
      <c r="J90" s="27"/>
      <c r="K90" s="27"/>
      <c r="L90" s="27"/>
      <c r="M90" s="27"/>
      <c r="N90" s="36"/>
      <c r="O90" s="27"/>
      <c r="P90" s="27"/>
      <c r="Q90" s="27"/>
      <c r="R90" s="27"/>
      <c r="S90" s="27"/>
    </row>
    <row r="91" spans="1:19" ht="12.75">
      <c r="A91" s="27">
        <v>2004</v>
      </c>
      <c r="B91" s="27" t="s">
        <v>56</v>
      </c>
      <c r="C91" s="36" t="s">
        <v>57</v>
      </c>
      <c r="D91" s="36" t="s">
        <v>58</v>
      </c>
      <c r="E91" s="36" t="s">
        <v>44</v>
      </c>
      <c r="F91" s="36"/>
      <c r="G91" s="36"/>
      <c r="H91" s="27"/>
      <c r="I91" s="27" t="s">
        <v>54</v>
      </c>
      <c r="J91" s="36" t="s">
        <v>55</v>
      </c>
      <c r="K91" s="36" t="s">
        <v>56</v>
      </c>
      <c r="L91" s="36" t="s">
        <v>57</v>
      </c>
      <c r="M91" s="36" t="s">
        <v>58</v>
      </c>
      <c r="N91" s="36" t="s">
        <v>44</v>
      </c>
      <c r="O91" s="27"/>
      <c r="P91" s="27"/>
      <c r="Q91" s="27"/>
      <c r="R91" s="27"/>
      <c r="S91" s="27"/>
    </row>
    <row r="92" spans="1:19" ht="12.75">
      <c r="A92" s="27" t="s">
        <v>28</v>
      </c>
      <c r="B92" s="36">
        <v>9220</v>
      </c>
      <c r="C92" s="36">
        <v>31.125</v>
      </c>
      <c r="D92" s="36">
        <v>310</v>
      </c>
      <c r="E92" s="36">
        <v>9561.125</v>
      </c>
      <c r="F92" s="36"/>
      <c r="G92" s="36"/>
      <c r="H92" s="27"/>
      <c r="I92" s="35">
        <f aca="true" t="shared" si="13" ref="I92:M94">B108*J$123</f>
        <v>55326.850000000006</v>
      </c>
      <c r="J92" s="35">
        <f t="shared" si="13"/>
        <v>8225.85</v>
      </c>
      <c r="K92" s="35">
        <f t="shared" si="13"/>
        <v>6624.02</v>
      </c>
      <c r="L92" s="35">
        <f t="shared" si="13"/>
        <v>47.58</v>
      </c>
      <c r="M92" s="35">
        <f t="shared" si="13"/>
        <v>438.71</v>
      </c>
      <c r="N92" s="44">
        <f>SUM(I92:M92)</f>
        <v>70663.01000000001</v>
      </c>
      <c r="O92" s="27"/>
      <c r="P92" s="27"/>
      <c r="Q92" s="27"/>
      <c r="R92" s="27"/>
      <c r="S92" s="27"/>
    </row>
    <row r="93" spans="1:19" ht="12.75">
      <c r="A93" s="27" t="s">
        <v>29</v>
      </c>
      <c r="B93" s="36">
        <v>9582</v>
      </c>
      <c r="C93" s="36">
        <v>31.069444444444443</v>
      </c>
      <c r="D93" s="36">
        <v>310</v>
      </c>
      <c r="E93" s="36">
        <v>9923.069444444445</v>
      </c>
      <c r="F93" s="36"/>
      <c r="G93" s="36"/>
      <c r="H93" s="27"/>
      <c r="I93" s="35">
        <f t="shared" si="13"/>
        <v>55375.8</v>
      </c>
      <c r="J93" s="35">
        <f t="shared" si="13"/>
        <v>8216.7</v>
      </c>
      <c r="K93" s="35">
        <f t="shared" si="13"/>
        <v>6624.02</v>
      </c>
      <c r="L93" s="35">
        <f t="shared" si="13"/>
        <v>47.58</v>
      </c>
      <c r="M93" s="35">
        <f t="shared" si="13"/>
        <v>438.71</v>
      </c>
      <c r="N93" s="44">
        <f aca="true" t="shared" si="14" ref="N93:N103">SUM(I93:M93)</f>
        <v>70702.81000000001</v>
      </c>
      <c r="O93" s="27"/>
      <c r="P93" s="27"/>
      <c r="Q93" s="27"/>
      <c r="R93" s="27"/>
      <c r="S93" s="27"/>
    </row>
    <row r="94" spans="1:19" ht="12.75">
      <c r="A94" s="27" t="s">
        <v>30</v>
      </c>
      <c r="B94" s="36">
        <v>9300</v>
      </c>
      <c r="C94" s="36">
        <v>30.530555555555555</v>
      </c>
      <c r="D94" s="36">
        <v>310</v>
      </c>
      <c r="E94" s="36">
        <v>9640.530555555555</v>
      </c>
      <c r="F94" s="36"/>
      <c r="G94" s="36"/>
      <c r="H94" s="27"/>
      <c r="I94" s="35">
        <f t="shared" si="13"/>
        <v>55464.8</v>
      </c>
      <c r="J94" s="35">
        <f t="shared" si="13"/>
        <v>8225.85</v>
      </c>
      <c r="K94" s="35">
        <f t="shared" si="13"/>
        <v>6624.02</v>
      </c>
      <c r="L94" s="35">
        <f t="shared" si="13"/>
        <v>47.58</v>
      </c>
      <c r="M94" s="35">
        <f t="shared" si="13"/>
        <v>438.71</v>
      </c>
      <c r="N94" s="44">
        <f t="shared" si="14"/>
        <v>70800.96</v>
      </c>
      <c r="O94" s="27"/>
      <c r="P94" s="27"/>
      <c r="Q94" s="27"/>
      <c r="R94" s="27"/>
      <c r="S94" s="27"/>
    </row>
    <row r="95" spans="1:19" ht="12.75">
      <c r="A95" s="27" t="s">
        <v>31</v>
      </c>
      <c r="B95" s="36">
        <v>9164</v>
      </c>
      <c r="C95" s="36">
        <v>30.516666666666666</v>
      </c>
      <c r="D95" s="36">
        <v>310</v>
      </c>
      <c r="E95" s="36">
        <v>9504.516666666666</v>
      </c>
      <c r="F95" s="36"/>
      <c r="G95" s="36"/>
      <c r="H95" s="27"/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44">
        <f>SUM(I95:M95)</f>
        <v>0</v>
      </c>
      <c r="O95" s="27"/>
      <c r="P95" s="27"/>
      <c r="Q95" s="27"/>
      <c r="R95" s="27"/>
      <c r="S95" s="27"/>
    </row>
    <row r="96" spans="1:19" ht="12.75">
      <c r="A96" s="27" t="s">
        <v>13</v>
      </c>
      <c r="B96" s="36">
        <v>9297</v>
      </c>
      <c r="C96" s="36">
        <v>29.833333333333332</v>
      </c>
      <c r="D96" s="36">
        <v>310</v>
      </c>
      <c r="E96" s="36">
        <v>9636.833333333334</v>
      </c>
      <c r="F96" s="36"/>
      <c r="G96" s="36"/>
      <c r="H96" s="27"/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44">
        <f t="shared" si="14"/>
        <v>0</v>
      </c>
      <c r="O96" s="27"/>
      <c r="P96" s="27"/>
      <c r="Q96" s="27"/>
      <c r="R96" s="27"/>
      <c r="S96" s="27"/>
    </row>
    <row r="97" spans="1:19" ht="12.75">
      <c r="A97" s="27" t="s">
        <v>32</v>
      </c>
      <c r="B97" s="36">
        <v>9578</v>
      </c>
      <c r="C97" s="36">
        <v>31.341666666666665</v>
      </c>
      <c r="D97" s="36">
        <v>312</v>
      </c>
      <c r="E97" s="36">
        <v>9921.341666666667</v>
      </c>
      <c r="F97" s="36"/>
      <c r="G97" s="36"/>
      <c r="H97" s="27"/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44">
        <f t="shared" si="14"/>
        <v>0</v>
      </c>
      <c r="O97" s="27"/>
      <c r="P97" s="27"/>
      <c r="Q97" s="27"/>
      <c r="R97" s="27"/>
      <c r="S97" s="27"/>
    </row>
    <row r="98" spans="1:19" ht="12.75">
      <c r="A98" s="27" t="s">
        <v>33</v>
      </c>
      <c r="B98" s="36">
        <v>9805</v>
      </c>
      <c r="C98" s="36">
        <v>30.516666666666666</v>
      </c>
      <c r="D98" s="36">
        <v>312</v>
      </c>
      <c r="E98" s="36">
        <v>10147.516666666666</v>
      </c>
      <c r="F98" s="36"/>
      <c r="G98" s="36"/>
      <c r="H98" s="27"/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44">
        <f t="shared" si="14"/>
        <v>0</v>
      </c>
      <c r="O98" s="27"/>
      <c r="P98" s="27"/>
      <c r="Q98" s="27"/>
      <c r="R98" s="27"/>
      <c r="S98" s="27"/>
    </row>
    <row r="99" spans="1:19" ht="12.75">
      <c r="A99" s="27" t="s">
        <v>24</v>
      </c>
      <c r="B99" s="36">
        <v>9669</v>
      </c>
      <c r="C99" s="36">
        <v>30.580555555555556</v>
      </c>
      <c r="D99" s="36">
        <v>312</v>
      </c>
      <c r="E99" s="36">
        <v>10011.580555555556</v>
      </c>
      <c r="F99" s="36"/>
      <c r="G99" s="36"/>
      <c r="H99" s="27"/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44">
        <f t="shared" si="14"/>
        <v>0</v>
      </c>
      <c r="O99" s="27"/>
      <c r="P99" s="27"/>
      <c r="Q99" s="27"/>
      <c r="R99" s="27"/>
      <c r="S99" s="27"/>
    </row>
    <row r="100" spans="1:19" ht="12.75">
      <c r="A100" s="27" t="s">
        <v>34</v>
      </c>
      <c r="B100" s="36">
        <v>9328</v>
      </c>
      <c r="C100" s="36">
        <v>34.925</v>
      </c>
      <c r="D100" s="36">
        <v>315</v>
      </c>
      <c r="E100" s="36">
        <v>9677.925</v>
      </c>
      <c r="F100" s="36"/>
      <c r="G100" s="36"/>
      <c r="H100" s="27"/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44">
        <f t="shared" si="14"/>
        <v>0</v>
      </c>
      <c r="O100" s="27"/>
      <c r="P100" s="27"/>
      <c r="Q100" s="27"/>
      <c r="R100" s="27"/>
      <c r="S100" s="27"/>
    </row>
    <row r="101" spans="1:19" ht="12.75">
      <c r="A101" s="27" t="s">
        <v>25</v>
      </c>
      <c r="B101" s="36">
        <v>4849</v>
      </c>
      <c r="C101" s="36">
        <v>32.99444444444445</v>
      </c>
      <c r="D101" s="36">
        <v>315</v>
      </c>
      <c r="E101" s="36">
        <v>5196.9944444444445</v>
      </c>
      <c r="F101" s="36"/>
      <c r="G101" s="36"/>
      <c r="H101" s="27"/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44">
        <f t="shared" si="14"/>
        <v>0</v>
      </c>
      <c r="O101" s="27"/>
      <c r="P101" s="27"/>
      <c r="Q101" s="27"/>
      <c r="R101" s="27"/>
      <c r="S101" s="27"/>
    </row>
    <row r="102" spans="1:19" ht="12.75">
      <c r="A102" s="27" t="s">
        <v>26</v>
      </c>
      <c r="B102" s="36">
        <f>13896-65</f>
        <v>13831</v>
      </c>
      <c r="C102" s="36">
        <v>32.208333333333336</v>
      </c>
      <c r="D102" s="36">
        <v>315</v>
      </c>
      <c r="E102" s="36">
        <f>SUM(B102:D102)</f>
        <v>14178.208333333334</v>
      </c>
      <c r="F102" s="36"/>
      <c r="G102" s="36"/>
      <c r="H102" s="27"/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44">
        <f t="shared" si="14"/>
        <v>0</v>
      </c>
      <c r="O102" s="27"/>
      <c r="P102" s="27"/>
      <c r="Q102" s="27"/>
      <c r="R102" s="27"/>
      <c r="S102" s="27"/>
    </row>
    <row r="103" spans="1:19" ht="12.75">
      <c r="A103" s="27" t="s">
        <v>27</v>
      </c>
      <c r="B103" s="36">
        <v>9205</v>
      </c>
      <c r="C103" s="36">
        <v>30.183333333333334</v>
      </c>
      <c r="D103" s="36">
        <v>314</v>
      </c>
      <c r="E103" s="36">
        <v>9550.183333333332</v>
      </c>
      <c r="F103" s="27"/>
      <c r="G103" s="27"/>
      <c r="H103" s="27"/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44">
        <f t="shared" si="14"/>
        <v>0</v>
      </c>
      <c r="O103" s="27"/>
      <c r="P103" s="27"/>
      <c r="Q103" s="27"/>
      <c r="R103" s="27"/>
      <c r="S103" s="27"/>
    </row>
    <row r="104" spans="1:19" ht="12.75">
      <c r="A104" s="27" t="s">
        <v>59</v>
      </c>
      <c r="B104" s="36">
        <f>SUM(B92:B103)</f>
        <v>112828</v>
      </c>
      <c r="C104" s="36">
        <v>375.825</v>
      </c>
      <c r="D104" s="36">
        <v>3745</v>
      </c>
      <c r="E104" s="36">
        <v>117014.825</v>
      </c>
      <c r="F104" s="27"/>
      <c r="G104" s="27"/>
      <c r="H104" s="27"/>
      <c r="I104" s="45">
        <f aca="true" t="shared" si="15" ref="I104:N104">SUM(I92:I103)</f>
        <v>166167.45</v>
      </c>
      <c r="J104" s="45">
        <f t="shared" si="15"/>
        <v>24668.4</v>
      </c>
      <c r="K104" s="45">
        <f t="shared" si="15"/>
        <v>19872.06</v>
      </c>
      <c r="L104" s="45">
        <f t="shared" si="15"/>
        <v>142.74</v>
      </c>
      <c r="M104" s="45">
        <f t="shared" si="15"/>
        <v>1316.1299999999999</v>
      </c>
      <c r="N104" s="45">
        <f t="shared" si="15"/>
        <v>212166.78000000003</v>
      </c>
      <c r="O104" s="27"/>
      <c r="P104" s="27"/>
      <c r="Q104" s="27"/>
      <c r="R104" s="27"/>
      <c r="S104" s="27"/>
    </row>
    <row r="105" spans="1:19" ht="12.75">
      <c r="A105" s="27"/>
      <c r="B105" s="27"/>
      <c r="C105" s="27"/>
      <c r="D105" s="27"/>
      <c r="E105" s="27"/>
      <c r="F105" s="27"/>
      <c r="G105" s="27"/>
      <c r="H105" s="27"/>
      <c r="O105" s="27"/>
      <c r="P105" s="27"/>
      <c r="Q105" s="27"/>
      <c r="R105" s="27"/>
      <c r="S105" s="27"/>
    </row>
    <row r="106" spans="1:19" ht="12.75">
      <c r="A106" s="25" t="s">
        <v>62</v>
      </c>
      <c r="B106" s="27" t="s">
        <v>49</v>
      </c>
      <c r="C106" s="27" t="s">
        <v>50</v>
      </c>
      <c r="D106" s="27" t="s">
        <v>51</v>
      </c>
      <c r="E106" s="27" t="s">
        <v>52</v>
      </c>
      <c r="F106" s="27" t="s">
        <v>53</v>
      </c>
      <c r="G106" s="27"/>
      <c r="H106" s="27"/>
      <c r="I106" s="25" t="s">
        <v>67</v>
      </c>
      <c r="J106" s="27"/>
      <c r="K106" s="27"/>
      <c r="L106" s="27"/>
      <c r="M106" s="27"/>
      <c r="N106" s="36"/>
      <c r="O106" s="27"/>
      <c r="P106" s="27"/>
      <c r="Q106" s="27"/>
      <c r="R106" s="27"/>
      <c r="S106" s="27"/>
    </row>
    <row r="107" spans="1:19" ht="12.75">
      <c r="A107" s="27">
        <v>2004</v>
      </c>
      <c r="B107" s="27" t="s">
        <v>54</v>
      </c>
      <c r="C107" s="27" t="s">
        <v>55</v>
      </c>
      <c r="D107" s="27" t="s">
        <v>56</v>
      </c>
      <c r="E107" s="27" t="s">
        <v>57</v>
      </c>
      <c r="F107" s="27" t="s">
        <v>58</v>
      </c>
      <c r="G107" s="27" t="s">
        <v>44</v>
      </c>
      <c r="H107" s="27"/>
      <c r="I107" s="27" t="s">
        <v>54</v>
      </c>
      <c r="J107" s="36" t="s">
        <v>55</v>
      </c>
      <c r="K107" s="36" t="s">
        <v>56</v>
      </c>
      <c r="L107" s="36" t="s">
        <v>57</v>
      </c>
      <c r="M107" s="36" t="s">
        <v>58</v>
      </c>
      <c r="N107" s="36" t="s">
        <v>44</v>
      </c>
      <c r="O107" s="27"/>
      <c r="P107" s="27"/>
      <c r="Q107" s="27"/>
      <c r="R107" s="27"/>
      <c r="S107" s="27"/>
    </row>
    <row r="108" spans="1:19" ht="12.75">
      <c r="A108" s="27" t="s">
        <v>28</v>
      </c>
      <c r="B108" s="36">
        <v>12433</v>
      </c>
      <c r="C108" s="36">
        <v>899</v>
      </c>
      <c r="D108" s="36">
        <v>73</v>
      </c>
      <c r="E108" s="36">
        <v>183</v>
      </c>
      <c r="F108" s="36">
        <v>2309</v>
      </c>
      <c r="G108" s="36">
        <v>15897</v>
      </c>
      <c r="H108" s="27"/>
      <c r="I108" s="44">
        <f aca="true" t="shared" si="16" ref="I108:J110">+B76*J$124</f>
        <v>29752.358</v>
      </c>
      <c r="J108" s="44">
        <f t="shared" si="16"/>
        <v>3049.5022999999997</v>
      </c>
      <c r="K108" s="44">
        <f aca="true" t="shared" si="17" ref="K108:M110">+B92*L$124</f>
        <v>3337.64</v>
      </c>
      <c r="L108" s="44">
        <f t="shared" si="17"/>
        <v>17.682112500000002</v>
      </c>
      <c r="M108" s="44">
        <f t="shared" si="17"/>
        <v>178.96300000000002</v>
      </c>
      <c r="N108" s="44">
        <f>SUM(I108:M108)</f>
        <v>36336.1454125</v>
      </c>
      <c r="O108" s="27"/>
      <c r="P108" s="27"/>
      <c r="Q108" s="27"/>
      <c r="R108" s="27"/>
      <c r="S108" s="27"/>
    </row>
    <row r="109" spans="1:19" ht="12.75">
      <c r="A109" s="27" t="s">
        <v>29</v>
      </c>
      <c r="B109" s="36">
        <v>12444</v>
      </c>
      <c r="C109" s="36">
        <v>898</v>
      </c>
      <c r="D109" s="36">
        <v>73</v>
      </c>
      <c r="E109" s="36">
        <v>183</v>
      </c>
      <c r="F109" s="36">
        <v>2309</v>
      </c>
      <c r="G109" s="36">
        <v>15907</v>
      </c>
      <c r="H109" s="27"/>
      <c r="I109" s="44">
        <f t="shared" si="16"/>
        <v>40085.606</v>
      </c>
      <c r="J109" s="44">
        <f t="shared" si="16"/>
        <v>3644.9712</v>
      </c>
      <c r="K109" s="44">
        <f t="shared" si="17"/>
        <v>3468.6839999999997</v>
      </c>
      <c r="L109" s="44">
        <f t="shared" si="17"/>
        <v>17.65055138888889</v>
      </c>
      <c r="M109" s="44">
        <f t="shared" si="17"/>
        <v>178.96300000000002</v>
      </c>
      <c r="N109" s="44">
        <f aca="true" t="shared" si="18" ref="N109:N119">SUM(I109:M109)</f>
        <v>47395.874751388896</v>
      </c>
      <c r="O109" s="27"/>
      <c r="P109" s="27"/>
      <c r="Q109" s="27"/>
      <c r="R109" s="27"/>
      <c r="S109" s="27"/>
    </row>
    <row r="110" spans="1:19" ht="12.75">
      <c r="A110" s="27" t="s">
        <v>30</v>
      </c>
      <c r="B110" s="36">
        <v>12464</v>
      </c>
      <c r="C110" s="36">
        <v>899</v>
      </c>
      <c r="D110" s="36">
        <v>73</v>
      </c>
      <c r="E110" s="36">
        <v>183</v>
      </c>
      <c r="F110" s="36">
        <v>2309</v>
      </c>
      <c r="G110" s="36">
        <v>15928</v>
      </c>
      <c r="H110" s="27"/>
      <c r="I110" s="44">
        <f t="shared" si="16"/>
        <v>32643.354</v>
      </c>
      <c r="J110" s="44">
        <f t="shared" si="16"/>
        <v>3133.3523</v>
      </c>
      <c r="K110" s="44">
        <f t="shared" si="17"/>
        <v>3366.6</v>
      </c>
      <c r="L110" s="44">
        <f t="shared" si="17"/>
        <v>17.344408611111113</v>
      </c>
      <c r="M110" s="44">
        <f t="shared" si="17"/>
        <v>178.96300000000002</v>
      </c>
      <c r="N110" s="44">
        <f t="shared" si="18"/>
        <v>39339.61370861111</v>
      </c>
      <c r="O110" s="27"/>
      <c r="P110" s="27"/>
      <c r="Q110" s="27"/>
      <c r="R110" s="27"/>
      <c r="S110" s="27"/>
    </row>
    <row r="111" spans="1:19" ht="12.75">
      <c r="A111" s="27" t="s">
        <v>31</v>
      </c>
      <c r="B111" s="36">
        <v>12496</v>
      </c>
      <c r="C111" s="36">
        <v>886</v>
      </c>
      <c r="D111" s="36">
        <v>73</v>
      </c>
      <c r="E111" s="36">
        <v>183</v>
      </c>
      <c r="F111" s="36">
        <v>2309</v>
      </c>
      <c r="G111" s="36">
        <v>15947</v>
      </c>
      <c r="H111" s="27"/>
      <c r="I111" s="44">
        <f>+B79*J$125</f>
        <v>62639.415</v>
      </c>
      <c r="J111" s="44">
        <f>+C79*K$125</f>
        <v>8156.356</v>
      </c>
      <c r="K111" s="44">
        <f>+B95*L$125</f>
        <v>9463.6628</v>
      </c>
      <c r="L111" s="44">
        <f>+C95*M$125</f>
        <v>58.72627333333333</v>
      </c>
      <c r="M111" s="44">
        <f>+D95*N$125</f>
        <v>399.06300000000005</v>
      </c>
      <c r="N111" s="44">
        <f>SUM(I111:M111)</f>
        <v>80717.22307333334</v>
      </c>
      <c r="O111" s="27"/>
      <c r="P111" s="27"/>
      <c r="Q111" s="27"/>
      <c r="R111" s="27"/>
      <c r="S111" s="27"/>
    </row>
    <row r="112" spans="1:19" ht="12.75">
      <c r="A112" s="27" t="s">
        <v>13</v>
      </c>
      <c r="B112" s="36">
        <v>12513</v>
      </c>
      <c r="C112" s="36">
        <v>885</v>
      </c>
      <c r="D112" s="36">
        <v>73</v>
      </c>
      <c r="E112" s="36">
        <v>183</v>
      </c>
      <c r="F112" s="36">
        <v>2309</v>
      </c>
      <c r="G112" s="36">
        <v>15963</v>
      </c>
      <c r="H112" s="27"/>
      <c r="I112" s="44">
        <f aca="true" t="shared" si="19" ref="I112:J119">+B80*J$125</f>
        <v>57845.675</v>
      </c>
      <c r="J112" s="44">
        <f t="shared" si="19"/>
        <v>7600.684</v>
      </c>
      <c r="K112" s="44">
        <f aca="true" t="shared" si="20" ref="K112:M119">+B96*L$125</f>
        <v>9601.0119</v>
      </c>
      <c r="L112" s="44">
        <f t="shared" si="20"/>
        <v>57.41126666666667</v>
      </c>
      <c r="M112" s="44">
        <f t="shared" si="20"/>
        <v>399.06300000000005</v>
      </c>
      <c r="N112" s="44">
        <f t="shared" si="18"/>
        <v>75503.84516666667</v>
      </c>
      <c r="O112" s="27"/>
      <c r="P112" s="27"/>
      <c r="Q112" s="27"/>
      <c r="R112" s="27"/>
      <c r="S112" s="27"/>
    </row>
    <row r="113" spans="1:19" ht="12.75">
      <c r="A113" s="27" t="s">
        <v>32</v>
      </c>
      <c r="B113" s="36">
        <v>12539</v>
      </c>
      <c r="C113" s="36">
        <v>886</v>
      </c>
      <c r="D113" s="36">
        <v>73</v>
      </c>
      <c r="E113" s="36">
        <v>183</v>
      </c>
      <c r="F113" s="36">
        <v>2309</v>
      </c>
      <c r="G113" s="36">
        <v>15990</v>
      </c>
      <c r="H113" s="27"/>
      <c r="I113" s="44">
        <f t="shared" si="19"/>
        <v>48558.03</v>
      </c>
      <c r="J113" s="44">
        <f t="shared" si="19"/>
        <v>8175.456</v>
      </c>
      <c r="K113" s="44">
        <f t="shared" si="20"/>
        <v>9891.2006</v>
      </c>
      <c r="L113" s="44">
        <f t="shared" si="20"/>
        <v>60.313903333333336</v>
      </c>
      <c r="M113" s="44">
        <f t="shared" si="20"/>
        <v>401.6376</v>
      </c>
      <c r="N113" s="44">
        <f t="shared" si="18"/>
        <v>67086.63810333333</v>
      </c>
      <c r="O113" s="27"/>
      <c r="P113" s="27"/>
      <c r="Q113" s="27"/>
      <c r="R113" s="27"/>
      <c r="S113" s="27"/>
    </row>
    <row r="114" spans="1:19" ht="12.75">
      <c r="A114" s="27" t="s">
        <v>33</v>
      </c>
      <c r="B114" s="36">
        <v>12554</v>
      </c>
      <c r="C114" s="36">
        <v>883</v>
      </c>
      <c r="D114" s="36">
        <v>73</v>
      </c>
      <c r="E114" s="36">
        <v>183</v>
      </c>
      <c r="F114" s="36">
        <v>2309</v>
      </c>
      <c r="G114" s="36">
        <v>16002</v>
      </c>
      <c r="H114" s="27"/>
      <c r="I114" s="44">
        <f t="shared" si="19"/>
        <v>45519.9</v>
      </c>
      <c r="J114" s="44">
        <f t="shared" si="19"/>
        <v>8321.472</v>
      </c>
      <c r="K114" s="44">
        <f t="shared" si="20"/>
        <v>10125.6235</v>
      </c>
      <c r="L114" s="44">
        <f t="shared" si="20"/>
        <v>58.72627333333333</v>
      </c>
      <c r="M114" s="44">
        <f t="shared" si="20"/>
        <v>401.6376</v>
      </c>
      <c r="N114" s="44">
        <f t="shared" si="18"/>
        <v>64427.35937333334</v>
      </c>
      <c r="O114" s="27"/>
      <c r="P114" s="27"/>
      <c r="Q114" s="27"/>
      <c r="R114" s="27"/>
      <c r="S114" s="27"/>
    </row>
    <row r="115" spans="1:19" ht="12.75">
      <c r="A115" s="27" t="s">
        <v>24</v>
      </c>
      <c r="B115" s="36">
        <v>12572</v>
      </c>
      <c r="C115" s="36">
        <v>880</v>
      </c>
      <c r="D115" s="36">
        <v>73</v>
      </c>
      <c r="E115" s="36">
        <v>183</v>
      </c>
      <c r="F115" s="36">
        <v>2309</v>
      </c>
      <c r="G115" s="36">
        <v>16017</v>
      </c>
      <c r="H115" s="27"/>
      <c r="I115" s="44">
        <f t="shared" si="19"/>
        <v>52933.630000000005</v>
      </c>
      <c r="J115" s="44">
        <f t="shared" si="19"/>
        <v>9193.004</v>
      </c>
      <c r="K115" s="44">
        <f t="shared" si="20"/>
        <v>9985.1763</v>
      </c>
      <c r="L115" s="44">
        <f t="shared" si="20"/>
        <v>58.84922111111111</v>
      </c>
      <c r="M115" s="44">
        <f t="shared" si="20"/>
        <v>401.6376</v>
      </c>
      <c r="N115" s="44">
        <f t="shared" si="18"/>
        <v>72572.29712111113</v>
      </c>
      <c r="O115" s="27"/>
      <c r="P115" s="27"/>
      <c r="Q115" s="27"/>
      <c r="R115" s="27"/>
      <c r="S115" s="27"/>
    </row>
    <row r="116" spans="1:19" ht="12.75">
      <c r="A116" s="27" t="s">
        <v>34</v>
      </c>
      <c r="B116" s="36">
        <v>12597</v>
      </c>
      <c r="C116" s="36">
        <v>886</v>
      </c>
      <c r="D116" s="36">
        <v>73</v>
      </c>
      <c r="E116" s="36">
        <v>183</v>
      </c>
      <c r="F116" s="36">
        <v>2309</v>
      </c>
      <c r="G116" s="36">
        <v>16048</v>
      </c>
      <c r="H116" s="27"/>
      <c r="I116" s="44">
        <f t="shared" si="19"/>
        <v>60379.64</v>
      </c>
      <c r="J116" s="44">
        <f t="shared" si="19"/>
        <v>10184.988</v>
      </c>
      <c r="K116" s="44">
        <f t="shared" si="20"/>
        <v>9633.025599999999</v>
      </c>
      <c r="L116" s="44">
        <f t="shared" si="20"/>
        <v>67.20967</v>
      </c>
      <c r="M116" s="44">
        <f t="shared" si="20"/>
        <v>405.4995</v>
      </c>
      <c r="N116" s="44">
        <f t="shared" si="18"/>
        <v>80670.36276999999</v>
      </c>
      <c r="O116" s="27"/>
      <c r="P116" s="27"/>
      <c r="Q116" s="27"/>
      <c r="R116" s="27"/>
      <c r="S116" s="27"/>
    </row>
    <row r="117" spans="1:19" ht="12.75">
      <c r="A117" s="27" t="s">
        <v>25</v>
      </c>
      <c r="B117" s="36">
        <v>12614</v>
      </c>
      <c r="C117" s="36">
        <v>888</v>
      </c>
      <c r="D117" s="36">
        <v>73</v>
      </c>
      <c r="E117" s="36">
        <v>183</v>
      </c>
      <c r="F117" s="36">
        <v>2309</v>
      </c>
      <c r="G117" s="36">
        <v>16067</v>
      </c>
      <c r="H117" s="27"/>
      <c r="I117" s="44">
        <f t="shared" si="19"/>
        <v>52858.97</v>
      </c>
      <c r="J117" s="44">
        <f t="shared" si="19"/>
        <v>9407.116</v>
      </c>
      <c r="K117" s="44">
        <f t="shared" si="20"/>
        <v>5007.5623</v>
      </c>
      <c r="L117" s="44">
        <f t="shared" si="20"/>
        <v>63.494508888888895</v>
      </c>
      <c r="M117" s="44">
        <f t="shared" si="20"/>
        <v>405.4995</v>
      </c>
      <c r="N117" s="44">
        <f t="shared" si="18"/>
        <v>67742.6423088889</v>
      </c>
      <c r="O117" s="27"/>
      <c r="P117" s="27"/>
      <c r="Q117" s="27"/>
      <c r="R117" s="27"/>
      <c r="S117" s="27"/>
    </row>
    <row r="118" spans="1:19" ht="12.75">
      <c r="A118" s="27" t="s">
        <v>26</v>
      </c>
      <c r="B118" s="36">
        <v>12650</v>
      </c>
      <c r="C118" s="36">
        <v>886</v>
      </c>
      <c r="D118" s="36">
        <v>73</v>
      </c>
      <c r="E118" s="36">
        <v>183</v>
      </c>
      <c r="F118" s="36">
        <v>2309</v>
      </c>
      <c r="G118" s="36">
        <v>16101</v>
      </c>
      <c r="H118" s="27"/>
      <c r="I118" s="44">
        <f t="shared" si="19"/>
        <v>52210.68</v>
      </c>
      <c r="J118" s="44">
        <f t="shared" si="19"/>
        <v>8450.528</v>
      </c>
      <c r="K118" s="44">
        <f t="shared" si="20"/>
        <v>14283.2737</v>
      </c>
      <c r="L118" s="44">
        <f t="shared" si="20"/>
        <v>61.98171666666668</v>
      </c>
      <c r="M118" s="44">
        <f t="shared" si="20"/>
        <v>405.4995</v>
      </c>
      <c r="N118" s="44">
        <f t="shared" si="18"/>
        <v>75411.96291666667</v>
      </c>
      <c r="O118" s="27"/>
      <c r="P118" s="27"/>
      <c r="Q118" s="27"/>
      <c r="R118" s="27"/>
      <c r="S118" s="27"/>
    </row>
    <row r="119" spans="1:19" ht="12.75">
      <c r="A119" s="27" t="s">
        <v>27</v>
      </c>
      <c r="B119" s="36">
        <v>12670</v>
      </c>
      <c r="C119" s="36">
        <v>888</v>
      </c>
      <c r="D119" s="36">
        <v>74</v>
      </c>
      <c r="E119" s="36">
        <v>183</v>
      </c>
      <c r="F119" s="36">
        <v>2309</v>
      </c>
      <c r="G119" s="36">
        <v>16124</v>
      </c>
      <c r="H119" s="27"/>
      <c r="I119" s="44">
        <f t="shared" si="19"/>
        <v>54800.770000000004</v>
      </c>
      <c r="J119" s="44">
        <f t="shared" si="19"/>
        <v>7989.7080000000005</v>
      </c>
      <c r="K119" s="44">
        <f t="shared" si="20"/>
        <v>9506.003499999999</v>
      </c>
      <c r="L119" s="44">
        <f t="shared" si="20"/>
        <v>58.08480666666667</v>
      </c>
      <c r="M119" s="44">
        <f t="shared" si="20"/>
        <v>404.21220000000005</v>
      </c>
      <c r="N119" s="44">
        <f t="shared" si="18"/>
        <v>72758.77850666665</v>
      </c>
      <c r="O119" s="27"/>
      <c r="P119" s="27"/>
      <c r="Q119" s="27"/>
      <c r="R119" s="27"/>
      <c r="S119" s="27"/>
    </row>
    <row r="120" spans="1:19" ht="12.75">
      <c r="A120" s="27"/>
      <c r="B120" s="36"/>
      <c r="C120" s="36"/>
      <c r="D120" s="36"/>
      <c r="E120" s="36"/>
      <c r="F120" s="36"/>
      <c r="G120" s="36"/>
      <c r="H120" s="27"/>
      <c r="I120" s="45">
        <f aca="true" t="shared" si="21" ref="I120:N120">SUM(I108:I119)</f>
        <v>590228.028</v>
      </c>
      <c r="J120" s="45">
        <f t="shared" si="21"/>
        <v>87307.1378</v>
      </c>
      <c r="K120" s="45">
        <f t="shared" si="21"/>
        <v>97669.46420000002</v>
      </c>
      <c r="L120" s="45">
        <f t="shared" si="21"/>
        <v>597.4747125</v>
      </c>
      <c r="M120" s="45">
        <f t="shared" si="21"/>
        <v>4160.6385</v>
      </c>
      <c r="N120" s="45">
        <f t="shared" si="21"/>
        <v>779962.7432125001</v>
      </c>
      <c r="O120" s="27"/>
      <c r="P120" s="27"/>
      <c r="Q120" s="27"/>
      <c r="R120" s="27"/>
      <c r="S120" s="27"/>
    </row>
    <row r="121" spans="1:19" ht="12.75">
      <c r="A121" s="27"/>
      <c r="B121" s="36"/>
      <c r="C121" s="36"/>
      <c r="D121" s="36"/>
      <c r="E121" s="36"/>
      <c r="F121" s="36"/>
      <c r="G121" s="36"/>
      <c r="H121" s="27"/>
      <c r="O121" s="27"/>
      <c r="P121" s="27"/>
      <c r="Q121" s="27"/>
      <c r="R121" s="27"/>
      <c r="S121" s="27"/>
    </row>
    <row r="122" spans="1:19" ht="12.75">
      <c r="A122" s="27"/>
      <c r="B122" s="36"/>
      <c r="C122" s="36"/>
      <c r="D122" s="36"/>
      <c r="E122" s="36"/>
      <c r="F122" s="36"/>
      <c r="G122" s="36"/>
      <c r="H122" s="27"/>
      <c r="I122" s="59" t="s">
        <v>68</v>
      </c>
      <c r="J122" s="60" t="s">
        <v>54</v>
      </c>
      <c r="K122" s="61" t="s">
        <v>55</v>
      </c>
      <c r="L122" s="61" t="s">
        <v>56</v>
      </c>
      <c r="M122" s="61" t="s">
        <v>57</v>
      </c>
      <c r="N122" s="61" t="s">
        <v>58</v>
      </c>
      <c r="O122" s="27"/>
      <c r="P122" s="27"/>
      <c r="Q122" s="27"/>
      <c r="R122" s="27"/>
      <c r="S122" s="27"/>
    </row>
    <row r="123" spans="1:19" ht="12.75">
      <c r="A123" s="27"/>
      <c r="B123" s="36"/>
      <c r="C123" s="36"/>
      <c r="D123" s="36"/>
      <c r="E123" s="36"/>
      <c r="F123" s="36"/>
      <c r="G123" s="36"/>
      <c r="H123" s="27"/>
      <c r="I123" s="62" t="s">
        <v>63</v>
      </c>
      <c r="J123" s="64">
        <f>'[1]PILS 2002-2003'!$D$5</f>
        <v>4.45</v>
      </c>
      <c r="K123" s="64">
        <f>'[1]PILS 2002-2003'!$D$6</f>
        <v>9.15</v>
      </c>
      <c r="L123" s="64">
        <f>'[1]PILS 2002-2003'!$D$7</f>
        <v>90.74000000000001</v>
      </c>
      <c r="M123" s="64">
        <f>'[1]PILS 2002-2003'!$D$8</f>
        <v>0.26</v>
      </c>
      <c r="N123" s="64">
        <f>'[1]PILS 2002-2003'!$D$9</f>
        <v>0.19</v>
      </c>
      <c r="O123" s="27"/>
      <c r="P123" s="27"/>
      <c r="Q123" s="27"/>
      <c r="R123" s="27"/>
      <c r="S123" s="27"/>
    </row>
    <row r="124" spans="1:19" ht="12.75">
      <c r="A124" s="27"/>
      <c r="B124" s="36"/>
      <c r="C124" s="36"/>
      <c r="D124" s="36"/>
      <c r="E124" s="36"/>
      <c r="F124" s="36"/>
      <c r="G124" s="36"/>
      <c r="H124" s="27"/>
      <c r="I124" s="62" t="s">
        <v>110</v>
      </c>
      <c r="J124" s="63">
        <f>'[1]PILS 2002-2003'!$D$12</f>
        <v>0.002</v>
      </c>
      <c r="K124" s="63">
        <f>'[1]PILS 2002-2003'!$D$13</f>
        <v>0.0013</v>
      </c>
      <c r="L124" s="63">
        <f>'[1]PILS 2002-2003'!$D$14</f>
        <v>0.362</v>
      </c>
      <c r="M124" s="63">
        <f>'[1]PILS 2002-2003'!$D$15</f>
        <v>0.5681</v>
      </c>
      <c r="N124" s="63">
        <f>'[1]PILS 2002-2003'!$D$16</f>
        <v>0.5773</v>
      </c>
      <c r="O124" s="27"/>
      <c r="P124" s="27"/>
      <c r="Q124" s="27"/>
      <c r="R124" s="27"/>
      <c r="S124" s="27"/>
    </row>
    <row r="125" spans="1:19" ht="12.75">
      <c r="A125" s="27"/>
      <c r="B125" s="36"/>
      <c r="C125" s="36"/>
      <c r="D125" s="36"/>
      <c r="E125" s="36"/>
      <c r="F125" s="36"/>
      <c r="G125" s="36"/>
      <c r="H125" s="27"/>
      <c r="I125" s="62" t="s">
        <v>111</v>
      </c>
      <c r="J125" s="63">
        <v>0.005</v>
      </c>
      <c r="K125" s="63">
        <v>0.004</v>
      </c>
      <c r="L125" s="63">
        <v>1.0327</v>
      </c>
      <c r="M125" s="63">
        <v>1.9244</v>
      </c>
      <c r="N125" s="63">
        <v>1.2873</v>
      </c>
      <c r="O125" s="27"/>
      <c r="P125" s="27"/>
      <c r="Q125" s="27"/>
      <c r="R125" s="27"/>
      <c r="S125" s="27"/>
    </row>
    <row r="126" spans="1:19" ht="12.75">
      <c r="A126" s="27"/>
      <c r="B126" s="36"/>
      <c r="C126" s="36"/>
      <c r="D126" s="36"/>
      <c r="E126" s="36"/>
      <c r="F126" s="36"/>
      <c r="G126" s="36"/>
      <c r="H126" s="27"/>
      <c r="I126" s="42"/>
      <c r="J126" s="43"/>
      <c r="K126" s="43"/>
      <c r="L126" s="43"/>
      <c r="M126" s="43"/>
      <c r="N126" s="43"/>
      <c r="O126" s="27"/>
      <c r="P126" s="27"/>
      <c r="Q126" s="27"/>
      <c r="R126" s="27"/>
      <c r="S126" s="27"/>
    </row>
    <row r="127" spans="1:19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12.75">
      <c r="A128" s="25" t="s">
        <v>48</v>
      </c>
      <c r="B128" s="27" t="s">
        <v>49</v>
      </c>
      <c r="C128" s="27" t="s">
        <v>50</v>
      </c>
      <c r="D128" s="27" t="s">
        <v>51</v>
      </c>
      <c r="E128" s="27" t="s">
        <v>52</v>
      </c>
      <c r="F128" s="27" t="s">
        <v>53</v>
      </c>
      <c r="G128" s="27"/>
      <c r="H128" s="27"/>
      <c r="I128" s="25" t="s">
        <v>65</v>
      </c>
      <c r="J128" s="27"/>
      <c r="K128" s="27"/>
      <c r="L128" s="27"/>
      <c r="M128" s="27"/>
      <c r="N128" s="36"/>
      <c r="R128" s="36"/>
      <c r="S128" s="27"/>
    </row>
    <row r="129" spans="1:19" ht="12.75">
      <c r="A129" s="27">
        <v>2003</v>
      </c>
      <c r="B129" s="27" t="s">
        <v>54</v>
      </c>
      <c r="C129" s="27" t="s">
        <v>55</v>
      </c>
      <c r="D129" s="27" t="s">
        <v>56</v>
      </c>
      <c r="E129" s="27" t="s">
        <v>57</v>
      </c>
      <c r="F129" s="27" t="s">
        <v>58</v>
      </c>
      <c r="G129" s="27" t="s">
        <v>44</v>
      </c>
      <c r="H129" s="27"/>
      <c r="I129" s="27" t="s">
        <v>54</v>
      </c>
      <c r="J129" s="36" t="s">
        <v>55</v>
      </c>
      <c r="K129" s="36" t="s">
        <v>56</v>
      </c>
      <c r="L129" s="36" t="s">
        <v>57</v>
      </c>
      <c r="M129" s="36" t="s">
        <v>58</v>
      </c>
      <c r="N129" s="36" t="s">
        <v>44</v>
      </c>
      <c r="R129" s="27"/>
      <c r="S129" s="27"/>
    </row>
    <row r="130" spans="1:19" ht="12.75">
      <c r="A130" s="27" t="s">
        <v>28</v>
      </c>
      <c r="B130" s="36">
        <f>15632887+73447</f>
        <v>15706334</v>
      </c>
      <c r="C130" s="36">
        <v>2215823</v>
      </c>
      <c r="D130" s="36">
        <v>3482295</v>
      </c>
      <c r="E130" s="36">
        <v>11326</v>
      </c>
      <c r="F130" s="36">
        <f>106931-35000</f>
        <v>71931</v>
      </c>
      <c r="G130" s="36">
        <f aca="true" t="shared" si="22" ref="G130:G141">SUM(B130:F130)</f>
        <v>21487709</v>
      </c>
      <c r="H130" s="27"/>
      <c r="I130" s="44">
        <f aca="true" t="shared" si="23" ref="I130:M141">I146+I162</f>
        <v>85871.768</v>
      </c>
      <c r="J130" s="44">
        <f t="shared" si="23"/>
        <v>10658.0699</v>
      </c>
      <c r="K130" s="44">
        <f t="shared" si="23"/>
        <v>10222.662</v>
      </c>
      <c r="L130" s="44">
        <f t="shared" si="23"/>
        <v>64.6711</v>
      </c>
      <c r="M130" s="44">
        <f t="shared" si="23"/>
        <v>588.6981000000001</v>
      </c>
      <c r="N130" s="44">
        <f>SUM(I130:M130)</f>
        <v>107405.8691</v>
      </c>
      <c r="R130" s="27"/>
      <c r="S130" s="27"/>
    </row>
    <row r="131" spans="1:19" ht="12.75">
      <c r="A131" s="27" t="s">
        <v>29</v>
      </c>
      <c r="B131" s="36">
        <f>17951617+81962</f>
        <v>18033579</v>
      </c>
      <c r="C131" s="36">
        <v>2470902</v>
      </c>
      <c r="D131" s="36">
        <v>3753186</v>
      </c>
      <c r="E131" s="36">
        <v>11304</v>
      </c>
      <c r="F131" s="36">
        <f>98412-25000</f>
        <v>73412</v>
      </c>
      <c r="G131" s="36">
        <f t="shared" si="22"/>
        <v>24342383</v>
      </c>
      <c r="H131" s="27"/>
      <c r="I131" s="44">
        <f t="shared" si="23"/>
        <v>90615.258</v>
      </c>
      <c r="J131" s="44">
        <f t="shared" si="23"/>
        <v>10998.8226</v>
      </c>
      <c r="K131" s="44">
        <f t="shared" si="23"/>
        <v>10165.226</v>
      </c>
      <c r="L131" s="44">
        <f t="shared" si="23"/>
        <v>64.6711</v>
      </c>
      <c r="M131" s="44">
        <f t="shared" si="23"/>
        <v>592.1619000000001</v>
      </c>
      <c r="N131" s="44">
        <f aca="true" t="shared" si="24" ref="N131:N141">SUM(I131:M131)</f>
        <v>112436.13960000001</v>
      </c>
      <c r="R131" s="27"/>
      <c r="S131" s="27"/>
    </row>
    <row r="132" spans="1:19" ht="12.75">
      <c r="A132" s="27" t="s">
        <v>30</v>
      </c>
      <c r="B132" s="36">
        <f>16853460+77330</f>
        <v>16930790</v>
      </c>
      <c r="C132" s="36">
        <v>2273492</v>
      </c>
      <c r="D132" s="36">
        <v>3352178</v>
      </c>
      <c r="E132" s="36">
        <v>11593</v>
      </c>
      <c r="F132" s="36">
        <f>96841-35000</f>
        <v>61841</v>
      </c>
      <c r="G132" s="36">
        <f t="shared" si="22"/>
        <v>22629894</v>
      </c>
      <c r="H132" s="27"/>
      <c r="I132" s="44">
        <f t="shared" si="23"/>
        <v>88463.08</v>
      </c>
      <c r="J132" s="44">
        <f t="shared" si="23"/>
        <v>10742.189600000002</v>
      </c>
      <c r="K132" s="44">
        <f t="shared" si="23"/>
        <v>10217.232</v>
      </c>
      <c r="L132" s="44">
        <f t="shared" si="23"/>
        <v>65.23920000000001</v>
      </c>
      <c r="M132" s="44">
        <f t="shared" si="23"/>
        <v>584.0797</v>
      </c>
      <c r="N132" s="44">
        <f t="shared" si="24"/>
        <v>110071.8205</v>
      </c>
      <c r="R132" s="27"/>
      <c r="S132" s="27"/>
    </row>
    <row r="133" spans="1:19" ht="12.75">
      <c r="A133" s="27" t="s">
        <v>31</v>
      </c>
      <c r="B133" s="36">
        <f>13823708+55115</f>
        <v>13878823</v>
      </c>
      <c r="C133" s="36">
        <v>1996822</v>
      </c>
      <c r="D133" s="36">
        <v>3261349</v>
      </c>
      <c r="E133" s="36">
        <v>11283</v>
      </c>
      <c r="F133" s="36">
        <f>97761-20000</f>
        <v>77761</v>
      </c>
      <c r="G133" s="36">
        <f t="shared" si="22"/>
        <v>19226038</v>
      </c>
      <c r="H133" s="27"/>
      <c r="I133" s="44">
        <f t="shared" si="23"/>
        <v>82443.696</v>
      </c>
      <c r="J133" s="44">
        <f t="shared" si="23"/>
        <v>10400.8186</v>
      </c>
      <c r="K133" s="44">
        <f t="shared" si="23"/>
        <v>10035.992</v>
      </c>
      <c r="L133" s="44">
        <f t="shared" si="23"/>
        <v>64.6711</v>
      </c>
      <c r="M133" s="44">
        <f t="shared" si="23"/>
        <v>594.4711</v>
      </c>
      <c r="N133" s="44">
        <f t="shared" si="24"/>
        <v>103539.6488</v>
      </c>
      <c r="R133" s="27"/>
      <c r="S133" s="27"/>
    </row>
    <row r="134" spans="1:19" ht="12.75">
      <c r="A134" s="27" t="s">
        <v>13</v>
      </c>
      <c r="B134" s="36">
        <f>11450561+42380</f>
        <v>11492941</v>
      </c>
      <c r="C134" s="36">
        <v>1818035</v>
      </c>
      <c r="D134" s="36">
        <v>3006098</v>
      </c>
      <c r="E134" s="36">
        <v>11482</v>
      </c>
      <c r="F134" s="36">
        <f>96051-15000</f>
        <v>81051</v>
      </c>
      <c r="G134" s="36">
        <f t="shared" si="22"/>
        <v>16409607</v>
      </c>
      <c r="H134" s="27"/>
      <c r="I134" s="44">
        <f t="shared" si="23"/>
        <v>77725.33200000001</v>
      </c>
      <c r="J134" s="44">
        <f t="shared" si="23"/>
        <v>10159.2455</v>
      </c>
      <c r="K134" s="44">
        <f t="shared" si="23"/>
        <v>10113.822</v>
      </c>
      <c r="L134" s="44">
        <f t="shared" si="23"/>
        <v>65.23920000000001</v>
      </c>
      <c r="M134" s="44">
        <f t="shared" si="23"/>
        <v>588.6981000000001</v>
      </c>
      <c r="N134" s="44">
        <f t="shared" si="24"/>
        <v>98652.3368</v>
      </c>
      <c r="R134" s="27"/>
      <c r="S134" s="27"/>
    </row>
    <row r="135" spans="1:19" ht="12.75">
      <c r="A135" s="27" t="s">
        <v>32</v>
      </c>
      <c r="B135" s="36">
        <f>9385976+28305</f>
        <v>9414281</v>
      </c>
      <c r="C135" s="36">
        <v>1800665</v>
      </c>
      <c r="D135" s="36">
        <v>3006610</v>
      </c>
      <c r="E135" s="36">
        <v>11080</v>
      </c>
      <c r="F135" s="36">
        <f>95400-10000</f>
        <v>85400</v>
      </c>
      <c r="G135" s="36">
        <f t="shared" si="22"/>
        <v>14318036</v>
      </c>
      <c r="H135" s="27"/>
      <c r="I135" s="44">
        <f t="shared" si="23"/>
        <v>73559.11200000001</v>
      </c>
      <c r="J135" s="44">
        <f t="shared" si="23"/>
        <v>10136.664499999999</v>
      </c>
      <c r="K135" s="44">
        <f t="shared" si="23"/>
        <v>9984.588</v>
      </c>
      <c r="L135" s="44">
        <f t="shared" si="23"/>
        <v>64.6711</v>
      </c>
      <c r="M135" s="44">
        <f t="shared" si="23"/>
        <v>593.3165</v>
      </c>
      <c r="N135" s="44">
        <f t="shared" si="24"/>
        <v>94338.35210000002</v>
      </c>
      <c r="R135" s="27"/>
      <c r="S135" s="27"/>
    </row>
    <row r="136" spans="1:19" ht="12.75">
      <c r="A136" s="27" t="s">
        <v>33</v>
      </c>
      <c r="B136" s="36">
        <f>9099553+23278</f>
        <v>9122831</v>
      </c>
      <c r="C136" s="36">
        <v>1935405</v>
      </c>
      <c r="D136" s="36">
        <v>3111502</v>
      </c>
      <c r="E136" s="36">
        <v>11173</v>
      </c>
      <c r="F136" s="36">
        <f>94505-20000</f>
        <v>74505</v>
      </c>
      <c r="G136" s="36">
        <f t="shared" si="22"/>
        <v>14255416</v>
      </c>
      <c r="H136" s="27"/>
      <c r="I136" s="44">
        <f t="shared" si="23"/>
        <v>73065.212</v>
      </c>
      <c r="J136" s="44">
        <f t="shared" si="23"/>
        <v>10320.9765</v>
      </c>
      <c r="K136" s="44">
        <f t="shared" si="23"/>
        <v>10272.378</v>
      </c>
      <c r="L136" s="44">
        <f t="shared" si="23"/>
        <v>64.6711</v>
      </c>
      <c r="M136" s="44">
        <f t="shared" si="23"/>
        <v>595.0484</v>
      </c>
      <c r="N136" s="44">
        <f t="shared" si="24"/>
        <v>94318.28600000001</v>
      </c>
      <c r="R136" s="27"/>
      <c r="S136" s="27"/>
    </row>
    <row r="137" spans="1:19" ht="12.75">
      <c r="A137" s="27" t="s">
        <v>24</v>
      </c>
      <c r="B137" s="36">
        <f>10926012+16040</f>
        <v>10942052</v>
      </c>
      <c r="C137" s="36">
        <v>2212869</v>
      </c>
      <c r="D137" s="36">
        <v>3311495</v>
      </c>
      <c r="E137" s="36">
        <v>11338</v>
      </c>
      <c r="F137" s="36">
        <v>70895</v>
      </c>
      <c r="G137" s="36">
        <f t="shared" si="22"/>
        <v>16548649</v>
      </c>
      <c r="H137" s="27"/>
      <c r="I137" s="44">
        <f t="shared" si="23"/>
        <v>76783.754</v>
      </c>
      <c r="J137" s="44">
        <f t="shared" si="23"/>
        <v>10699.9797</v>
      </c>
      <c r="K137" s="44">
        <f t="shared" si="23"/>
        <v>10256.088</v>
      </c>
      <c r="L137" s="44">
        <f t="shared" si="23"/>
        <v>64.6711</v>
      </c>
      <c r="M137" s="44">
        <f t="shared" si="23"/>
        <v>592.7392</v>
      </c>
      <c r="N137" s="44">
        <f t="shared" si="24"/>
        <v>98397.232</v>
      </c>
      <c r="R137" s="27"/>
      <c r="S137" s="27"/>
    </row>
    <row r="138" spans="1:19" ht="12.75">
      <c r="A138" s="27" t="s">
        <v>34</v>
      </c>
      <c r="B138" s="36">
        <f>10852099+9364</f>
        <v>10861463</v>
      </c>
      <c r="C138" s="36">
        <v>2200540</v>
      </c>
      <c r="D138" s="36">
        <v>2938320</v>
      </c>
      <c r="E138" s="36">
        <v>11581</v>
      </c>
      <c r="F138" s="36">
        <v>90338</v>
      </c>
      <c r="G138" s="36">
        <f t="shared" si="22"/>
        <v>16102242</v>
      </c>
      <c r="H138" s="27"/>
      <c r="I138" s="44">
        <f t="shared" si="23"/>
        <v>76716.02600000001</v>
      </c>
      <c r="J138" s="44">
        <f t="shared" si="23"/>
        <v>10693.102</v>
      </c>
      <c r="K138" s="44">
        <f t="shared" si="23"/>
        <v>10296.994</v>
      </c>
      <c r="L138" s="44">
        <f t="shared" si="23"/>
        <v>65.23920000000001</v>
      </c>
      <c r="M138" s="44">
        <f t="shared" si="23"/>
        <v>591.0073</v>
      </c>
      <c r="N138" s="44">
        <f t="shared" si="24"/>
        <v>98362.36850000001</v>
      </c>
      <c r="R138" s="27"/>
      <c r="S138" s="27"/>
    </row>
    <row r="139" spans="1:19" ht="12.75">
      <c r="A139" s="27" t="s">
        <v>25</v>
      </c>
      <c r="B139" s="36">
        <f>8929294+10829</f>
        <v>8940123</v>
      </c>
      <c r="C139" s="36">
        <v>1914009</v>
      </c>
      <c r="D139" s="36">
        <v>3101251</v>
      </c>
      <c r="E139" s="36">
        <v>11261</v>
      </c>
      <c r="F139" s="36">
        <f>95846-14000</f>
        <v>81846</v>
      </c>
      <c r="G139" s="36">
        <f t="shared" si="22"/>
        <v>14048490</v>
      </c>
      <c r="H139" s="27"/>
      <c r="I139" s="44">
        <f t="shared" si="23"/>
        <v>72966.796</v>
      </c>
      <c r="J139" s="44">
        <f t="shared" si="23"/>
        <v>10503.611700000001</v>
      </c>
      <c r="K139" s="44">
        <f t="shared" si="23"/>
        <v>10047.576000000001</v>
      </c>
      <c r="L139" s="44">
        <f t="shared" si="23"/>
        <v>65.23920000000001</v>
      </c>
      <c r="M139" s="44">
        <f t="shared" si="23"/>
        <v>597.9349</v>
      </c>
      <c r="N139" s="44">
        <f t="shared" si="24"/>
        <v>94181.1578</v>
      </c>
      <c r="R139" s="27"/>
      <c r="S139" s="27"/>
    </row>
    <row r="140" spans="1:19" ht="12.75">
      <c r="A140" s="27" t="s">
        <v>26</v>
      </c>
      <c r="B140" s="36">
        <f>10379395+15159</f>
        <v>10394554</v>
      </c>
      <c r="C140" s="36">
        <v>2049115</v>
      </c>
      <c r="D140" s="36">
        <v>3190546</v>
      </c>
      <c r="E140" s="36">
        <v>11304</v>
      </c>
      <c r="F140" s="36">
        <f>98282-18599</f>
        <v>79683</v>
      </c>
      <c r="G140" s="36">
        <f t="shared" si="22"/>
        <v>15725202</v>
      </c>
      <c r="H140" s="27"/>
      <c r="I140" s="44">
        <f t="shared" si="23"/>
        <v>75937.95800000001</v>
      </c>
      <c r="J140" s="44">
        <f t="shared" si="23"/>
        <v>10670.0995</v>
      </c>
      <c r="K140" s="44">
        <f t="shared" si="23"/>
        <v>10043.594000000001</v>
      </c>
      <c r="L140" s="44">
        <f t="shared" si="23"/>
        <v>65.23920000000001</v>
      </c>
      <c r="M140" s="44">
        <f t="shared" si="23"/>
        <v>592.1619000000001</v>
      </c>
      <c r="N140" s="44">
        <f t="shared" si="24"/>
        <v>97309.05260000001</v>
      </c>
      <c r="R140" s="27"/>
      <c r="S140" s="27"/>
    </row>
    <row r="141" spans="1:19" ht="12.75">
      <c r="A141" s="27" t="s">
        <v>27</v>
      </c>
      <c r="B141" s="36">
        <f>11645011+20673</f>
        <v>11665684</v>
      </c>
      <c r="C141" s="36">
        <v>2069682</v>
      </c>
      <c r="D141" s="36">
        <v>3249166</v>
      </c>
      <c r="E141" s="36">
        <v>11299</v>
      </c>
      <c r="F141" s="36">
        <f>97970</f>
        <v>97970</v>
      </c>
      <c r="G141" s="36">
        <f t="shared" si="22"/>
        <v>17093801</v>
      </c>
      <c r="H141" s="27"/>
      <c r="I141" s="44">
        <f t="shared" si="23"/>
        <v>78551.418</v>
      </c>
      <c r="J141" s="44">
        <f t="shared" si="23"/>
        <v>10742.5866</v>
      </c>
      <c r="K141" s="44">
        <f t="shared" si="23"/>
        <v>10002.204</v>
      </c>
      <c r="L141" s="44">
        <f t="shared" si="23"/>
        <v>65.23920000000001</v>
      </c>
      <c r="M141" s="44">
        <f t="shared" si="23"/>
        <v>597.3576</v>
      </c>
      <c r="N141" s="44">
        <f t="shared" si="24"/>
        <v>99958.8054</v>
      </c>
      <c r="R141" s="27"/>
      <c r="S141" s="27"/>
    </row>
    <row r="142" spans="1:19" ht="12.75">
      <c r="A142" s="27" t="s">
        <v>59</v>
      </c>
      <c r="B142" s="36">
        <f aca="true" t="shared" si="25" ref="B142:G142">SUM(B130:B141)</f>
        <v>147383455</v>
      </c>
      <c r="C142" s="36">
        <f t="shared" si="25"/>
        <v>24957359</v>
      </c>
      <c r="D142" s="36">
        <f t="shared" si="25"/>
        <v>38763996</v>
      </c>
      <c r="E142" s="36">
        <f t="shared" si="25"/>
        <v>136024</v>
      </c>
      <c r="F142" s="36">
        <f t="shared" si="25"/>
        <v>946633</v>
      </c>
      <c r="G142" s="36">
        <f t="shared" si="25"/>
        <v>212187467</v>
      </c>
      <c r="H142" s="27"/>
      <c r="I142" s="45">
        <f aca="true" t="shared" si="26" ref="I142:N142">SUM(I130:I141)</f>
        <v>952699.4100000001</v>
      </c>
      <c r="J142" s="45">
        <f t="shared" si="26"/>
        <v>126726.1667</v>
      </c>
      <c r="K142" s="45">
        <f t="shared" si="26"/>
        <v>121658.356</v>
      </c>
      <c r="L142" s="45">
        <f t="shared" si="26"/>
        <v>779.4618</v>
      </c>
      <c r="M142" s="45">
        <f t="shared" si="26"/>
        <v>7107.6747000000005</v>
      </c>
      <c r="N142" s="45">
        <f t="shared" si="26"/>
        <v>1208971.0692</v>
      </c>
      <c r="R142" s="27"/>
      <c r="S142" s="27"/>
    </row>
    <row r="143" spans="1:19" ht="12.75">
      <c r="A143" s="27"/>
      <c r="B143" s="31"/>
      <c r="C143" s="31"/>
      <c r="D143" s="31"/>
      <c r="E143" s="31"/>
      <c r="F143" s="31"/>
      <c r="G143" s="31"/>
      <c r="H143" s="31"/>
      <c r="R143" s="32"/>
      <c r="S143" s="27"/>
    </row>
    <row r="144" spans="1:19" ht="12.75">
      <c r="A144" s="25" t="s">
        <v>61</v>
      </c>
      <c r="B144" s="27" t="s">
        <v>51</v>
      </c>
      <c r="C144" s="27" t="s">
        <v>52</v>
      </c>
      <c r="D144" s="27" t="s">
        <v>53</v>
      </c>
      <c r="E144" s="27"/>
      <c r="F144" s="27"/>
      <c r="G144" s="27"/>
      <c r="H144" s="27"/>
      <c r="I144" s="25" t="s">
        <v>66</v>
      </c>
      <c r="J144" s="27"/>
      <c r="K144" s="27"/>
      <c r="L144" s="27"/>
      <c r="M144" s="27"/>
      <c r="N144" s="36"/>
      <c r="R144" s="36"/>
      <c r="S144" s="27"/>
    </row>
    <row r="145" spans="1:19" ht="12.75">
      <c r="A145" s="27">
        <f>A129</f>
        <v>2003</v>
      </c>
      <c r="B145" s="27" t="s">
        <v>56</v>
      </c>
      <c r="C145" s="27" t="s">
        <v>57</v>
      </c>
      <c r="D145" s="27" t="s">
        <v>58</v>
      </c>
      <c r="E145" s="27" t="s">
        <v>44</v>
      </c>
      <c r="F145" s="27"/>
      <c r="G145" s="27"/>
      <c r="H145" s="27"/>
      <c r="I145" s="27" t="s">
        <v>54</v>
      </c>
      <c r="J145" s="36" t="s">
        <v>55</v>
      </c>
      <c r="K145" s="36" t="s">
        <v>56</v>
      </c>
      <c r="L145" s="36" t="s">
        <v>57</v>
      </c>
      <c r="M145" s="36" t="s">
        <v>58</v>
      </c>
      <c r="N145" s="36" t="s">
        <v>44</v>
      </c>
      <c r="R145" s="36"/>
      <c r="S145" s="27"/>
    </row>
    <row r="146" spans="1:19" ht="12.75">
      <c r="A146" s="27" t="s">
        <v>28</v>
      </c>
      <c r="B146" s="36">
        <v>9941</v>
      </c>
      <c r="C146" s="36">
        <v>31</v>
      </c>
      <c r="D146" s="36">
        <v>297</v>
      </c>
      <c r="E146" s="36">
        <f aca="true" t="shared" si="27" ref="E146:E157">SUM(B146:D146)</f>
        <v>10269</v>
      </c>
      <c r="F146" s="27"/>
      <c r="G146" s="27"/>
      <c r="H146" s="27"/>
      <c r="I146" s="35">
        <f aca="true" t="shared" si="28" ref="I146:I157">B162*J$177</f>
        <v>54459.1</v>
      </c>
      <c r="J146" s="35">
        <f aca="true" t="shared" si="29" ref="J146:J157">C162*K$177</f>
        <v>7777.5</v>
      </c>
      <c r="K146" s="35">
        <f aca="true" t="shared" si="30" ref="K146:K157">D162*L$177</f>
        <v>6624.02</v>
      </c>
      <c r="L146" s="35">
        <f aca="true" t="shared" si="31" ref="L146:L157">E162*M$177</f>
        <v>47.06</v>
      </c>
      <c r="M146" s="35">
        <f aca="true" t="shared" si="32" ref="M146:M157">F162*N$177</f>
        <v>417.24</v>
      </c>
      <c r="N146" s="44">
        <f>SUM(I146:M146)</f>
        <v>69324.92</v>
      </c>
      <c r="R146" s="36"/>
      <c r="S146" s="27"/>
    </row>
    <row r="147" spans="1:19" ht="12.75">
      <c r="A147" s="27" t="s">
        <v>29</v>
      </c>
      <c r="B147" s="36">
        <v>10033</v>
      </c>
      <c r="C147" s="36">
        <v>31</v>
      </c>
      <c r="D147" s="36">
        <f>273+30</f>
        <v>303</v>
      </c>
      <c r="E147" s="36">
        <f t="shared" si="27"/>
        <v>10367</v>
      </c>
      <c r="F147" s="27"/>
      <c r="G147" s="27"/>
      <c r="H147" s="27"/>
      <c r="I147" s="35">
        <f t="shared" si="28"/>
        <v>54548.1</v>
      </c>
      <c r="J147" s="35">
        <f t="shared" si="29"/>
        <v>7786.650000000001</v>
      </c>
      <c r="K147" s="35">
        <f t="shared" si="30"/>
        <v>6533.280000000001</v>
      </c>
      <c r="L147" s="35">
        <f t="shared" si="31"/>
        <v>47.06</v>
      </c>
      <c r="M147" s="35">
        <f t="shared" si="32"/>
        <v>417.24</v>
      </c>
      <c r="N147" s="44">
        <f aca="true" t="shared" si="33" ref="N147:N157">SUM(I147:M147)</f>
        <v>69332.33</v>
      </c>
      <c r="R147" s="36"/>
      <c r="S147" s="27"/>
    </row>
    <row r="148" spans="1:19" ht="12.75">
      <c r="A148" s="27" t="s">
        <v>30</v>
      </c>
      <c r="B148" s="36">
        <v>9926</v>
      </c>
      <c r="C148" s="36">
        <v>32</v>
      </c>
      <c r="D148" s="36">
        <f>269+20</f>
        <v>289</v>
      </c>
      <c r="E148" s="36">
        <f t="shared" si="27"/>
        <v>10247</v>
      </c>
      <c r="F148" s="27"/>
      <c r="G148" s="27"/>
      <c r="H148" s="27"/>
      <c r="I148" s="35">
        <f t="shared" si="28"/>
        <v>54601.5</v>
      </c>
      <c r="J148" s="35">
        <f t="shared" si="29"/>
        <v>7786.650000000001</v>
      </c>
      <c r="K148" s="35">
        <f t="shared" si="30"/>
        <v>6624.02</v>
      </c>
      <c r="L148" s="35">
        <f t="shared" si="31"/>
        <v>47.06</v>
      </c>
      <c r="M148" s="35">
        <f t="shared" si="32"/>
        <v>417.24</v>
      </c>
      <c r="N148" s="44">
        <f t="shared" si="33"/>
        <v>69476.47</v>
      </c>
      <c r="R148" s="36"/>
      <c r="S148" s="27"/>
    </row>
    <row r="149" spans="1:19" ht="12.75">
      <c r="A149" s="27" t="s">
        <v>31</v>
      </c>
      <c r="B149" s="36">
        <v>9676</v>
      </c>
      <c r="C149" s="36">
        <v>31</v>
      </c>
      <c r="D149" s="36">
        <f>272+35</f>
        <v>307</v>
      </c>
      <c r="E149" s="36">
        <f t="shared" si="27"/>
        <v>10014</v>
      </c>
      <c r="F149" s="27"/>
      <c r="G149" s="27"/>
      <c r="H149" s="27"/>
      <c r="I149" s="35">
        <f t="shared" si="28"/>
        <v>54686.05</v>
      </c>
      <c r="J149" s="35">
        <f t="shared" si="29"/>
        <v>7804.950000000001</v>
      </c>
      <c r="K149" s="35">
        <f t="shared" si="30"/>
        <v>6533.280000000001</v>
      </c>
      <c r="L149" s="35">
        <f t="shared" si="31"/>
        <v>47.06</v>
      </c>
      <c r="M149" s="35">
        <f t="shared" si="32"/>
        <v>417.24</v>
      </c>
      <c r="N149" s="44">
        <f t="shared" si="33"/>
        <v>69488.58</v>
      </c>
      <c r="R149" s="36"/>
      <c r="S149" s="27"/>
    </row>
    <row r="150" spans="1:19" ht="12.75">
      <c r="A150" s="27" t="s">
        <v>13</v>
      </c>
      <c r="B150" s="36">
        <v>9891</v>
      </c>
      <c r="C150" s="36">
        <v>32</v>
      </c>
      <c r="D150" s="36">
        <f>267+30</f>
        <v>297</v>
      </c>
      <c r="E150" s="36">
        <f t="shared" si="27"/>
        <v>10220</v>
      </c>
      <c r="F150" s="27"/>
      <c r="G150" s="27"/>
      <c r="H150" s="27"/>
      <c r="I150" s="35">
        <f t="shared" si="28"/>
        <v>54739.450000000004</v>
      </c>
      <c r="J150" s="35">
        <f t="shared" si="29"/>
        <v>7795.8</v>
      </c>
      <c r="K150" s="35">
        <f t="shared" si="30"/>
        <v>6533.280000000001</v>
      </c>
      <c r="L150" s="35">
        <f t="shared" si="31"/>
        <v>47.06</v>
      </c>
      <c r="M150" s="35">
        <f t="shared" si="32"/>
        <v>417.24</v>
      </c>
      <c r="N150" s="44">
        <f t="shared" si="33"/>
        <v>69532.83000000002</v>
      </c>
      <c r="R150" s="36"/>
      <c r="S150" s="27"/>
    </row>
    <row r="151" spans="1:19" ht="12.75">
      <c r="A151" s="27" t="s">
        <v>32</v>
      </c>
      <c r="B151" s="36">
        <v>9534</v>
      </c>
      <c r="C151" s="36">
        <v>31</v>
      </c>
      <c r="D151" s="36">
        <f>265+40</f>
        <v>305</v>
      </c>
      <c r="E151" s="36">
        <f t="shared" si="27"/>
        <v>9870</v>
      </c>
      <c r="F151" s="27"/>
      <c r="G151" s="27"/>
      <c r="H151" s="27"/>
      <c r="I151" s="35">
        <f t="shared" si="28"/>
        <v>54730.55</v>
      </c>
      <c r="J151" s="35">
        <f t="shared" si="29"/>
        <v>7795.8</v>
      </c>
      <c r="K151" s="35">
        <f t="shared" si="30"/>
        <v>6533.280000000001</v>
      </c>
      <c r="L151" s="35">
        <f t="shared" si="31"/>
        <v>47.06</v>
      </c>
      <c r="M151" s="35">
        <f t="shared" si="32"/>
        <v>417.24</v>
      </c>
      <c r="N151" s="44">
        <f t="shared" si="33"/>
        <v>69523.93000000001</v>
      </c>
      <c r="R151" s="36"/>
      <c r="S151" s="27"/>
    </row>
    <row r="152" spans="1:19" ht="12.75">
      <c r="A152" s="27" t="s">
        <v>33</v>
      </c>
      <c r="B152" s="36">
        <v>10329</v>
      </c>
      <c r="C152" s="36">
        <v>31</v>
      </c>
      <c r="D152" s="36">
        <f>263+45</f>
        <v>308</v>
      </c>
      <c r="E152" s="36">
        <f t="shared" si="27"/>
        <v>10668</v>
      </c>
      <c r="F152" s="27"/>
      <c r="G152" s="27"/>
      <c r="H152" s="27"/>
      <c r="I152" s="35">
        <f t="shared" si="28"/>
        <v>54819.55</v>
      </c>
      <c r="J152" s="35">
        <f t="shared" si="29"/>
        <v>7804.950000000001</v>
      </c>
      <c r="K152" s="35">
        <f t="shared" si="30"/>
        <v>6533.280000000001</v>
      </c>
      <c r="L152" s="35">
        <f t="shared" si="31"/>
        <v>47.06</v>
      </c>
      <c r="M152" s="35">
        <f t="shared" si="32"/>
        <v>417.24</v>
      </c>
      <c r="N152" s="44">
        <f t="shared" si="33"/>
        <v>69622.08</v>
      </c>
      <c r="R152" s="36"/>
      <c r="S152" s="27"/>
    </row>
    <row r="153" spans="1:19" ht="12.75">
      <c r="A153" s="27" t="s">
        <v>24</v>
      </c>
      <c r="B153" s="36">
        <v>10284</v>
      </c>
      <c r="C153" s="36">
        <v>31</v>
      </c>
      <c r="D153" s="36">
        <f>267+37</f>
        <v>304</v>
      </c>
      <c r="E153" s="36">
        <f t="shared" si="27"/>
        <v>10619</v>
      </c>
      <c r="F153" s="27"/>
      <c r="G153" s="27"/>
      <c r="H153" s="27"/>
      <c r="I153" s="35">
        <f t="shared" si="28"/>
        <v>54899.65</v>
      </c>
      <c r="J153" s="35">
        <f t="shared" si="29"/>
        <v>7823.25</v>
      </c>
      <c r="K153" s="35">
        <f t="shared" si="30"/>
        <v>6533.280000000001</v>
      </c>
      <c r="L153" s="35">
        <f t="shared" si="31"/>
        <v>47.06</v>
      </c>
      <c r="M153" s="35">
        <f t="shared" si="32"/>
        <v>417.24</v>
      </c>
      <c r="N153" s="44">
        <f t="shared" si="33"/>
        <v>69720.48000000001</v>
      </c>
      <c r="R153" s="36"/>
      <c r="S153" s="27"/>
    </row>
    <row r="154" spans="1:19" ht="12.75">
      <c r="A154" s="27" t="s">
        <v>34</v>
      </c>
      <c r="B154" s="36">
        <v>10397</v>
      </c>
      <c r="C154" s="36">
        <v>32</v>
      </c>
      <c r="D154" s="36">
        <f>251+50</f>
        <v>301</v>
      </c>
      <c r="E154" s="36">
        <f t="shared" si="27"/>
        <v>10730</v>
      </c>
      <c r="F154" s="27"/>
      <c r="G154" s="27"/>
      <c r="H154" s="27"/>
      <c r="I154" s="35">
        <f t="shared" si="28"/>
        <v>54993.100000000006</v>
      </c>
      <c r="J154" s="35">
        <f t="shared" si="29"/>
        <v>7832.400000000001</v>
      </c>
      <c r="K154" s="35">
        <f t="shared" si="30"/>
        <v>6533.280000000001</v>
      </c>
      <c r="L154" s="35">
        <f t="shared" si="31"/>
        <v>47.06</v>
      </c>
      <c r="M154" s="35">
        <f t="shared" si="32"/>
        <v>417.24</v>
      </c>
      <c r="N154" s="44">
        <f t="shared" si="33"/>
        <v>69823.08000000002</v>
      </c>
      <c r="R154" s="36"/>
      <c r="S154" s="27"/>
    </row>
    <row r="155" spans="1:19" ht="12.75">
      <c r="A155" s="27" t="s">
        <v>25</v>
      </c>
      <c r="B155" s="36">
        <v>9708</v>
      </c>
      <c r="C155" s="36">
        <v>32</v>
      </c>
      <c r="D155" s="36">
        <f>266+47</f>
        <v>313</v>
      </c>
      <c r="E155" s="36">
        <f t="shared" si="27"/>
        <v>10053</v>
      </c>
      <c r="F155" s="27"/>
      <c r="G155" s="27"/>
      <c r="H155" s="27"/>
      <c r="I155" s="35">
        <f t="shared" si="28"/>
        <v>55086.55</v>
      </c>
      <c r="J155" s="35">
        <f t="shared" si="29"/>
        <v>8015.400000000001</v>
      </c>
      <c r="K155" s="35">
        <f t="shared" si="30"/>
        <v>6533.280000000001</v>
      </c>
      <c r="L155" s="35">
        <f t="shared" si="31"/>
        <v>47.06</v>
      </c>
      <c r="M155" s="35">
        <f t="shared" si="32"/>
        <v>417.24</v>
      </c>
      <c r="N155" s="44">
        <f t="shared" si="33"/>
        <v>70099.53000000001</v>
      </c>
      <c r="R155" s="36"/>
      <c r="S155" s="27"/>
    </row>
    <row r="156" spans="1:19" ht="12.75">
      <c r="A156" s="27" t="s">
        <v>26</v>
      </c>
      <c r="B156" s="36">
        <v>9697</v>
      </c>
      <c r="C156" s="36">
        <v>32</v>
      </c>
      <c r="D156" s="36">
        <f>273+30</f>
        <v>303</v>
      </c>
      <c r="E156" s="36">
        <f t="shared" si="27"/>
        <v>10032</v>
      </c>
      <c r="F156" s="27"/>
      <c r="G156" s="27"/>
      <c r="H156" s="27"/>
      <c r="I156" s="35">
        <f t="shared" si="28"/>
        <v>55148.850000000006</v>
      </c>
      <c r="J156" s="35">
        <f t="shared" si="29"/>
        <v>8006.25</v>
      </c>
      <c r="K156" s="35">
        <f t="shared" si="30"/>
        <v>6533.280000000001</v>
      </c>
      <c r="L156" s="35">
        <f t="shared" si="31"/>
        <v>47.06</v>
      </c>
      <c r="M156" s="35">
        <f t="shared" si="32"/>
        <v>417.24</v>
      </c>
      <c r="N156" s="44">
        <f t="shared" si="33"/>
        <v>70152.68000000001</v>
      </c>
      <c r="R156" s="36"/>
      <c r="S156" s="27"/>
    </row>
    <row r="157" spans="1:19" ht="12.75">
      <c r="A157" s="27" t="s">
        <v>27</v>
      </c>
      <c r="B157" s="36">
        <v>9332</v>
      </c>
      <c r="C157" s="36">
        <v>32</v>
      </c>
      <c r="D157" s="36">
        <f>272+40</f>
        <v>312</v>
      </c>
      <c r="E157" s="36">
        <f t="shared" si="27"/>
        <v>9676</v>
      </c>
      <c r="F157" s="27"/>
      <c r="G157" s="27"/>
      <c r="H157" s="27"/>
      <c r="I157" s="35">
        <f t="shared" si="28"/>
        <v>55220.05</v>
      </c>
      <c r="J157" s="35">
        <f t="shared" si="29"/>
        <v>8052</v>
      </c>
      <c r="K157" s="35">
        <f t="shared" si="30"/>
        <v>6624.02</v>
      </c>
      <c r="L157" s="35">
        <f t="shared" si="31"/>
        <v>47.06</v>
      </c>
      <c r="M157" s="35">
        <f t="shared" si="32"/>
        <v>417.24</v>
      </c>
      <c r="N157" s="44">
        <f t="shared" si="33"/>
        <v>70360.37000000001</v>
      </c>
      <c r="R157" s="27"/>
      <c r="S157" s="27"/>
    </row>
    <row r="158" spans="1:19" ht="12.75">
      <c r="A158" s="27" t="s">
        <v>59</v>
      </c>
      <c r="B158" s="36">
        <f>SUM(B146:B157)</f>
        <v>118748</v>
      </c>
      <c r="C158" s="36">
        <f>SUM(C146:C157)</f>
        <v>378</v>
      </c>
      <c r="D158" s="36">
        <f>SUM(D146:D157)</f>
        <v>3639</v>
      </c>
      <c r="E158" s="36">
        <f>SUM(E146:E157)</f>
        <v>122765</v>
      </c>
      <c r="F158" s="27"/>
      <c r="G158" s="27"/>
      <c r="H158" s="27"/>
      <c r="I158" s="45">
        <f aca="true" t="shared" si="34" ref="I158:N158">SUM(I146:I157)</f>
        <v>657932.5000000001</v>
      </c>
      <c r="J158" s="45">
        <f t="shared" si="34"/>
        <v>94281.59999999999</v>
      </c>
      <c r="K158" s="45">
        <f t="shared" si="34"/>
        <v>78671.58</v>
      </c>
      <c r="L158" s="45">
        <f t="shared" si="34"/>
        <v>564.72</v>
      </c>
      <c r="M158" s="45">
        <f t="shared" si="34"/>
        <v>5006.879999999998</v>
      </c>
      <c r="N158" s="45">
        <f t="shared" si="34"/>
        <v>836457.28</v>
      </c>
      <c r="R158" s="27"/>
      <c r="S158" s="27"/>
    </row>
    <row r="159" spans="1:19" ht="12.75">
      <c r="A159" s="27"/>
      <c r="B159" s="27"/>
      <c r="C159" s="27"/>
      <c r="D159" s="27"/>
      <c r="E159" s="37"/>
      <c r="F159" s="27"/>
      <c r="G159" s="27"/>
      <c r="H159" s="27"/>
      <c r="R159" s="27"/>
      <c r="S159" s="27"/>
    </row>
    <row r="160" spans="1:19" ht="12.75">
      <c r="A160" s="25" t="s">
        <v>62</v>
      </c>
      <c r="B160" s="27" t="s">
        <v>49</v>
      </c>
      <c r="C160" s="27" t="s">
        <v>50</v>
      </c>
      <c r="D160" s="27" t="s">
        <v>51</v>
      </c>
      <c r="E160" s="27" t="s">
        <v>52</v>
      </c>
      <c r="F160" s="27" t="s">
        <v>53</v>
      </c>
      <c r="G160" s="27"/>
      <c r="H160" s="27"/>
      <c r="I160" s="25" t="s">
        <v>67</v>
      </c>
      <c r="J160" s="27"/>
      <c r="K160" s="27"/>
      <c r="L160" s="27"/>
      <c r="M160" s="27"/>
      <c r="N160" s="36"/>
      <c r="R160" s="27"/>
      <c r="S160" s="27"/>
    </row>
    <row r="161" spans="1:19" ht="12.75">
      <c r="A161" s="27">
        <f>A129</f>
        <v>2003</v>
      </c>
      <c r="B161" s="27" t="s">
        <v>54</v>
      </c>
      <c r="C161" s="27" t="s">
        <v>55</v>
      </c>
      <c r="D161" s="27" t="s">
        <v>56</v>
      </c>
      <c r="E161" s="27" t="s">
        <v>57</v>
      </c>
      <c r="F161" s="27" t="s">
        <v>58</v>
      </c>
      <c r="G161" s="27" t="s">
        <v>44</v>
      </c>
      <c r="H161" s="27"/>
      <c r="I161" s="27" t="s">
        <v>54</v>
      </c>
      <c r="J161" s="36" t="s">
        <v>55</v>
      </c>
      <c r="K161" s="36" t="s">
        <v>56</v>
      </c>
      <c r="L161" s="36" t="s">
        <v>57</v>
      </c>
      <c r="M161" s="36" t="s">
        <v>58</v>
      </c>
      <c r="N161" s="36" t="s">
        <v>44</v>
      </c>
      <c r="R161" s="27"/>
      <c r="S161" s="27"/>
    </row>
    <row r="162" spans="1:19" ht="12.75">
      <c r="A162" s="27" t="s">
        <v>28</v>
      </c>
      <c r="B162" s="36">
        <v>12238</v>
      </c>
      <c r="C162" s="36">
        <v>850</v>
      </c>
      <c r="D162" s="36">
        <v>73</v>
      </c>
      <c r="E162" s="36">
        <v>181</v>
      </c>
      <c r="F162" s="36">
        <v>2196</v>
      </c>
      <c r="G162" s="36">
        <f aca="true" t="shared" si="35" ref="G162:G174">SUM(B162:F162)</f>
        <v>15538</v>
      </c>
      <c r="H162" s="27"/>
      <c r="I162" s="44">
        <f aca="true" t="shared" si="36" ref="I162:I173">+B130*J$178</f>
        <v>31412.668</v>
      </c>
      <c r="J162" s="44">
        <f aca="true" t="shared" si="37" ref="J162:J173">+C130*K$178</f>
        <v>2880.5699</v>
      </c>
      <c r="K162" s="44">
        <f aca="true" t="shared" si="38" ref="K162:K173">+B146*L$178</f>
        <v>3598.642</v>
      </c>
      <c r="L162" s="44">
        <f aca="true" t="shared" si="39" ref="L162:L173">+C146*M$178</f>
        <v>17.6111</v>
      </c>
      <c r="M162" s="44">
        <f aca="true" t="shared" si="40" ref="M162:M173">+D146*N$178</f>
        <v>171.4581</v>
      </c>
      <c r="N162" s="44">
        <f>SUM(I162:M162)</f>
        <v>38080.949100000005</v>
      </c>
      <c r="R162" s="27"/>
      <c r="S162" s="27"/>
    </row>
    <row r="163" spans="1:19" ht="12.75">
      <c r="A163" s="27" t="s">
        <v>29</v>
      </c>
      <c r="B163" s="36">
        <v>12258</v>
      </c>
      <c r="C163" s="36">
        <v>851</v>
      </c>
      <c r="D163" s="36">
        <v>72</v>
      </c>
      <c r="E163" s="36">
        <v>181</v>
      </c>
      <c r="F163" s="36">
        <v>2196</v>
      </c>
      <c r="G163" s="36">
        <f t="shared" si="35"/>
        <v>15558</v>
      </c>
      <c r="H163" s="27"/>
      <c r="I163" s="44">
        <f t="shared" si="36"/>
        <v>36067.158</v>
      </c>
      <c r="J163" s="44">
        <f t="shared" si="37"/>
        <v>3212.1726</v>
      </c>
      <c r="K163" s="44">
        <f t="shared" si="38"/>
        <v>3631.946</v>
      </c>
      <c r="L163" s="44">
        <f t="shared" si="39"/>
        <v>17.6111</v>
      </c>
      <c r="M163" s="44">
        <f t="shared" si="40"/>
        <v>174.92190000000002</v>
      </c>
      <c r="N163" s="44">
        <f aca="true" t="shared" si="41" ref="N163:N173">SUM(I163:M163)</f>
        <v>43103.8096</v>
      </c>
      <c r="R163" s="27"/>
      <c r="S163" s="27"/>
    </row>
    <row r="164" spans="1:19" ht="12.75">
      <c r="A164" s="27" t="s">
        <v>30</v>
      </c>
      <c r="B164" s="36">
        <v>12270</v>
      </c>
      <c r="C164" s="36">
        <v>851</v>
      </c>
      <c r="D164" s="36">
        <v>73</v>
      </c>
      <c r="E164" s="36">
        <v>181</v>
      </c>
      <c r="F164" s="36">
        <v>2196</v>
      </c>
      <c r="G164" s="36">
        <f t="shared" si="35"/>
        <v>15571</v>
      </c>
      <c r="H164" s="27"/>
      <c r="I164" s="44">
        <f t="shared" si="36"/>
        <v>33861.58</v>
      </c>
      <c r="J164" s="44">
        <f t="shared" si="37"/>
        <v>2955.5396</v>
      </c>
      <c r="K164" s="44">
        <f t="shared" si="38"/>
        <v>3593.212</v>
      </c>
      <c r="L164" s="44">
        <f t="shared" si="39"/>
        <v>18.1792</v>
      </c>
      <c r="M164" s="44">
        <f t="shared" si="40"/>
        <v>166.83970000000002</v>
      </c>
      <c r="N164" s="44">
        <f t="shared" si="41"/>
        <v>40595.3505</v>
      </c>
      <c r="R164" s="27"/>
      <c r="S164" s="27"/>
    </row>
    <row r="165" spans="1:19" ht="12.75">
      <c r="A165" s="27" t="s">
        <v>31</v>
      </c>
      <c r="B165" s="36">
        <v>12289</v>
      </c>
      <c r="C165" s="36">
        <v>853</v>
      </c>
      <c r="D165" s="36">
        <v>72</v>
      </c>
      <c r="E165" s="36">
        <v>181</v>
      </c>
      <c r="F165" s="36">
        <v>2196</v>
      </c>
      <c r="G165" s="36">
        <f t="shared" si="35"/>
        <v>15591</v>
      </c>
      <c r="H165" s="27"/>
      <c r="I165" s="44">
        <f t="shared" si="36"/>
        <v>27757.646</v>
      </c>
      <c r="J165" s="44">
        <f t="shared" si="37"/>
        <v>2595.8686</v>
      </c>
      <c r="K165" s="44">
        <f t="shared" si="38"/>
        <v>3502.712</v>
      </c>
      <c r="L165" s="44">
        <f t="shared" si="39"/>
        <v>17.6111</v>
      </c>
      <c r="M165" s="44">
        <f t="shared" si="40"/>
        <v>177.2311</v>
      </c>
      <c r="N165" s="44">
        <f t="shared" si="41"/>
        <v>34051.0688</v>
      </c>
      <c r="R165" s="27"/>
      <c r="S165" s="27"/>
    </row>
    <row r="166" spans="1:19" ht="12.75">
      <c r="A166" s="27" t="s">
        <v>13</v>
      </c>
      <c r="B166" s="36">
        <v>12301</v>
      </c>
      <c r="C166" s="36">
        <v>852</v>
      </c>
      <c r="D166" s="36">
        <v>72</v>
      </c>
      <c r="E166" s="36">
        <v>181</v>
      </c>
      <c r="F166" s="36">
        <v>2196</v>
      </c>
      <c r="G166" s="36">
        <f t="shared" si="35"/>
        <v>15602</v>
      </c>
      <c r="H166" s="27"/>
      <c r="I166" s="44">
        <f t="shared" si="36"/>
        <v>22985.882</v>
      </c>
      <c r="J166" s="44">
        <f t="shared" si="37"/>
        <v>2363.4455</v>
      </c>
      <c r="K166" s="44">
        <f t="shared" si="38"/>
        <v>3580.542</v>
      </c>
      <c r="L166" s="44">
        <f t="shared" si="39"/>
        <v>18.1792</v>
      </c>
      <c r="M166" s="44">
        <f t="shared" si="40"/>
        <v>171.4581</v>
      </c>
      <c r="N166" s="44">
        <f t="shared" si="41"/>
        <v>29119.5068</v>
      </c>
      <c r="R166" s="27"/>
      <c r="S166" s="27"/>
    </row>
    <row r="167" spans="1:19" ht="12.75">
      <c r="A167" s="27" t="s">
        <v>32</v>
      </c>
      <c r="B167" s="36">
        <v>12299</v>
      </c>
      <c r="C167" s="36">
        <v>852</v>
      </c>
      <c r="D167" s="36">
        <v>72</v>
      </c>
      <c r="E167" s="36">
        <v>181</v>
      </c>
      <c r="F167" s="36">
        <v>2196</v>
      </c>
      <c r="G167" s="36">
        <f t="shared" si="35"/>
        <v>15600</v>
      </c>
      <c r="H167" s="27"/>
      <c r="I167" s="44">
        <f t="shared" si="36"/>
        <v>18828.562</v>
      </c>
      <c r="J167" s="44">
        <f t="shared" si="37"/>
        <v>2340.8644999999997</v>
      </c>
      <c r="K167" s="44">
        <f t="shared" si="38"/>
        <v>3451.308</v>
      </c>
      <c r="L167" s="44">
        <f t="shared" si="39"/>
        <v>17.6111</v>
      </c>
      <c r="M167" s="44">
        <f t="shared" si="40"/>
        <v>176.0765</v>
      </c>
      <c r="N167" s="44">
        <f t="shared" si="41"/>
        <v>24814.4221</v>
      </c>
      <c r="R167" s="27"/>
      <c r="S167" s="27"/>
    </row>
    <row r="168" spans="1:19" ht="12.75">
      <c r="A168" s="27" t="s">
        <v>33</v>
      </c>
      <c r="B168" s="36">
        <v>12319</v>
      </c>
      <c r="C168" s="36">
        <v>853</v>
      </c>
      <c r="D168" s="36">
        <v>72</v>
      </c>
      <c r="E168" s="36">
        <v>181</v>
      </c>
      <c r="F168" s="36">
        <v>2196</v>
      </c>
      <c r="G168" s="36">
        <f t="shared" si="35"/>
        <v>15621</v>
      </c>
      <c r="H168" s="27"/>
      <c r="I168" s="44">
        <f t="shared" si="36"/>
        <v>18245.662</v>
      </c>
      <c r="J168" s="44">
        <f t="shared" si="37"/>
        <v>2516.0265</v>
      </c>
      <c r="K168" s="44">
        <f t="shared" si="38"/>
        <v>3739.098</v>
      </c>
      <c r="L168" s="44">
        <f t="shared" si="39"/>
        <v>17.6111</v>
      </c>
      <c r="M168" s="44">
        <f t="shared" si="40"/>
        <v>177.8084</v>
      </c>
      <c r="N168" s="44">
        <f t="shared" si="41"/>
        <v>24696.206000000002</v>
      </c>
      <c r="R168" s="27"/>
      <c r="S168" s="27"/>
    </row>
    <row r="169" spans="1:19" ht="12.75">
      <c r="A169" s="27" t="s">
        <v>24</v>
      </c>
      <c r="B169" s="36">
        <v>12337</v>
      </c>
      <c r="C169" s="36">
        <v>855</v>
      </c>
      <c r="D169" s="36">
        <v>72</v>
      </c>
      <c r="E169" s="36">
        <v>181</v>
      </c>
      <c r="F169" s="36">
        <v>2196</v>
      </c>
      <c r="G169" s="36">
        <f t="shared" si="35"/>
        <v>15641</v>
      </c>
      <c r="H169" s="27"/>
      <c r="I169" s="44">
        <f t="shared" si="36"/>
        <v>21884.104</v>
      </c>
      <c r="J169" s="44">
        <f t="shared" si="37"/>
        <v>2876.7297</v>
      </c>
      <c r="K169" s="44">
        <f t="shared" si="38"/>
        <v>3722.808</v>
      </c>
      <c r="L169" s="44">
        <f t="shared" si="39"/>
        <v>17.6111</v>
      </c>
      <c r="M169" s="44">
        <f t="shared" si="40"/>
        <v>175.4992</v>
      </c>
      <c r="N169" s="44">
        <f t="shared" si="41"/>
        <v>28676.751999999997</v>
      </c>
      <c r="R169" s="27"/>
      <c r="S169" s="27"/>
    </row>
    <row r="170" spans="1:19" ht="12.75">
      <c r="A170" s="27" t="s">
        <v>34</v>
      </c>
      <c r="B170" s="36">
        <v>12358</v>
      </c>
      <c r="C170" s="36">
        <v>856</v>
      </c>
      <c r="D170" s="36">
        <v>72</v>
      </c>
      <c r="E170" s="36">
        <v>181</v>
      </c>
      <c r="F170" s="36">
        <v>2196</v>
      </c>
      <c r="G170" s="36">
        <f t="shared" si="35"/>
        <v>15663</v>
      </c>
      <c r="H170" s="27"/>
      <c r="I170" s="44">
        <f t="shared" si="36"/>
        <v>21722.926</v>
      </c>
      <c r="J170" s="44">
        <f t="shared" si="37"/>
        <v>2860.7019999999998</v>
      </c>
      <c r="K170" s="44">
        <f t="shared" si="38"/>
        <v>3763.714</v>
      </c>
      <c r="L170" s="44">
        <f t="shared" si="39"/>
        <v>18.1792</v>
      </c>
      <c r="M170" s="44">
        <f t="shared" si="40"/>
        <v>173.7673</v>
      </c>
      <c r="N170" s="44">
        <f t="shared" si="41"/>
        <v>28539.2885</v>
      </c>
      <c r="R170" s="27"/>
      <c r="S170" s="27"/>
    </row>
    <row r="171" spans="1:19" ht="12.75">
      <c r="A171" s="27" t="s">
        <v>25</v>
      </c>
      <c r="B171" s="36">
        <v>12379</v>
      </c>
      <c r="C171" s="36">
        <v>876</v>
      </c>
      <c r="D171" s="36">
        <v>72</v>
      </c>
      <c r="E171" s="36">
        <v>181</v>
      </c>
      <c r="F171" s="36">
        <v>2196</v>
      </c>
      <c r="G171" s="36">
        <f t="shared" si="35"/>
        <v>15704</v>
      </c>
      <c r="H171" s="27"/>
      <c r="I171" s="44">
        <f t="shared" si="36"/>
        <v>17880.246</v>
      </c>
      <c r="J171" s="44">
        <f t="shared" si="37"/>
        <v>2488.2117</v>
      </c>
      <c r="K171" s="44">
        <f t="shared" si="38"/>
        <v>3514.296</v>
      </c>
      <c r="L171" s="44">
        <f t="shared" si="39"/>
        <v>18.1792</v>
      </c>
      <c r="M171" s="44">
        <f t="shared" si="40"/>
        <v>180.69490000000002</v>
      </c>
      <c r="N171" s="44">
        <f t="shared" si="41"/>
        <v>24081.627799999995</v>
      </c>
      <c r="R171" s="27"/>
      <c r="S171" s="27"/>
    </row>
    <row r="172" spans="1:19" ht="12.75">
      <c r="A172" s="27" t="s">
        <v>26</v>
      </c>
      <c r="B172" s="36">
        <v>12393</v>
      </c>
      <c r="C172" s="36">
        <v>875</v>
      </c>
      <c r="D172" s="36">
        <v>72</v>
      </c>
      <c r="E172" s="36">
        <v>181</v>
      </c>
      <c r="F172" s="36">
        <v>2196</v>
      </c>
      <c r="G172" s="36">
        <f t="shared" si="35"/>
        <v>15717</v>
      </c>
      <c r="H172" s="27"/>
      <c r="I172" s="44">
        <f t="shared" si="36"/>
        <v>20789.108</v>
      </c>
      <c r="J172" s="44">
        <f t="shared" si="37"/>
        <v>2663.8495</v>
      </c>
      <c r="K172" s="44">
        <f t="shared" si="38"/>
        <v>3510.314</v>
      </c>
      <c r="L172" s="44">
        <f t="shared" si="39"/>
        <v>18.1792</v>
      </c>
      <c r="M172" s="44">
        <f t="shared" si="40"/>
        <v>174.92190000000002</v>
      </c>
      <c r="N172" s="44">
        <f t="shared" si="41"/>
        <v>27156.3726</v>
      </c>
      <c r="R172" s="27"/>
      <c r="S172" s="27"/>
    </row>
    <row r="173" spans="1:19" ht="12.75">
      <c r="A173" s="27" t="s">
        <v>27</v>
      </c>
      <c r="B173" s="36">
        <v>12409</v>
      </c>
      <c r="C173" s="36">
        <v>880</v>
      </c>
      <c r="D173" s="36">
        <v>73</v>
      </c>
      <c r="E173" s="36">
        <v>181</v>
      </c>
      <c r="F173" s="36">
        <v>2196</v>
      </c>
      <c r="G173" s="36">
        <f t="shared" si="35"/>
        <v>15739</v>
      </c>
      <c r="H173" s="27"/>
      <c r="I173" s="44">
        <f t="shared" si="36"/>
        <v>23331.368000000002</v>
      </c>
      <c r="J173" s="44">
        <f t="shared" si="37"/>
        <v>2690.5866</v>
      </c>
      <c r="K173" s="44">
        <f t="shared" si="38"/>
        <v>3378.1839999999997</v>
      </c>
      <c r="L173" s="44">
        <f t="shared" si="39"/>
        <v>18.1792</v>
      </c>
      <c r="M173" s="44">
        <f t="shared" si="40"/>
        <v>180.1176</v>
      </c>
      <c r="N173" s="44">
        <f t="shared" si="41"/>
        <v>29598.435400000002</v>
      </c>
      <c r="R173" s="27"/>
      <c r="S173" s="27"/>
    </row>
    <row r="174" spans="1:19" ht="12.75">
      <c r="A174" s="38" t="s">
        <v>44</v>
      </c>
      <c r="B174" s="37">
        <f>SUM(B162:B173)</f>
        <v>147850</v>
      </c>
      <c r="C174" s="37">
        <f>SUM(C162:C173)</f>
        <v>10304</v>
      </c>
      <c r="D174" s="37">
        <f>SUM(D162:D173)</f>
        <v>867</v>
      </c>
      <c r="E174" s="37">
        <f>SUM(E162:E173)</f>
        <v>2172</v>
      </c>
      <c r="F174" s="37">
        <f>SUM(F162:F173)</f>
        <v>26352</v>
      </c>
      <c r="G174" s="36">
        <f t="shared" si="35"/>
        <v>187545</v>
      </c>
      <c r="H174" s="27"/>
      <c r="I174" s="45">
        <f aca="true" t="shared" si="42" ref="I174:N174">SUM(I162:I173)</f>
        <v>294766.91000000003</v>
      </c>
      <c r="J174" s="45">
        <f t="shared" si="42"/>
        <v>32444.5667</v>
      </c>
      <c r="K174" s="45">
        <f t="shared" si="42"/>
        <v>42986.776</v>
      </c>
      <c r="L174" s="45">
        <f t="shared" si="42"/>
        <v>214.7418</v>
      </c>
      <c r="M174" s="45">
        <f t="shared" si="42"/>
        <v>2100.7947</v>
      </c>
      <c r="N174" s="45">
        <f t="shared" si="42"/>
        <v>372513.78920000006</v>
      </c>
      <c r="R174" s="27"/>
      <c r="S174" s="27"/>
    </row>
    <row r="175" spans="1:19" ht="12.75">
      <c r="A175" s="38"/>
      <c r="B175" s="37"/>
      <c r="C175" s="37"/>
      <c r="D175" s="37"/>
      <c r="E175" s="37"/>
      <c r="F175" s="37"/>
      <c r="G175" s="36"/>
      <c r="H175" s="27"/>
      <c r="R175" s="27"/>
      <c r="S175" s="27"/>
    </row>
    <row r="176" spans="1:19" ht="12.75">
      <c r="A176" s="38"/>
      <c r="B176" s="37"/>
      <c r="C176" s="37"/>
      <c r="D176" s="37"/>
      <c r="E176" s="37"/>
      <c r="F176" s="37"/>
      <c r="G176" s="36"/>
      <c r="H176" s="27"/>
      <c r="I176" s="59" t="s">
        <v>68</v>
      </c>
      <c r="J176" s="60" t="s">
        <v>54</v>
      </c>
      <c r="K176" s="61" t="s">
        <v>55</v>
      </c>
      <c r="L176" s="61" t="s">
        <v>56</v>
      </c>
      <c r="M176" s="61" t="s">
        <v>57</v>
      </c>
      <c r="N176" s="61" t="s">
        <v>58</v>
      </c>
      <c r="R176" s="27"/>
      <c r="S176" s="27"/>
    </row>
    <row r="177" spans="1:19" ht="12.75">
      <c r="A177" s="38"/>
      <c r="B177" s="37"/>
      <c r="C177" s="37"/>
      <c r="D177" s="37"/>
      <c r="E177" s="37"/>
      <c r="F177" s="37"/>
      <c r="G177" s="36"/>
      <c r="H177" s="27"/>
      <c r="I177" s="62" t="s">
        <v>63</v>
      </c>
      <c r="J177" s="64">
        <f>'[1]PILS 2002-2003'!$D$5</f>
        <v>4.45</v>
      </c>
      <c r="K177" s="64">
        <f>'[1]PILS 2002-2003'!$D$6</f>
        <v>9.15</v>
      </c>
      <c r="L177" s="64">
        <f>'[1]PILS 2002-2003'!$D$7</f>
        <v>90.74000000000001</v>
      </c>
      <c r="M177" s="64">
        <f>'[1]PILS 2002-2003'!$D$8</f>
        <v>0.26</v>
      </c>
      <c r="N177" s="64">
        <f>'[1]PILS 2002-2003'!$D$9</f>
        <v>0.19</v>
      </c>
      <c r="R177" s="27"/>
      <c r="S177" s="27"/>
    </row>
    <row r="178" spans="1:19" ht="12.75">
      <c r="A178" s="38"/>
      <c r="B178" s="37"/>
      <c r="C178" s="37"/>
      <c r="D178" s="37"/>
      <c r="E178" s="37"/>
      <c r="F178" s="37"/>
      <c r="G178" s="36"/>
      <c r="H178" s="27"/>
      <c r="I178" s="62" t="s">
        <v>64</v>
      </c>
      <c r="J178" s="63">
        <f>'[1]PILS 2002-2003'!$D$12</f>
        <v>0.002</v>
      </c>
      <c r="K178" s="63">
        <f>'[1]PILS 2002-2003'!$D$13</f>
        <v>0.0013</v>
      </c>
      <c r="L178" s="63">
        <f>'[1]PILS 2002-2003'!$D$14</f>
        <v>0.362</v>
      </c>
      <c r="M178" s="63">
        <f>'[1]PILS 2002-2003'!$D$15</f>
        <v>0.5681</v>
      </c>
      <c r="N178" s="63">
        <f>'[1]PILS 2002-2003'!$D$16</f>
        <v>0.5773</v>
      </c>
      <c r="R178" s="27"/>
      <c r="S178" s="27"/>
    </row>
    <row r="179" spans="1:19" ht="12.75">
      <c r="A179" s="38"/>
      <c r="B179" s="37"/>
      <c r="C179" s="37"/>
      <c r="D179" s="37"/>
      <c r="E179" s="37"/>
      <c r="F179" s="37"/>
      <c r="G179" s="36"/>
      <c r="H179" s="27"/>
      <c r="I179" s="42"/>
      <c r="J179" s="43"/>
      <c r="K179" s="43"/>
      <c r="L179" s="43"/>
      <c r="M179" s="43"/>
      <c r="N179" s="43"/>
      <c r="R179" s="27"/>
      <c r="S179" s="27"/>
    </row>
    <row r="181" spans="1:14" ht="12.75">
      <c r="A181" s="25" t="s">
        <v>48</v>
      </c>
      <c r="B181" s="27" t="s">
        <v>49</v>
      </c>
      <c r="C181" s="27" t="s">
        <v>50</v>
      </c>
      <c r="D181" s="27" t="s">
        <v>51</v>
      </c>
      <c r="E181" s="27" t="s">
        <v>52</v>
      </c>
      <c r="F181" s="27" t="s">
        <v>53</v>
      </c>
      <c r="G181" s="36"/>
      <c r="I181" s="25" t="s">
        <v>65</v>
      </c>
      <c r="J181" s="27"/>
      <c r="K181" s="27"/>
      <c r="L181" s="27"/>
      <c r="M181" s="27"/>
      <c r="N181" s="36"/>
    </row>
    <row r="182" spans="1:14" ht="12.75">
      <c r="A182" s="27">
        <v>2002</v>
      </c>
      <c r="B182" s="27" t="s">
        <v>54</v>
      </c>
      <c r="C182" s="36" t="s">
        <v>55</v>
      </c>
      <c r="D182" s="36" t="s">
        <v>56</v>
      </c>
      <c r="E182" s="36" t="s">
        <v>57</v>
      </c>
      <c r="F182" s="36" t="s">
        <v>58</v>
      </c>
      <c r="G182" s="36" t="s">
        <v>44</v>
      </c>
      <c r="I182" s="27" t="s">
        <v>54</v>
      </c>
      <c r="J182" s="36" t="s">
        <v>55</v>
      </c>
      <c r="K182" s="36" t="s">
        <v>56</v>
      </c>
      <c r="L182" s="36" t="s">
        <v>57</v>
      </c>
      <c r="M182" s="36" t="s">
        <v>58</v>
      </c>
      <c r="N182" s="36" t="s">
        <v>44</v>
      </c>
    </row>
    <row r="183" spans="1:14" ht="12.75">
      <c r="A183" s="27" t="s">
        <v>28</v>
      </c>
      <c r="B183" s="39">
        <f>17689339-3000000</f>
        <v>14689339</v>
      </c>
      <c r="C183" s="39">
        <f>2918815-1300000</f>
        <v>1618815</v>
      </c>
      <c r="D183" s="39">
        <f>3469660</f>
        <v>3469660</v>
      </c>
      <c r="E183" s="36">
        <f aca="true" t="shared" si="43" ref="E183:F187">C199*360</f>
        <v>10800</v>
      </c>
      <c r="F183" s="36">
        <f t="shared" si="43"/>
        <v>102600</v>
      </c>
      <c r="G183" s="36">
        <f aca="true" t="shared" si="44" ref="G183:G194">SUM(B183:F183)</f>
        <v>19891214</v>
      </c>
      <c r="I183" s="44"/>
      <c r="J183" s="44"/>
      <c r="K183" s="44"/>
      <c r="L183" s="44"/>
      <c r="M183" s="44"/>
      <c r="N183" s="44">
        <f>SUM(I183:M183)</f>
        <v>0</v>
      </c>
    </row>
    <row r="184" spans="1:14" ht="12.75">
      <c r="A184" s="27" t="s">
        <v>29</v>
      </c>
      <c r="B184" s="39">
        <f>13449108-400000</f>
        <v>13049108</v>
      </c>
      <c r="C184" s="39">
        <f>2327102-600000</f>
        <v>1727102</v>
      </c>
      <c r="D184" s="39">
        <f>2455308+1100000</f>
        <v>3555308</v>
      </c>
      <c r="E184" s="36">
        <f t="shared" si="43"/>
        <v>10440</v>
      </c>
      <c r="F184" s="36">
        <f t="shared" si="43"/>
        <v>96840</v>
      </c>
      <c r="G184" s="36">
        <f t="shared" si="44"/>
        <v>18438798</v>
      </c>
      <c r="I184" s="44"/>
      <c r="J184" s="44"/>
      <c r="K184" s="44"/>
      <c r="L184" s="44"/>
      <c r="M184" s="44"/>
      <c r="N184" s="44">
        <f aca="true" t="shared" si="45" ref="N184:N194">SUM(I184:M184)</f>
        <v>0</v>
      </c>
    </row>
    <row r="185" spans="1:14" ht="12.75">
      <c r="A185" s="27" t="s">
        <v>30</v>
      </c>
      <c r="B185" s="39">
        <f>12838640-44397</f>
        <v>12794243</v>
      </c>
      <c r="C185" s="39">
        <f>2350566-700000-4020</f>
        <v>1646546</v>
      </c>
      <c r="D185" s="39">
        <f>2559048+800000</f>
        <v>3359048</v>
      </c>
      <c r="E185" s="36">
        <f t="shared" si="43"/>
        <v>10080</v>
      </c>
      <c r="F185" s="36">
        <f t="shared" si="43"/>
        <v>91080</v>
      </c>
      <c r="G185" s="36">
        <f t="shared" si="44"/>
        <v>17900997</v>
      </c>
      <c r="I185" s="44"/>
      <c r="J185" s="44"/>
      <c r="K185" s="44"/>
      <c r="L185" s="44"/>
      <c r="M185" s="44"/>
      <c r="N185" s="44">
        <f t="shared" si="45"/>
        <v>0</v>
      </c>
    </row>
    <row r="186" spans="1:14" ht="12.75">
      <c r="A186" s="27" t="s">
        <v>31</v>
      </c>
      <c r="B186" s="39">
        <f>12561769-200000</f>
        <v>12361769</v>
      </c>
      <c r="C186" s="39">
        <f>2125811-650000</f>
        <v>1475811</v>
      </c>
      <c r="D186" s="39">
        <f>4943746-C186-250000</f>
        <v>3217935</v>
      </c>
      <c r="E186" s="36">
        <f t="shared" si="43"/>
        <v>10384.199999999999</v>
      </c>
      <c r="F186" s="36">
        <f t="shared" si="43"/>
        <v>95400</v>
      </c>
      <c r="G186" s="36">
        <f t="shared" si="44"/>
        <v>17161299.2</v>
      </c>
      <c r="I186" s="44">
        <f aca="true" t="shared" si="46" ref="I186:M194">I202+I218</f>
        <v>78328.23800000001</v>
      </c>
      <c r="J186" s="44">
        <f t="shared" si="46"/>
        <v>9595.4043</v>
      </c>
      <c r="K186" s="44">
        <f t="shared" si="46"/>
        <v>8740.048416666668</v>
      </c>
      <c r="L186" s="44">
        <f t="shared" si="46"/>
        <v>62.406844500000005</v>
      </c>
      <c r="M186" s="44">
        <f t="shared" si="46"/>
        <v>553.3145</v>
      </c>
      <c r="N186" s="44">
        <f t="shared" si="45"/>
        <v>97279.41206116667</v>
      </c>
    </row>
    <row r="187" spans="1:14" ht="12.75">
      <c r="A187" s="27" t="s">
        <v>13</v>
      </c>
      <c r="B187" s="36">
        <f>5066048*2+22129</f>
        <v>10154225</v>
      </c>
      <c r="C187" s="36">
        <f>1117357*2-800000</f>
        <v>1434714</v>
      </c>
      <c r="D187" s="36">
        <f>1188860*2+450301</f>
        <v>2828021</v>
      </c>
      <c r="E187" s="36">
        <f t="shared" si="43"/>
        <v>10440</v>
      </c>
      <c r="F187" s="36">
        <f t="shared" si="43"/>
        <v>99000</v>
      </c>
      <c r="G187" s="36">
        <f t="shared" si="44"/>
        <v>14526400</v>
      </c>
      <c r="I187" s="44">
        <f t="shared" si="46"/>
        <v>73913.15000000001</v>
      </c>
      <c r="J187" s="44">
        <f t="shared" si="46"/>
        <v>9541.9782</v>
      </c>
      <c r="K187" s="44">
        <f t="shared" si="46"/>
        <v>9286.27222777778</v>
      </c>
      <c r="L187" s="44">
        <f t="shared" si="46"/>
        <v>62.4949</v>
      </c>
      <c r="M187" s="44">
        <f t="shared" si="46"/>
        <v>559.0875</v>
      </c>
      <c r="N187" s="44">
        <f t="shared" si="45"/>
        <v>93362.98282777779</v>
      </c>
    </row>
    <row r="188" spans="1:14" ht="12.75">
      <c r="A188" s="27" t="s">
        <v>32</v>
      </c>
      <c r="B188" s="36">
        <f>10231571+36795</f>
        <v>10268366</v>
      </c>
      <c r="C188" s="36">
        <v>1749808</v>
      </c>
      <c r="D188" s="36">
        <v>2985315</v>
      </c>
      <c r="E188" s="36">
        <v>11568</v>
      </c>
      <c r="F188" s="36">
        <v>98603</v>
      </c>
      <c r="G188" s="36">
        <f t="shared" si="44"/>
        <v>15113660</v>
      </c>
      <c r="I188" s="44">
        <f t="shared" si="46"/>
        <v>74270.482</v>
      </c>
      <c r="J188" s="44">
        <f t="shared" si="46"/>
        <v>9933.3004</v>
      </c>
      <c r="K188" s="44">
        <f t="shared" si="46"/>
        <v>9106.86</v>
      </c>
      <c r="L188" s="44">
        <f t="shared" si="46"/>
        <v>64.1992</v>
      </c>
      <c r="M188" s="44">
        <f t="shared" si="46"/>
        <v>555.6237</v>
      </c>
      <c r="N188" s="44">
        <f t="shared" si="45"/>
        <v>93930.4653</v>
      </c>
    </row>
    <row r="189" spans="1:14" ht="12.75">
      <c r="A189" s="27" t="s">
        <v>33</v>
      </c>
      <c r="B189" s="36">
        <f>9909545+23758</f>
        <v>9933303</v>
      </c>
      <c r="C189" s="36">
        <v>2037222</v>
      </c>
      <c r="D189" s="36">
        <v>3207168</v>
      </c>
      <c r="E189" s="36">
        <v>11434</v>
      </c>
      <c r="F189" s="36">
        <f>103188-5000</f>
        <v>98188</v>
      </c>
      <c r="G189" s="36">
        <f t="shared" si="44"/>
        <v>15287315</v>
      </c>
      <c r="I189" s="44">
        <f t="shared" si="46"/>
        <v>73724.956</v>
      </c>
      <c r="J189" s="44">
        <f t="shared" si="46"/>
        <v>10343.5386</v>
      </c>
      <c r="K189" s="44">
        <f t="shared" si="46"/>
        <v>9423.248000000001</v>
      </c>
      <c r="L189" s="44">
        <f t="shared" si="46"/>
        <v>64.1992</v>
      </c>
      <c r="M189" s="44">
        <f t="shared" si="46"/>
        <v>552.1599</v>
      </c>
      <c r="N189" s="44">
        <f t="shared" si="45"/>
        <v>94108.10170000001</v>
      </c>
    </row>
    <row r="190" spans="1:14" ht="12.75">
      <c r="A190" s="27" t="s">
        <v>24</v>
      </c>
      <c r="B190" s="36">
        <f>11233983+22578</f>
        <v>11256561</v>
      </c>
      <c r="C190" s="36">
        <v>2234441</v>
      </c>
      <c r="D190" s="36">
        <v>3135138</v>
      </c>
      <c r="E190" s="36">
        <v>11512</v>
      </c>
      <c r="F190" s="36">
        <v>95433</v>
      </c>
      <c r="G190" s="36">
        <f t="shared" si="44"/>
        <v>16733085</v>
      </c>
      <c r="I190" s="44">
        <f t="shared" si="46"/>
        <v>76429.322</v>
      </c>
      <c r="J190" s="44">
        <f t="shared" si="46"/>
        <v>10627.3733</v>
      </c>
      <c r="K190" s="44">
        <f t="shared" si="46"/>
        <v>9061.972000000002</v>
      </c>
      <c r="L190" s="44">
        <f t="shared" si="46"/>
        <v>64.1992</v>
      </c>
      <c r="M190" s="44">
        <f t="shared" si="46"/>
        <v>551.0053</v>
      </c>
      <c r="N190" s="44">
        <f t="shared" si="45"/>
        <v>96733.87180000001</v>
      </c>
    </row>
    <row r="191" spans="1:14" ht="12.75">
      <c r="A191" s="27" t="s">
        <v>34</v>
      </c>
      <c r="B191" s="36">
        <f>11641702+24511</f>
        <v>11666213</v>
      </c>
      <c r="C191" s="36">
        <v>2220182</v>
      </c>
      <c r="D191" s="36">
        <v>3141609</v>
      </c>
      <c r="E191" s="36">
        <v>11572</v>
      </c>
      <c r="F191" s="36">
        <f>100833-5461</f>
        <v>95372</v>
      </c>
      <c r="G191" s="36">
        <f t="shared" si="44"/>
        <v>17134948</v>
      </c>
      <c r="I191" s="44">
        <f t="shared" si="46"/>
        <v>77306.476</v>
      </c>
      <c r="J191" s="44">
        <f t="shared" si="46"/>
        <v>10636.2866</v>
      </c>
      <c r="K191" s="44">
        <f t="shared" si="46"/>
        <v>9412.026000000002</v>
      </c>
      <c r="L191" s="44">
        <f t="shared" si="46"/>
        <v>64.1992</v>
      </c>
      <c r="M191" s="44">
        <f t="shared" si="46"/>
        <v>553.2695988888888</v>
      </c>
      <c r="N191" s="44">
        <f t="shared" si="45"/>
        <v>97972.25739888888</v>
      </c>
    </row>
    <row r="192" spans="1:14" ht="12.75">
      <c r="A192" s="27" t="s">
        <v>25</v>
      </c>
      <c r="B192" s="40">
        <f>9414677+21312</f>
        <v>9435989</v>
      </c>
      <c r="C192" s="36">
        <v>2052557</v>
      </c>
      <c r="D192" s="36">
        <v>3213518</v>
      </c>
      <c r="E192" s="36">
        <v>11500</v>
      </c>
      <c r="F192" s="36">
        <v>99521</v>
      </c>
      <c r="G192" s="36">
        <f t="shared" si="44"/>
        <v>14813085</v>
      </c>
      <c r="I192" s="44">
        <f t="shared" si="46"/>
        <v>73015.128</v>
      </c>
      <c r="J192" s="44">
        <f t="shared" si="46"/>
        <v>10400.0741</v>
      </c>
      <c r="K192" s="44">
        <f t="shared" si="46"/>
        <v>9235.972000000002</v>
      </c>
      <c r="L192" s="44">
        <f t="shared" si="46"/>
        <v>64.1992</v>
      </c>
      <c r="M192" s="44">
        <f t="shared" si="46"/>
        <v>559.6648</v>
      </c>
      <c r="N192" s="44">
        <f t="shared" si="45"/>
        <v>93275.0381</v>
      </c>
    </row>
    <row r="193" spans="1:14" ht="12.75">
      <c r="A193" s="27" t="s">
        <v>26</v>
      </c>
      <c r="B193" s="36">
        <f>10627636+39096</f>
        <v>10666732</v>
      </c>
      <c r="C193" s="36">
        <v>2041865</v>
      </c>
      <c r="D193" s="36">
        <v>3356080</v>
      </c>
      <c r="E193" s="36">
        <v>11314</v>
      </c>
      <c r="F193" s="36">
        <f>106645-10000</f>
        <v>96645</v>
      </c>
      <c r="G193" s="36">
        <f t="shared" si="44"/>
        <v>16172636</v>
      </c>
      <c r="I193" s="44">
        <f t="shared" si="46"/>
        <v>75578.964</v>
      </c>
      <c r="J193" s="44">
        <f t="shared" si="46"/>
        <v>10377.0245</v>
      </c>
      <c r="K193" s="44">
        <f t="shared" si="46"/>
        <v>9262.398000000001</v>
      </c>
      <c r="L193" s="44">
        <f t="shared" si="46"/>
        <v>63.6311</v>
      </c>
      <c r="M193" s="44">
        <f t="shared" si="46"/>
        <v>566.0151</v>
      </c>
      <c r="N193" s="44">
        <f t="shared" si="45"/>
        <v>95848.03270000001</v>
      </c>
    </row>
    <row r="194" spans="1:14" ht="12.75">
      <c r="A194" s="27" t="s">
        <v>27</v>
      </c>
      <c r="B194" s="36">
        <f>12350353+55313</f>
        <v>12405666</v>
      </c>
      <c r="C194" s="36">
        <v>2045777</v>
      </c>
      <c r="D194" s="36">
        <v>3385481</v>
      </c>
      <c r="E194" s="36">
        <v>11415</v>
      </c>
      <c r="F194" s="36">
        <v>103205</v>
      </c>
      <c r="G194" s="36">
        <f t="shared" si="44"/>
        <v>17951544</v>
      </c>
      <c r="I194" s="44">
        <f t="shared" si="46"/>
        <v>79221.482</v>
      </c>
      <c r="J194" s="44">
        <f t="shared" si="46"/>
        <v>10354.660100000001</v>
      </c>
      <c r="K194" s="44">
        <f t="shared" si="46"/>
        <v>9445.086</v>
      </c>
      <c r="L194" s="44">
        <f t="shared" si="46"/>
        <v>64.1992</v>
      </c>
      <c r="M194" s="44">
        <f t="shared" si="46"/>
        <v>565.8306847222223</v>
      </c>
      <c r="N194" s="44">
        <f t="shared" si="45"/>
        <v>99651.25798472222</v>
      </c>
    </row>
    <row r="195" spans="1:14" ht="12.75">
      <c r="A195" s="27" t="s">
        <v>59</v>
      </c>
      <c r="B195" s="36">
        <f aca="true" t="shared" si="47" ref="B195:G195">SUM(B183:B194)</f>
        <v>138681514</v>
      </c>
      <c r="C195" s="36">
        <f t="shared" si="47"/>
        <v>22284840</v>
      </c>
      <c r="D195" s="36">
        <f t="shared" si="47"/>
        <v>38854281</v>
      </c>
      <c r="E195" s="36">
        <f t="shared" si="47"/>
        <v>132459.2</v>
      </c>
      <c r="F195" s="36">
        <f t="shared" si="47"/>
        <v>1171887</v>
      </c>
      <c r="G195" s="36">
        <f t="shared" si="47"/>
        <v>201124981.2</v>
      </c>
      <c r="I195" s="45">
        <f aca="true" t="shared" si="48" ref="I195:N195">SUM(I183:I194)</f>
        <v>681788.1980000001</v>
      </c>
      <c r="J195" s="45">
        <f t="shared" si="48"/>
        <v>91809.64009999999</v>
      </c>
      <c r="K195" s="45">
        <f t="shared" si="48"/>
        <v>82973.88264444446</v>
      </c>
      <c r="L195" s="45">
        <f t="shared" si="48"/>
        <v>573.7280445000001</v>
      </c>
      <c r="M195" s="45">
        <f t="shared" si="48"/>
        <v>5015.971083611112</v>
      </c>
      <c r="N195" s="45">
        <f t="shared" si="48"/>
        <v>862161.4198725555</v>
      </c>
    </row>
    <row r="196" spans="1:7" ht="12.75">
      <c r="A196" s="27"/>
      <c r="B196" s="32"/>
      <c r="C196" s="32"/>
      <c r="D196" s="32"/>
      <c r="E196" s="32"/>
      <c r="F196" s="32"/>
      <c r="G196" s="32"/>
    </row>
    <row r="197" spans="1:14" ht="12.75">
      <c r="A197" s="25" t="s">
        <v>61</v>
      </c>
      <c r="B197" s="27"/>
      <c r="C197" s="27" t="s">
        <v>51</v>
      </c>
      <c r="D197" s="27" t="s">
        <v>52</v>
      </c>
      <c r="E197" s="27" t="s">
        <v>53</v>
      </c>
      <c r="F197" s="36"/>
      <c r="G197" s="36"/>
      <c r="I197" s="25" t="s">
        <v>66</v>
      </c>
      <c r="J197" s="27"/>
      <c r="K197" s="27"/>
      <c r="L197" s="27"/>
      <c r="M197" s="27"/>
      <c r="N197" s="36"/>
    </row>
    <row r="198" spans="1:14" ht="12.75">
      <c r="A198" s="27">
        <f>A182</f>
        <v>2002</v>
      </c>
      <c r="B198" s="27" t="s">
        <v>56</v>
      </c>
      <c r="C198" s="36" t="s">
        <v>57</v>
      </c>
      <c r="D198" s="36" t="s">
        <v>58</v>
      </c>
      <c r="E198" s="36" t="s">
        <v>44</v>
      </c>
      <c r="F198" s="36"/>
      <c r="G198" s="36"/>
      <c r="I198" s="27" t="s">
        <v>54</v>
      </c>
      <c r="J198" s="36" t="s">
        <v>55</v>
      </c>
      <c r="K198" s="36" t="s">
        <v>56</v>
      </c>
      <c r="L198" s="36" t="s">
        <v>57</v>
      </c>
      <c r="M198" s="36" t="s">
        <v>58</v>
      </c>
      <c r="N198" s="36" t="s">
        <v>44</v>
      </c>
    </row>
    <row r="199" spans="1:14" ht="12.75">
      <c r="A199" s="27" t="s">
        <v>28</v>
      </c>
      <c r="B199" s="39">
        <f>D183/360-2000</f>
        <v>7637.944444444445</v>
      </c>
      <c r="C199" s="39">
        <v>30</v>
      </c>
      <c r="D199" s="39">
        <v>285</v>
      </c>
      <c r="E199" s="36">
        <f aca="true" t="shared" si="49" ref="E199:E210">SUM(B199:D199)</f>
        <v>7952.944444444445</v>
      </c>
      <c r="F199" s="36"/>
      <c r="G199" s="36"/>
      <c r="I199" s="44"/>
      <c r="J199" s="44"/>
      <c r="K199" s="44"/>
      <c r="L199" s="44"/>
      <c r="M199" s="44"/>
      <c r="N199" s="44">
        <f>SUM(I199:M199)</f>
        <v>0</v>
      </c>
    </row>
    <row r="200" spans="1:14" ht="12.75">
      <c r="A200" s="27" t="s">
        <v>29</v>
      </c>
      <c r="B200" s="39">
        <f>D184/360-3000</f>
        <v>6875.855555555556</v>
      </c>
      <c r="C200" s="39">
        <v>29</v>
      </c>
      <c r="D200" s="39">
        <v>269</v>
      </c>
      <c r="E200" s="36">
        <f t="shared" si="49"/>
        <v>7173.855555555556</v>
      </c>
      <c r="F200" s="36"/>
      <c r="G200" s="36"/>
      <c r="I200" s="44"/>
      <c r="J200" s="44"/>
      <c r="K200" s="44"/>
      <c r="L200" s="44"/>
      <c r="M200" s="44"/>
      <c r="N200" s="44">
        <f aca="true" t="shared" si="50" ref="N200:N210">SUM(I200:M200)</f>
        <v>0</v>
      </c>
    </row>
    <row r="201" spans="1:14" ht="12.75">
      <c r="A201" s="27" t="s">
        <v>30</v>
      </c>
      <c r="B201" s="39">
        <f>D185/360-3000</f>
        <v>6330.68888888889</v>
      </c>
      <c r="C201" s="39">
        <v>28</v>
      </c>
      <c r="D201" s="39">
        <v>253</v>
      </c>
      <c r="E201" s="36">
        <f t="shared" si="49"/>
        <v>6611.68888888889</v>
      </c>
      <c r="F201" s="36"/>
      <c r="G201" s="36"/>
      <c r="I201" s="44"/>
      <c r="J201" s="44"/>
      <c r="K201" s="44"/>
      <c r="L201" s="44"/>
      <c r="M201" s="44"/>
      <c r="N201" s="44">
        <f t="shared" si="50"/>
        <v>0</v>
      </c>
    </row>
    <row r="202" spans="1:14" ht="12.75">
      <c r="A202" s="27" t="s">
        <v>31</v>
      </c>
      <c r="B202" s="39">
        <f>D186/360-2592</f>
        <v>6346.708333333334</v>
      </c>
      <c r="C202" s="39">
        <v>28.845</v>
      </c>
      <c r="D202" s="39">
        <v>265</v>
      </c>
      <c r="E202" s="36">
        <f t="shared" si="49"/>
        <v>6640.553333333334</v>
      </c>
      <c r="F202" s="36"/>
      <c r="G202" s="36"/>
      <c r="I202" s="35">
        <f aca="true" t="shared" si="51" ref="I202:I210">B218*J$230</f>
        <v>53604.700000000004</v>
      </c>
      <c r="J202" s="35">
        <f aca="true" t="shared" si="52" ref="J202:J210">C218*K$230</f>
        <v>7676.85</v>
      </c>
      <c r="K202" s="35">
        <f aca="true" t="shared" si="53" ref="K202:K210">D218*L$230</f>
        <v>6442.540000000001</v>
      </c>
      <c r="L202" s="35">
        <f aca="true" t="shared" si="54" ref="L202:L210">E218*M$230</f>
        <v>46.02</v>
      </c>
      <c r="M202" s="35">
        <f aca="true" t="shared" si="55" ref="M202:M210">F218*N$230</f>
        <v>400.33</v>
      </c>
      <c r="N202" s="44">
        <f t="shared" si="50"/>
        <v>68170.44</v>
      </c>
    </row>
    <row r="203" spans="1:14" ht="12.75">
      <c r="A203" s="27" t="s">
        <v>13</v>
      </c>
      <c r="B203" s="39">
        <f>D187/360</f>
        <v>7855.613888888889</v>
      </c>
      <c r="C203" s="36">
        <v>29</v>
      </c>
      <c r="D203" s="36">
        <v>275</v>
      </c>
      <c r="E203" s="36">
        <f t="shared" si="49"/>
        <v>8159.613888888889</v>
      </c>
      <c r="F203" s="36"/>
      <c r="G203" s="36"/>
      <c r="I203" s="35">
        <f t="shared" si="51"/>
        <v>53604.700000000004</v>
      </c>
      <c r="J203" s="35">
        <f t="shared" si="52"/>
        <v>7676.85</v>
      </c>
      <c r="K203" s="35">
        <f t="shared" si="53"/>
        <v>6442.540000000001</v>
      </c>
      <c r="L203" s="35">
        <f t="shared" si="54"/>
        <v>46.02</v>
      </c>
      <c r="M203" s="35">
        <f t="shared" si="55"/>
        <v>400.33</v>
      </c>
      <c r="N203" s="44">
        <f t="shared" si="50"/>
        <v>68170.44</v>
      </c>
    </row>
    <row r="204" spans="1:14" ht="12.75">
      <c r="A204" s="27" t="s">
        <v>32</v>
      </c>
      <c r="B204" s="36">
        <f>9360-2000</f>
        <v>7360</v>
      </c>
      <c r="C204" s="36">
        <v>32</v>
      </c>
      <c r="D204" s="36">
        <v>269</v>
      </c>
      <c r="E204" s="36">
        <f t="shared" si="49"/>
        <v>7661</v>
      </c>
      <c r="F204" s="36"/>
      <c r="G204" s="36"/>
      <c r="I204" s="35">
        <f t="shared" si="51"/>
        <v>53733.75</v>
      </c>
      <c r="J204" s="35">
        <f t="shared" si="52"/>
        <v>7658.55</v>
      </c>
      <c r="K204" s="35">
        <f t="shared" si="53"/>
        <v>6442.540000000001</v>
      </c>
      <c r="L204" s="35">
        <f t="shared" si="54"/>
        <v>46.02</v>
      </c>
      <c r="M204" s="35">
        <f t="shared" si="55"/>
        <v>400.33</v>
      </c>
      <c r="N204" s="44">
        <f t="shared" si="50"/>
        <v>68281.19</v>
      </c>
    </row>
    <row r="205" spans="1:14" ht="12.75">
      <c r="A205" s="27" t="s">
        <v>33</v>
      </c>
      <c r="B205" s="36">
        <f>10234-2000</f>
        <v>8234</v>
      </c>
      <c r="C205" s="36">
        <v>32</v>
      </c>
      <c r="D205" s="36">
        <v>263</v>
      </c>
      <c r="E205" s="36">
        <f t="shared" si="49"/>
        <v>8529</v>
      </c>
      <c r="F205" s="36"/>
      <c r="G205" s="36"/>
      <c r="I205" s="35">
        <f t="shared" si="51"/>
        <v>53858.35</v>
      </c>
      <c r="J205" s="35">
        <f t="shared" si="52"/>
        <v>7695.150000000001</v>
      </c>
      <c r="K205" s="35">
        <f t="shared" si="53"/>
        <v>6442.540000000001</v>
      </c>
      <c r="L205" s="35">
        <f t="shared" si="54"/>
        <v>46.02</v>
      </c>
      <c r="M205" s="35">
        <f t="shared" si="55"/>
        <v>400.33</v>
      </c>
      <c r="N205" s="44">
        <f t="shared" si="50"/>
        <v>68442.39000000001</v>
      </c>
    </row>
    <row r="206" spans="1:14" ht="12.75">
      <c r="A206" s="27" t="s">
        <v>24</v>
      </c>
      <c r="B206" s="36">
        <f>10236-3000</f>
        <v>7236</v>
      </c>
      <c r="C206" s="36">
        <v>32</v>
      </c>
      <c r="D206" s="36">
        <v>261</v>
      </c>
      <c r="E206" s="36">
        <f t="shared" si="49"/>
        <v>7529</v>
      </c>
      <c r="F206" s="36"/>
      <c r="G206" s="36"/>
      <c r="I206" s="35">
        <f t="shared" si="51"/>
        <v>53916.200000000004</v>
      </c>
      <c r="J206" s="35">
        <f t="shared" si="52"/>
        <v>7722.6</v>
      </c>
      <c r="K206" s="35">
        <f t="shared" si="53"/>
        <v>6442.540000000001</v>
      </c>
      <c r="L206" s="35">
        <f t="shared" si="54"/>
        <v>46.02</v>
      </c>
      <c r="M206" s="35">
        <f t="shared" si="55"/>
        <v>400.33</v>
      </c>
      <c r="N206" s="44">
        <f t="shared" si="50"/>
        <v>68527.69</v>
      </c>
    </row>
    <row r="207" spans="1:14" ht="12.75">
      <c r="A207" s="27" t="s">
        <v>34</v>
      </c>
      <c r="B207" s="36">
        <f>10203-2000</f>
        <v>8203</v>
      </c>
      <c r="C207" s="36">
        <v>32</v>
      </c>
      <c r="D207" s="36">
        <f>F191/360</f>
        <v>264.9222222222222</v>
      </c>
      <c r="E207" s="36">
        <f t="shared" si="49"/>
        <v>8499.922222222222</v>
      </c>
      <c r="F207" s="36"/>
      <c r="G207" s="36"/>
      <c r="I207" s="35">
        <f t="shared" si="51"/>
        <v>53974.05</v>
      </c>
      <c r="J207" s="35">
        <f t="shared" si="52"/>
        <v>7750.05</v>
      </c>
      <c r="K207" s="35">
        <f t="shared" si="53"/>
        <v>6442.540000000001</v>
      </c>
      <c r="L207" s="35">
        <f t="shared" si="54"/>
        <v>46.02</v>
      </c>
      <c r="M207" s="35">
        <f t="shared" si="55"/>
        <v>400.33</v>
      </c>
      <c r="N207" s="44">
        <f t="shared" si="50"/>
        <v>68612.99000000002</v>
      </c>
    </row>
    <row r="208" spans="1:14" ht="12.75">
      <c r="A208" s="27" t="s">
        <v>25</v>
      </c>
      <c r="B208" s="36">
        <f>10466-3000</f>
        <v>7466</v>
      </c>
      <c r="C208" s="36">
        <v>32</v>
      </c>
      <c r="D208" s="36">
        <v>276</v>
      </c>
      <c r="E208" s="36">
        <f t="shared" si="49"/>
        <v>7774</v>
      </c>
      <c r="F208" s="36"/>
      <c r="G208" s="36"/>
      <c r="I208" s="35">
        <f t="shared" si="51"/>
        <v>54143.15</v>
      </c>
      <c r="J208" s="35">
        <f t="shared" si="52"/>
        <v>7731.75</v>
      </c>
      <c r="K208" s="35">
        <f t="shared" si="53"/>
        <v>6533.280000000001</v>
      </c>
      <c r="L208" s="35">
        <f t="shared" si="54"/>
        <v>46.02</v>
      </c>
      <c r="M208" s="35">
        <f t="shared" si="55"/>
        <v>400.33</v>
      </c>
      <c r="N208" s="44">
        <f t="shared" si="50"/>
        <v>68854.53000000001</v>
      </c>
    </row>
    <row r="209" spans="1:14" ht="12.75">
      <c r="A209" s="27" t="s">
        <v>26</v>
      </c>
      <c r="B209" s="36">
        <f>10539-3000</f>
        <v>7539</v>
      </c>
      <c r="C209" s="36">
        <v>31</v>
      </c>
      <c r="D209" s="36">
        <v>287</v>
      </c>
      <c r="E209" s="36">
        <f t="shared" si="49"/>
        <v>7857</v>
      </c>
      <c r="F209" s="36"/>
      <c r="G209" s="36"/>
      <c r="I209" s="35">
        <f t="shared" si="51"/>
        <v>54245.5</v>
      </c>
      <c r="J209" s="35">
        <f t="shared" si="52"/>
        <v>7722.6</v>
      </c>
      <c r="K209" s="35">
        <f t="shared" si="53"/>
        <v>6533.280000000001</v>
      </c>
      <c r="L209" s="35">
        <f t="shared" si="54"/>
        <v>46.02</v>
      </c>
      <c r="M209" s="35">
        <f t="shared" si="55"/>
        <v>400.33</v>
      </c>
      <c r="N209" s="44">
        <f t="shared" si="50"/>
        <v>68947.73000000001</v>
      </c>
    </row>
    <row r="210" spans="1:14" ht="12.75">
      <c r="A210" s="27" t="s">
        <v>27</v>
      </c>
      <c r="B210" s="36">
        <f>9793-2000</f>
        <v>7793</v>
      </c>
      <c r="C210" s="36">
        <v>32</v>
      </c>
      <c r="D210" s="36">
        <f>F194/360</f>
        <v>286.68055555555554</v>
      </c>
      <c r="E210" s="36">
        <f t="shared" si="49"/>
        <v>8111.680555555556</v>
      </c>
      <c r="F210" s="27"/>
      <c r="G210" s="27"/>
      <c r="I210" s="35">
        <f t="shared" si="51"/>
        <v>54410.15</v>
      </c>
      <c r="J210" s="35">
        <f t="shared" si="52"/>
        <v>7695.150000000001</v>
      </c>
      <c r="K210" s="35">
        <f t="shared" si="53"/>
        <v>6624.02</v>
      </c>
      <c r="L210" s="35">
        <f t="shared" si="54"/>
        <v>46.02</v>
      </c>
      <c r="M210" s="35">
        <f t="shared" si="55"/>
        <v>400.33</v>
      </c>
      <c r="N210" s="44">
        <f t="shared" si="50"/>
        <v>69175.67000000001</v>
      </c>
    </row>
    <row r="211" spans="1:14" ht="12.75">
      <c r="A211" s="27" t="s">
        <v>59</v>
      </c>
      <c r="B211" s="36">
        <f>SUM(B199:B210)</f>
        <v>88877.8111111111</v>
      </c>
      <c r="C211" s="36">
        <f>SUM(C199:C210)</f>
        <v>367.845</v>
      </c>
      <c r="D211" s="36">
        <f>SUM(D199:D210)</f>
        <v>3254.602777777778</v>
      </c>
      <c r="E211" s="36">
        <f>SUM(E199:E210)</f>
        <v>92500.25888888889</v>
      </c>
      <c r="F211" s="27"/>
      <c r="G211" s="27"/>
      <c r="I211" s="45">
        <f aca="true" t="shared" si="56" ref="I211:N211">SUM(I199:I210)</f>
        <v>485490.55000000005</v>
      </c>
      <c r="J211" s="45">
        <f t="shared" si="56"/>
        <v>69329.55</v>
      </c>
      <c r="K211" s="45">
        <f t="shared" si="56"/>
        <v>58345.82000000001</v>
      </c>
      <c r="L211" s="45">
        <f t="shared" si="56"/>
        <v>414.17999999999995</v>
      </c>
      <c r="M211" s="45">
        <f t="shared" si="56"/>
        <v>3602.97</v>
      </c>
      <c r="N211" s="45">
        <f t="shared" si="56"/>
        <v>617183.0700000001</v>
      </c>
    </row>
    <row r="212" spans="1:7" ht="12.75">
      <c r="A212" s="37"/>
      <c r="B212" s="27"/>
      <c r="C212" s="27"/>
      <c r="D212" s="27"/>
      <c r="E212" s="27"/>
      <c r="F212" s="27"/>
      <c r="G212" s="27"/>
    </row>
    <row r="213" spans="1:14" ht="12.75">
      <c r="A213" s="25" t="s">
        <v>62</v>
      </c>
      <c r="B213" s="27" t="s">
        <v>49</v>
      </c>
      <c r="C213" s="27" t="s">
        <v>50</v>
      </c>
      <c r="D213" s="27" t="s">
        <v>51</v>
      </c>
      <c r="E213" s="27" t="s">
        <v>52</v>
      </c>
      <c r="F213" s="27" t="s">
        <v>53</v>
      </c>
      <c r="G213" s="27"/>
      <c r="I213" s="25" t="s">
        <v>67</v>
      </c>
      <c r="J213" s="27"/>
      <c r="K213" s="27"/>
      <c r="L213" s="27"/>
      <c r="M213" s="27"/>
      <c r="N213" s="36"/>
    </row>
    <row r="214" spans="1:14" ht="12.75">
      <c r="A214" s="27">
        <f>A182</f>
        <v>2002</v>
      </c>
      <c r="B214" s="27" t="s">
        <v>54</v>
      </c>
      <c r="C214" s="27" t="s">
        <v>55</v>
      </c>
      <c r="D214" s="27" t="s">
        <v>56</v>
      </c>
      <c r="E214" s="27" t="s">
        <v>57</v>
      </c>
      <c r="F214" s="27" t="s">
        <v>58</v>
      </c>
      <c r="G214" s="27" t="s">
        <v>44</v>
      </c>
      <c r="I214" s="27" t="s">
        <v>54</v>
      </c>
      <c r="J214" s="36" t="s">
        <v>55</v>
      </c>
      <c r="K214" s="36" t="s">
        <v>56</v>
      </c>
      <c r="L214" s="36" t="s">
        <v>57</v>
      </c>
      <c r="M214" s="36" t="s">
        <v>58</v>
      </c>
      <c r="N214" s="36" t="s">
        <v>44</v>
      </c>
    </row>
    <row r="215" spans="1:14" ht="12.75">
      <c r="A215" s="27" t="s">
        <v>28</v>
      </c>
      <c r="B215" s="39">
        <v>12019</v>
      </c>
      <c r="C215" s="41">
        <v>841</v>
      </c>
      <c r="D215" s="39">
        <v>68</v>
      </c>
      <c r="E215" s="36">
        <v>177</v>
      </c>
      <c r="F215" s="36">
        <v>2107</v>
      </c>
      <c r="G215" s="36">
        <f aca="true" t="shared" si="57" ref="G215:G226">SUM(B215:F215)</f>
        <v>15212</v>
      </c>
      <c r="I215" s="44"/>
      <c r="J215" s="44"/>
      <c r="K215" s="44"/>
      <c r="L215" s="44"/>
      <c r="M215" s="44"/>
      <c r="N215" s="44">
        <f>SUM(I215:M215)</f>
        <v>0</v>
      </c>
    </row>
    <row r="216" spans="1:14" ht="12.75">
      <c r="A216" s="27" t="s">
        <v>29</v>
      </c>
      <c r="B216" s="39">
        <v>11936</v>
      </c>
      <c r="C216" s="41">
        <v>843</v>
      </c>
      <c r="D216" s="39">
        <v>68</v>
      </c>
      <c r="E216" s="36">
        <v>177</v>
      </c>
      <c r="F216" s="36">
        <v>2107</v>
      </c>
      <c r="G216" s="36">
        <f t="shared" si="57"/>
        <v>15131</v>
      </c>
      <c r="I216" s="44"/>
      <c r="J216" s="44"/>
      <c r="K216" s="44"/>
      <c r="L216" s="44"/>
      <c r="M216" s="44"/>
      <c r="N216" s="44">
        <f aca="true" t="shared" si="58" ref="N216:N226">SUM(I216:M216)</f>
        <v>0</v>
      </c>
    </row>
    <row r="217" spans="1:14" ht="12.75">
      <c r="A217" s="27" t="s">
        <v>30</v>
      </c>
      <c r="B217" s="39">
        <v>12040</v>
      </c>
      <c r="C217" s="41">
        <v>843</v>
      </c>
      <c r="D217" s="39">
        <v>68</v>
      </c>
      <c r="E217" s="36">
        <v>177</v>
      </c>
      <c r="F217" s="36">
        <v>2107</v>
      </c>
      <c r="G217" s="36">
        <f t="shared" si="57"/>
        <v>15235</v>
      </c>
      <c r="I217" s="44"/>
      <c r="J217" s="44"/>
      <c r="K217" s="44"/>
      <c r="L217" s="44"/>
      <c r="M217" s="44"/>
      <c r="N217" s="44">
        <f t="shared" si="58"/>
        <v>0</v>
      </c>
    </row>
    <row r="218" spans="1:14" ht="12.75">
      <c r="A218" s="27" t="s">
        <v>31</v>
      </c>
      <c r="B218" s="39">
        <v>12046</v>
      </c>
      <c r="C218" s="41">
        <v>839</v>
      </c>
      <c r="D218" s="39">
        <v>71</v>
      </c>
      <c r="E218" s="36">
        <v>177</v>
      </c>
      <c r="F218" s="36">
        <v>2107</v>
      </c>
      <c r="G218" s="36">
        <f t="shared" si="57"/>
        <v>15240</v>
      </c>
      <c r="I218" s="44">
        <f aca="true" t="shared" si="59" ref="I218:I226">+B186*J$231</f>
        <v>24723.538</v>
      </c>
      <c r="J218" s="44">
        <f aca="true" t="shared" si="60" ref="J218:J226">C186*K$231</f>
        <v>1918.5543</v>
      </c>
      <c r="K218" s="44">
        <f aca="true" t="shared" si="61" ref="K218:K226">+B202*L$231</f>
        <v>2297.508416666667</v>
      </c>
      <c r="L218" s="44">
        <f aca="true" t="shared" si="62" ref="L218:L226">+C202*M$231</f>
        <v>16.386844500000002</v>
      </c>
      <c r="M218" s="44">
        <f aca="true" t="shared" si="63" ref="M218:M226">+D202*N$231</f>
        <v>152.9845</v>
      </c>
      <c r="N218" s="44">
        <f t="shared" si="58"/>
        <v>29108.972061166667</v>
      </c>
    </row>
    <row r="219" spans="1:14" ht="12.75">
      <c r="A219" s="27" t="s">
        <v>13</v>
      </c>
      <c r="B219" s="39">
        <v>12046</v>
      </c>
      <c r="C219" s="41">
        <v>839</v>
      </c>
      <c r="D219" s="39">
        <v>71</v>
      </c>
      <c r="E219" s="36">
        <v>177</v>
      </c>
      <c r="F219" s="36">
        <v>2107</v>
      </c>
      <c r="G219" s="36">
        <f t="shared" si="57"/>
        <v>15240</v>
      </c>
      <c r="I219" s="44">
        <f t="shared" si="59"/>
        <v>20308.45</v>
      </c>
      <c r="J219" s="44">
        <f t="shared" si="60"/>
        <v>1865.1281999999999</v>
      </c>
      <c r="K219" s="44">
        <f t="shared" si="61"/>
        <v>2843.7322277777776</v>
      </c>
      <c r="L219" s="44">
        <f t="shared" si="62"/>
        <v>16.4749</v>
      </c>
      <c r="M219" s="44">
        <f t="shared" si="63"/>
        <v>158.75750000000002</v>
      </c>
      <c r="N219" s="44">
        <f t="shared" si="58"/>
        <v>25192.54282777778</v>
      </c>
    </row>
    <row r="220" spans="1:14" ht="12.75">
      <c r="A220" s="27" t="s">
        <v>32</v>
      </c>
      <c r="B220" s="36">
        <v>12075</v>
      </c>
      <c r="C220" s="36">
        <v>837</v>
      </c>
      <c r="D220" s="36">
        <v>71</v>
      </c>
      <c r="E220" s="36">
        <v>177</v>
      </c>
      <c r="F220" s="36">
        <v>2107</v>
      </c>
      <c r="G220" s="36">
        <f t="shared" si="57"/>
        <v>15267</v>
      </c>
      <c r="I220" s="44">
        <f t="shared" si="59"/>
        <v>20536.732</v>
      </c>
      <c r="J220" s="44">
        <f t="shared" si="60"/>
        <v>2274.7504</v>
      </c>
      <c r="K220" s="44">
        <f t="shared" si="61"/>
        <v>2664.3199999999997</v>
      </c>
      <c r="L220" s="44">
        <f t="shared" si="62"/>
        <v>18.1792</v>
      </c>
      <c r="M220" s="44">
        <f t="shared" si="63"/>
        <v>155.2937</v>
      </c>
      <c r="N220" s="44">
        <f t="shared" si="58"/>
        <v>25649.275299999998</v>
      </c>
    </row>
    <row r="221" spans="1:14" ht="12.75">
      <c r="A221" s="27" t="s">
        <v>33</v>
      </c>
      <c r="B221" s="36">
        <v>12103</v>
      </c>
      <c r="C221" s="36">
        <v>841</v>
      </c>
      <c r="D221" s="36">
        <v>71</v>
      </c>
      <c r="E221" s="36">
        <v>177</v>
      </c>
      <c r="F221" s="36">
        <v>2107</v>
      </c>
      <c r="G221" s="36">
        <f t="shared" si="57"/>
        <v>15299</v>
      </c>
      <c r="I221" s="44">
        <f t="shared" si="59"/>
        <v>19866.606</v>
      </c>
      <c r="J221" s="44">
        <f t="shared" si="60"/>
        <v>2648.3885999999998</v>
      </c>
      <c r="K221" s="44">
        <f t="shared" si="61"/>
        <v>2980.708</v>
      </c>
      <c r="L221" s="44">
        <f t="shared" si="62"/>
        <v>18.1792</v>
      </c>
      <c r="M221" s="44">
        <f t="shared" si="63"/>
        <v>151.8299</v>
      </c>
      <c r="N221" s="44">
        <f t="shared" si="58"/>
        <v>25665.711699999996</v>
      </c>
    </row>
    <row r="222" spans="1:14" ht="12.75">
      <c r="A222" s="27" t="s">
        <v>24</v>
      </c>
      <c r="B222" s="36">
        <v>12116</v>
      </c>
      <c r="C222" s="36">
        <v>844</v>
      </c>
      <c r="D222" s="36">
        <v>71</v>
      </c>
      <c r="E222" s="36">
        <v>177</v>
      </c>
      <c r="F222" s="36">
        <v>2107</v>
      </c>
      <c r="G222" s="36">
        <f t="shared" si="57"/>
        <v>15315</v>
      </c>
      <c r="I222" s="44">
        <f t="shared" si="59"/>
        <v>22513.122</v>
      </c>
      <c r="J222" s="44">
        <f t="shared" si="60"/>
        <v>2904.7733</v>
      </c>
      <c r="K222" s="44">
        <f t="shared" si="61"/>
        <v>2619.432</v>
      </c>
      <c r="L222" s="44">
        <f t="shared" si="62"/>
        <v>18.1792</v>
      </c>
      <c r="M222" s="44">
        <f t="shared" si="63"/>
        <v>150.67530000000002</v>
      </c>
      <c r="N222" s="44">
        <f t="shared" si="58"/>
        <v>28206.1818</v>
      </c>
    </row>
    <row r="223" spans="1:14" ht="12.75">
      <c r="A223" s="27" t="s">
        <v>34</v>
      </c>
      <c r="B223" s="36">
        <v>12129</v>
      </c>
      <c r="C223" s="36">
        <v>847</v>
      </c>
      <c r="D223" s="36">
        <v>71</v>
      </c>
      <c r="E223" s="36">
        <v>177</v>
      </c>
      <c r="F223" s="36">
        <v>2107</v>
      </c>
      <c r="G223" s="36">
        <f t="shared" si="57"/>
        <v>15331</v>
      </c>
      <c r="I223" s="44">
        <f t="shared" si="59"/>
        <v>23332.426</v>
      </c>
      <c r="J223" s="44">
        <f t="shared" si="60"/>
        <v>2886.2365999999997</v>
      </c>
      <c r="K223" s="44">
        <f t="shared" si="61"/>
        <v>2969.486</v>
      </c>
      <c r="L223" s="44">
        <f t="shared" si="62"/>
        <v>18.1792</v>
      </c>
      <c r="M223" s="44">
        <f t="shared" si="63"/>
        <v>152.9395988888889</v>
      </c>
      <c r="N223" s="44">
        <f t="shared" si="58"/>
        <v>29359.26739888889</v>
      </c>
    </row>
    <row r="224" spans="1:14" ht="12.75">
      <c r="A224" s="27" t="s">
        <v>25</v>
      </c>
      <c r="B224" s="36">
        <v>12167</v>
      </c>
      <c r="C224" s="36">
        <v>845</v>
      </c>
      <c r="D224" s="36">
        <v>72</v>
      </c>
      <c r="E224" s="36">
        <v>177</v>
      </c>
      <c r="F224" s="36">
        <v>2107</v>
      </c>
      <c r="G224" s="36">
        <f t="shared" si="57"/>
        <v>15368</v>
      </c>
      <c r="I224" s="44">
        <f t="shared" si="59"/>
        <v>18871.978</v>
      </c>
      <c r="J224" s="44">
        <f t="shared" si="60"/>
        <v>2668.3241</v>
      </c>
      <c r="K224" s="44">
        <f t="shared" si="61"/>
        <v>2702.692</v>
      </c>
      <c r="L224" s="44">
        <f t="shared" si="62"/>
        <v>18.1792</v>
      </c>
      <c r="M224" s="44">
        <f t="shared" si="63"/>
        <v>159.3348</v>
      </c>
      <c r="N224" s="44">
        <f t="shared" si="58"/>
        <v>24420.5081</v>
      </c>
    </row>
    <row r="225" spans="1:14" ht="12.75">
      <c r="A225" s="27" t="s">
        <v>26</v>
      </c>
      <c r="B225" s="36">
        <v>12190</v>
      </c>
      <c r="C225" s="36">
        <v>844</v>
      </c>
      <c r="D225" s="36">
        <v>72</v>
      </c>
      <c r="E225" s="36">
        <v>177</v>
      </c>
      <c r="F225" s="36">
        <v>2107</v>
      </c>
      <c r="G225" s="36">
        <f t="shared" si="57"/>
        <v>15390</v>
      </c>
      <c r="I225" s="44">
        <f t="shared" si="59"/>
        <v>21333.464</v>
      </c>
      <c r="J225" s="44">
        <f t="shared" si="60"/>
        <v>2654.4245</v>
      </c>
      <c r="K225" s="44">
        <f t="shared" si="61"/>
        <v>2729.118</v>
      </c>
      <c r="L225" s="44">
        <f t="shared" si="62"/>
        <v>17.6111</v>
      </c>
      <c r="M225" s="44">
        <f t="shared" si="63"/>
        <v>165.6851</v>
      </c>
      <c r="N225" s="44">
        <f t="shared" si="58"/>
        <v>26900.302699999997</v>
      </c>
    </row>
    <row r="226" spans="1:14" ht="12.75">
      <c r="A226" s="27" t="s">
        <v>27</v>
      </c>
      <c r="B226" s="36">
        <v>12227</v>
      </c>
      <c r="C226" s="36">
        <v>841</v>
      </c>
      <c r="D226" s="36">
        <v>73</v>
      </c>
      <c r="E226" s="36">
        <v>177</v>
      </c>
      <c r="F226" s="36">
        <v>2107</v>
      </c>
      <c r="G226" s="36">
        <f t="shared" si="57"/>
        <v>15425</v>
      </c>
      <c r="I226" s="44">
        <f t="shared" si="59"/>
        <v>24811.332000000002</v>
      </c>
      <c r="J226" s="44">
        <f t="shared" si="60"/>
        <v>2659.5101</v>
      </c>
      <c r="K226" s="44">
        <f t="shared" si="61"/>
        <v>2821.066</v>
      </c>
      <c r="L226" s="44">
        <f t="shared" si="62"/>
        <v>18.1792</v>
      </c>
      <c r="M226" s="44">
        <f t="shared" si="63"/>
        <v>165.50068472222222</v>
      </c>
      <c r="N226" s="44">
        <f t="shared" si="58"/>
        <v>30475.58798472222</v>
      </c>
    </row>
    <row r="227" spans="1:14" ht="12.75">
      <c r="A227" s="27" t="s">
        <v>60</v>
      </c>
      <c r="B227" s="36">
        <f aca="true" t="shared" si="64" ref="B227:G227">AVERAGE(B214:B225)</f>
        <v>12078.818181818182</v>
      </c>
      <c r="C227" s="36">
        <f t="shared" si="64"/>
        <v>842.0909090909091</v>
      </c>
      <c r="D227" s="36">
        <f t="shared" si="64"/>
        <v>70.36363636363636</v>
      </c>
      <c r="E227" s="36">
        <f t="shared" si="64"/>
        <v>177</v>
      </c>
      <c r="F227" s="36">
        <f t="shared" si="64"/>
        <v>2107</v>
      </c>
      <c r="G227" s="36">
        <f t="shared" si="64"/>
        <v>15275.272727272728</v>
      </c>
      <c r="I227" s="45">
        <f aca="true" t="shared" si="65" ref="I227:N227">SUM(I215:I226)</f>
        <v>196297.64800000002</v>
      </c>
      <c r="J227" s="45">
        <f t="shared" si="65"/>
        <v>22480.0901</v>
      </c>
      <c r="K227" s="45">
        <f t="shared" si="65"/>
        <v>24628.062644444442</v>
      </c>
      <c r="L227" s="45">
        <f t="shared" si="65"/>
        <v>159.54804450000003</v>
      </c>
      <c r="M227" s="45">
        <f t="shared" si="65"/>
        <v>1413.001083611111</v>
      </c>
      <c r="N227" s="45">
        <f t="shared" si="65"/>
        <v>244978.34987255555</v>
      </c>
    </row>
    <row r="228" spans="1:7" ht="12.75">
      <c r="A228" s="27"/>
      <c r="B228" s="27"/>
      <c r="C228" s="27"/>
      <c r="D228" s="27"/>
      <c r="E228" s="27"/>
      <c r="F228" s="27"/>
      <c r="G228" s="27"/>
    </row>
    <row r="229" spans="9:14" ht="12.75">
      <c r="I229" s="59" t="s">
        <v>68</v>
      </c>
      <c r="J229" s="60" t="s">
        <v>54</v>
      </c>
      <c r="K229" s="61" t="s">
        <v>55</v>
      </c>
      <c r="L229" s="61" t="s">
        <v>56</v>
      </c>
      <c r="M229" s="61" t="s">
        <v>57</v>
      </c>
      <c r="N229" s="61" t="s">
        <v>58</v>
      </c>
    </row>
    <row r="230" spans="9:14" ht="12.75">
      <c r="I230" s="62" t="s">
        <v>63</v>
      </c>
      <c r="J230" s="64">
        <f>'[1]PILS 2002-2003'!$D$5</f>
        <v>4.45</v>
      </c>
      <c r="K230" s="64">
        <f>'[1]PILS 2002-2003'!$D$6</f>
        <v>9.15</v>
      </c>
      <c r="L230" s="64">
        <f>'[1]PILS 2002-2003'!$D$7</f>
        <v>90.74000000000001</v>
      </c>
      <c r="M230" s="64">
        <f>'[1]PILS 2002-2003'!$D$8</f>
        <v>0.26</v>
      </c>
      <c r="N230" s="64">
        <f>'[1]PILS 2002-2003'!$D$9</f>
        <v>0.19</v>
      </c>
    </row>
    <row r="231" spans="9:14" ht="12.75">
      <c r="I231" s="62" t="s">
        <v>64</v>
      </c>
      <c r="J231" s="63">
        <f>'[1]PILS 2002-2003'!$D$12</f>
        <v>0.002</v>
      </c>
      <c r="K231" s="63">
        <f>'[1]PILS 2002-2003'!$D$13</f>
        <v>0.0013</v>
      </c>
      <c r="L231" s="63">
        <f>'[1]PILS 2002-2003'!$D$14</f>
        <v>0.362</v>
      </c>
      <c r="M231" s="63">
        <f>'[1]PILS 2002-2003'!$D$15</f>
        <v>0.5681</v>
      </c>
      <c r="N231" s="63">
        <f>'[1]PILS 2002-2003'!$D$16</f>
        <v>0.5773</v>
      </c>
    </row>
    <row r="241" spans="3:6" ht="12.75">
      <c r="C241">
        <v>801165</v>
      </c>
      <c r="D241">
        <v>768889</v>
      </c>
      <c r="E241">
        <v>738883</v>
      </c>
      <c r="F241">
        <v>699777</v>
      </c>
    </row>
    <row r="242" spans="3:6" ht="12.75">
      <c r="C242">
        <v>152790</v>
      </c>
      <c r="D242">
        <v>152790</v>
      </c>
      <c r="E242">
        <v>152790</v>
      </c>
      <c r="F242">
        <v>152790</v>
      </c>
    </row>
    <row r="243" spans="3:6" ht="12.75">
      <c r="C243">
        <v>38614</v>
      </c>
      <c r="D243">
        <v>45093</v>
      </c>
      <c r="E243">
        <v>38873</v>
      </c>
      <c r="F243">
        <v>32299</v>
      </c>
    </row>
    <row r="244" ht="12.75">
      <c r="D244">
        <v>16018</v>
      </c>
    </row>
    <row r="245" spans="3:6" ht="12.75">
      <c r="C245" s="69">
        <f>SUM(C241:C244)</f>
        <v>992569</v>
      </c>
      <c r="D245" s="69">
        <f>SUM(D241:D244)</f>
        <v>982790</v>
      </c>
      <c r="E245" s="69">
        <f>SUM(E241:E244)</f>
        <v>930546</v>
      </c>
      <c r="F245" s="69">
        <f>SUM(F241:F244)</f>
        <v>884866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7.28125" style="0" customWidth="1"/>
    <col min="2" max="2" width="14.140625" style="0" customWidth="1"/>
    <col min="3" max="3" width="16.57421875" style="0" customWidth="1"/>
    <col min="4" max="4" width="14.57421875" style="0" customWidth="1"/>
    <col min="5" max="5" width="36.421875" style="0" bestFit="1" customWidth="1"/>
    <col min="6" max="6" width="12.7109375" style="0" customWidth="1"/>
    <col min="7" max="9" width="12.140625" style="0" customWidth="1"/>
    <col min="10" max="10" width="9.8515625" style="0" bestFit="1" customWidth="1"/>
    <col min="11" max="11" width="9.8515625" style="0" customWidth="1"/>
    <col min="12" max="12" width="11.28125" style="0" customWidth="1"/>
    <col min="13" max="13" width="4.57421875" style="0" customWidth="1"/>
    <col min="14" max="14" width="10.140625" style="0" customWidth="1"/>
    <col min="15" max="15" width="10.00390625" style="5" customWidth="1"/>
  </cols>
  <sheetData>
    <row r="1" spans="1:5" ht="15.75">
      <c r="A1" s="48" t="s">
        <v>0</v>
      </c>
      <c r="B1" s="48"/>
      <c r="C1" s="49" t="s">
        <v>70</v>
      </c>
      <c r="D1" s="4"/>
      <c r="E1" s="4"/>
    </row>
    <row r="3" spans="1:7" ht="24.75" customHeight="1">
      <c r="A3" s="46" t="s">
        <v>71</v>
      </c>
      <c r="B3" s="1" t="s">
        <v>73</v>
      </c>
      <c r="C3" s="6" t="s">
        <v>1</v>
      </c>
      <c r="D3" s="6" t="s">
        <v>40</v>
      </c>
      <c r="E3" s="6" t="s">
        <v>22</v>
      </c>
      <c r="F3" s="6"/>
      <c r="G3" s="7"/>
    </row>
    <row r="4" spans="1:5" ht="12.75">
      <c r="A4" s="1" t="s">
        <v>2</v>
      </c>
      <c r="B4" s="2">
        <v>2001</v>
      </c>
      <c r="C4" s="50">
        <v>282857</v>
      </c>
      <c r="D4" s="51">
        <f>C4/3</f>
        <v>94285.66666666667</v>
      </c>
      <c r="E4" s="42" t="s">
        <v>112</v>
      </c>
    </row>
    <row r="5" spans="1:5" ht="12.75">
      <c r="A5" s="1"/>
      <c r="B5" s="2">
        <v>2002</v>
      </c>
      <c r="C5" s="50">
        <v>880498</v>
      </c>
      <c r="D5" s="51">
        <f>C5/12</f>
        <v>73374.83333333333</v>
      </c>
      <c r="E5" s="42" t="s">
        <v>113</v>
      </c>
    </row>
    <row r="6" spans="1:4" ht="12.75">
      <c r="A6" s="1"/>
      <c r="B6" s="2"/>
      <c r="C6" s="53"/>
      <c r="D6" s="54"/>
    </row>
    <row r="7" spans="1:5" ht="12.75">
      <c r="A7" s="1" t="str">
        <f>A4</f>
        <v>Per 2002 RAM</v>
      </c>
      <c r="B7" s="2">
        <v>2003</v>
      </c>
      <c r="C7" s="50">
        <f>C4+C5</f>
        <v>1163355</v>
      </c>
      <c r="D7" s="51">
        <f>C7/12</f>
        <v>96946.25</v>
      </c>
      <c r="E7" s="42" t="s">
        <v>115</v>
      </c>
    </row>
    <row r="8" spans="1:4" ht="12.75">
      <c r="A8" s="1"/>
      <c r="B8" s="2"/>
      <c r="C8" s="50"/>
      <c r="D8" s="3"/>
    </row>
    <row r="9" spans="1:5" ht="12.75">
      <c r="A9" s="1" t="s">
        <v>3</v>
      </c>
      <c r="B9" s="2">
        <v>2004</v>
      </c>
      <c r="C9" s="50">
        <v>880498</v>
      </c>
      <c r="D9" s="51">
        <f>C9/12</f>
        <v>73374.83333333333</v>
      </c>
      <c r="E9" s="42" t="s">
        <v>114</v>
      </c>
    </row>
    <row r="10" spans="1:4" ht="12.75">
      <c r="A10" s="1"/>
      <c r="B10" s="2"/>
      <c r="C10" s="50"/>
      <c r="D10" s="3"/>
    </row>
    <row r="11" spans="1:5" ht="12.75">
      <c r="A11" s="1" t="s">
        <v>4</v>
      </c>
      <c r="B11" s="2">
        <v>2005</v>
      </c>
      <c r="C11" s="50">
        <v>872918</v>
      </c>
      <c r="D11" s="51">
        <f>C11/12</f>
        <v>72743.16666666667</v>
      </c>
      <c r="E11" s="42" t="s">
        <v>79</v>
      </c>
    </row>
    <row r="13" ht="12.75">
      <c r="A13" s="1" t="s">
        <v>5</v>
      </c>
    </row>
    <row r="14" spans="1:8" ht="12.75">
      <c r="A14" s="42" t="s">
        <v>18</v>
      </c>
      <c r="B14" s="42"/>
      <c r="C14" s="42"/>
      <c r="D14" s="42"/>
      <c r="E14" s="42"/>
      <c r="F14" s="42"/>
      <c r="G14" s="42"/>
      <c r="H14" s="42"/>
    </row>
    <row r="15" spans="1:8" ht="12.75">
      <c r="A15" s="42" t="s">
        <v>19</v>
      </c>
      <c r="B15" s="42"/>
      <c r="C15" s="42"/>
      <c r="D15" s="42"/>
      <c r="E15" s="42"/>
      <c r="F15" s="42"/>
      <c r="G15" s="42"/>
      <c r="H15" s="42"/>
    </row>
    <row r="16" spans="1:8" ht="12.75">
      <c r="A16" s="42" t="s">
        <v>20</v>
      </c>
      <c r="B16" s="42"/>
      <c r="C16" s="42"/>
      <c r="D16" s="42"/>
      <c r="E16" s="42"/>
      <c r="F16" s="42"/>
      <c r="G16" s="42"/>
      <c r="H16" s="42"/>
    </row>
    <row r="17" spans="1:8" ht="12.75">
      <c r="A17" s="42" t="s">
        <v>21</v>
      </c>
      <c r="B17" s="42"/>
      <c r="C17" s="42"/>
      <c r="D17" s="42"/>
      <c r="E17" s="42"/>
      <c r="F17" s="42"/>
      <c r="G17" s="42"/>
      <c r="H17" s="42"/>
    </row>
    <row r="18" spans="1:8" ht="12.75">
      <c r="A18" s="42"/>
      <c r="B18" s="42"/>
      <c r="C18" s="42"/>
      <c r="D18" s="42"/>
      <c r="E18" s="42"/>
      <c r="F18" s="42"/>
      <c r="G18" s="42"/>
      <c r="H18" s="42"/>
    </row>
    <row r="20" spans="1:6" ht="30.75" customHeight="1">
      <c r="A20" s="46" t="s">
        <v>72</v>
      </c>
      <c r="B20" s="23" t="s">
        <v>80</v>
      </c>
      <c r="C20" s="6" t="s">
        <v>81</v>
      </c>
      <c r="E20" s="6"/>
      <c r="F20" s="6"/>
    </row>
    <row r="21" spans="1:4" ht="12.75">
      <c r="A21" s="1" t="s">
        <v>75</v>
      </c>
      <c r="B21" s="2">
        <v>2001</v>
      </c>
      <c r="C21" s="50">
        <v>0</v>
      </c>
      <c r="D21" s="3"/>
    </row>
    <row r="22" spans="1:4" ht="12.75">
      <c r="A22" s="1" t="s">
        <v>74</v>
      </c>
      <c r="B22" s="47">
        <v>37802</v>
      </c>
      <c r="C22" s="50">
        <v>-166445</v>
      </c>
      <c r="D22" s="3"/>
    </row>
    <row r="23" spans="1:4" ht="12.75">
      <c r="A23" s="1" t="s">
        <v>76</v>
      </c>
      <c r="B23" s="47">
        <v>38168</v>
      </c>
      <c r="C23" s="50">
        <v>-185570</v>
      </c>
      <c r="D23" s="3"/>
    </row>
    <row r="24" spans="1:4" ht="12.75">
      <c r="A24" s="1" t="s">
        <v>77</v>
      </c>
      <c r="B24" s="47">
        <v>38533</v>
      </c>
      <c r="C24" s="50">
        <v>-148570</v>
      </c>
      <c r="D24" s="3"/>
    </row>
    <row r="25" spans="1:4" ht="12.75">
      <c r="A25" s="1" t="s">
        <v>78</v>
      </c>
      <c r="B25" s="47">
        <v>38898</v>
      </c>
      <c r="C25" s="50">
        <v>-106204</v>
      </c>
      <c r="D25" s="3"/>
    </row>
    <row r="28" spans="1:3" ht="15">
      <c r="A28" s="46" t="s">
        <v>103</v>
      </c>
      <c r="B28" s="1" t="s">
        <v>104</v>
      </c>
      <c r="C28" s="1" t="s">
        <v>105</v>
      </c>
    </row>
    <row r="29" spans="2:4" ht="12.75">
      <c r="B29" s="55">
        <v>0.0725</v>
      </c>
      <c r="C29" s="42" t="s">
        <v>82</v>
      </c>
      <c r="D29" s="9"/>
    </row>
    <row r="30" spans="2:4" ht="12.75">
      <c r="B30" s="56">
        <v>0.0414</v>
      </c>
      <c r="C30" s="57" t="s">
        <v>83</v>
      </c>
      <c r="D30" s="9"/>
    </row>
    <row r="31" spans="2:4" ht="12.75">
      <c r="B31" s="56">
        <v>0.0459</v>
      </c>
      <c r="C31" s="58" t="s">
        <v>84</v>
      </c>
      <c r="D31" s="9"/>
    </row>
    <row r="32" spans="2:4" ht="12.75">
      <c r="B32" s="56">
        <v>0.0459</v>
      </c>
      <c r="C32" s="57" t="s">
        <v>85</v>
      </c>
      <c r="D32" s="9"/>
    </row>
    <row r="33" spans="2:4" ht="12.75">
      <c r="B33" s="56">
        <v>0.0459</v>
      </c>
      <c r="C33" s="58" t="s">
        <v>86</v>
      </c>
      <c r="D33" s="9"/>
    </row>
    <row r="34" spans="2:4" ht="12.75">
      <c r="B34" s="55">
        <v>0.0514</v>
      </c>
      <c r="C34" s="58" t="s">
        <v>87</v>
      </c>
      <c r="D34" s="9"/>
    </row>
    <row r="35" spans="2:4" ht="12.75">
      <c r="B35" s="56">
        <v>0.0408</v>
      </c>
      <c r="C35" s="58" t="s">
        <v>88</v>
      </c>
      <c r="D35" s="9"/>
    </row>
    <row r="36" spans="2:4" ht="12.75">
      <c r="B36" s="55">
        <v>0.0335</v>
      </c>
      <c r="C36" s="58" t="s">
        <v>89</v>
      </c>
      <c r="D36" s="9"/>
    </row>
    <row r="37" spans="2:4" ht="12.75">
      <c r="B37" s="55">
        <v>0.0245</v>
      </c>
      <c r="C37" s="58" t="s">
        <v>90</v>
      </c>
      <c r="D37" s="9"/>
    </row>
    <row r="38" spans="2:4" ht="12.75">
      <c r="B38" s="55">
        <v>0.01</v>
      </c>
      <c r="C38" s="58" t="s">
        <v>91</v>
      </c>
      <c r="D38" s="9"/>
    </row>
    <row r="39" spans="2:4" ht="12.75">
      <c r="B39" s="55">
        <v>0.0055</v>
      </c>
      <c r="C39" s="58" t="s">
        <v>92</v>
      </c>
      <c r="D39" s="9"/>
    </row>
    <row r="40" spans="2:4" ht="12.75">
      <c r="B40" s="55">
        <v>0.0055</v>
      </c>
      <c r="C40" s="58" t="s">
        <v>93</v>
      </c>
      <c r="D40" s="9"/>
    </row>
    <row r="41" spans="2:4" ht="12.75">
      <c r="B41" s="55">
        <v>0.0055</v>
      </c>
      <c r="C41" s="58" t="s">
        <v>94</v>
      </c>
      <c r="D41" s="9"/>
    </row>
    <row r="42" spans="2:4" ht="12.75">
      <c r="B42" s="55">
        <v>0.0055</v>
      </c>
      <c r="C42" s="58" t="s">
        <v>95</v>
      </c>
      <c r="D42" s="9"/>
    </row>
    <row r="43" spans="2:4" ht="12.75">
      <c r="B43" s="55">
        <v>0.0089</v>
      </c>
      <c r="C43" s="58" t="s">
        <v>96</v>
      </c>
      <c r="D43" s="9"/>
    </row>
    <row r="44" spans="2:4" ht="12.75">
      <c r="B44" s="55">
        <v>0.012</v>
      </c>
      <c r="C44" s="58" t="s">
        <v>97</v>
      </c>
      <c r="D44" s="9"/>
    </row>
    <row r="45" spans="2:4" ht="12.75">
      <c r="B45" s="55">
        <v>0.0147</v>
      </c>
      <c r="C45" s="58" t="s">
        <v>98</v>
      </c>
      <c r="D45" s="9"/>
    </row>
    <row r="46" spans="2:4" ht="12.75">
      <c r="B46" s="55">
        <v>0.0147</v>
      </c>
      <c r="C46" s="58" t="s">
        <v>99</v>
      </c>
      <c r="D46" s="9"/>
    </row>
    <row r="47" spans="2:4" ht="12.75">
      <c r="B47" s="55">
        <v>0.0147</v>
      </c>
      <c r="C47" s="58" t="s">
        <v>100</v>
      </c>
      <c r="D47" s="9"/>
    </row>
    <row r="48" spans="2:4" ht="12.75">
      <c r="B48" s="55">
        <v>0.0147</v>
      </c>
      <c r="C48" s="58" t="s">
        <v>101</v>
      </c>
      <c r="D48" s="9"/>
    </row>
    <row r="49" spans="2:4" ht="12.75">
      <c r="B49" s="55">
        <v>0.0147</v>
      </c>
      <c r="C49" s="58" t="s">
        <v>106</v>
      </c>
      <c r="D49" s="9" t="s">
        <v>102</v>
      </c>
    </row>
  </sheetData>
  <sheetProtection/>
  <printOptions/>
  <pageMargins left="0.2362204724409449" right="0.17" top="0.2362204724409449" bottom="0.5118110236220472" header="0.5118110236220472" footer="0.15748031496062992"/>
  <pageSetup horizontalDpi="600" verticalDpi="600" orientation="portrait" scale="95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Stephanie Chan</cp:lastModifiedBy>
  <cp:lastPrinted>2012-04-20T13:51:48Z</cp:lastPrinted>
  <dcterms:created xsi:type="dcterms:W3CDTF">1996-10-14T23:33:28Z</dcterms:created>
  <dcterms:modified xsi:type="dcterms:W3CDTF">2012-04-20T14:12:07Z</dcterms:modified>
  <cp:category/>
  <cp:version/>
  <cp:contentType/>
  <cp:contentStatus/>
</cp:coreProperties>
</file>