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91" firstSheet="2" activeTab="4"/>
  </bookViews>
  <sheets>
    <sheet name="A1.1 Distributor Information" sheetId="1" r:id="rId1"/>
    <sheet name="PS1 2004 Annual" sheetId="2" r:id="rId2"/>
    <sheet name="2004 PILs Proxy" sheetId="3" r:id="rId3"/>
    <sheet name="REGINFO" sheetId="4" r:id="rId4"/>
    <sheet name="TAXCALC" sheetId="5" r:id="rId5"/>
    <sheet name="TAXREC" sheetId="6" r:id="rId6"/>
    <sheet name="Tax Reserves" sheetId="7" r:id="rId7"/>
    <sheet name="TAXREC 2" sheetId="8" r:id="rId8"/>
    <sheet name="TAXREC 3 No True-up" sheetId="9" r:id="rId9"/>
    <sheet name="Tax Rates" sheetId="10" r:id="rId10"/>
    <sheet name="PILs 1562 Calculation" sheetId="11" r:id="rId11"/>
  </sheets>
  <externalReferences>
    <externalReference r:id="rId14"/>
    <externalReference r:id="rId15"/>
    <externalReference r:id="rId16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10">'PILs 1562 Calculation'!$A$1:$O$80</definedName>
    <definedName name="_xlnm.Print_Area" localSheetId="3">'REGINFO'!$A$1:$E$73</definedName>
    <definedName name="_xlnm.Print_Area" localSheetId="9">'Tax Rates'!$A$1:$G$61</definedName>
    <definedName name="_xlnm.Print_Area" localSheetId="6">'Tax Reserves'!$A$1:$F$67</definedName>
    <definedName name="_xlnm.Print_Area" localSheetId="4">'TAXCALC'!$A$1:$H$210</definedName>
    <definedName name="_xlnm.Print_Area" localSheetId="5">'TAXREC'!$A$1:$F$162</definedName>
    <definedName name="_xlnm.Print_Area" localSheetId="7">'TAXREC 2'!$A$1:$F$126</definedName>
    <definedName name="_xlnm.Print_Area" localSheetId="8">'TAXREC 3 No True-up'!$A$1:$F$76</definedName>
    <definedName name="_xlnm.Print_Titles" localSheetId="4">'TAXCALC'!$A:$A,'TAXCALC'!$1:$13</definedName>
    <definedName name="_xlnm.Print_Titles" localSheetId="5">'TAXREC'!$1:$5</definedName>
    <definedName name="_xlnm.Print_Titles" localSheetId="7">'TAXREC 2'!$1:$13</definedName>
    <definedName name="_xlnm.Print_Titles" localSheetId="8">'TAXREC 3 No True-up'!$4:$8</definedName>
    <definedName name="Ratebase" localSheetId="2">'[2]REGINFO'!$D$31</definedName>
    <definedName name="Ratebase" localSheetId="0">'[3]REGINFO'!$D$31</definedName>
    <definedName name="Ratebase" localSheetId="1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<sst xmlns="http://schemas.openxmlformats.org/spreadsheetml/2006/main" count="1206" uniqueCount="694">
  <si>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</si>
  <si>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</si>
  <si>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</si>
  <si>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</si>
  <si>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</si>
  <si>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</si>
  <si>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</si>
  <si>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</si>
  <si>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</si>
  <si>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</si>
  <si>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</si>
  <si>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</si>
  <si>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</si>
  <si>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</si>
  <si>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</si>
  <si>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</si>
  <si>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</si>
  <si>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</si>
  <si>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</si>
  <si>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</si>
  <si>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</si>
  <si>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</si>
  <si>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</si>
  <si>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</si>
  <si>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</si>
  <si>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</si>
  <si>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</si>
  <si>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</si>
  <si>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</si>
  <si>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</si>
  <si>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</si>
  <si>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</si>
  <si>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</si>
  <si>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</si>
  <si>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</si>
  <si>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</si>
  <si>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</si>
  <si>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</si>
  <si>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</si>
  <si>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</si>
  <si>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</si>
  <si>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</si>
  <si>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</si>
  <si>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</si>
  <si>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</si>
  <si>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</si>
  <si>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</si>
  <si>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</si>
  <si>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</si>
  <si>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</si>
  <si>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</si>
  <si>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</si>
  <si>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</si>
  <si>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</si>
  <si>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</si>
  <si>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</si>
  <si>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</si>
  <si>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</si>
  <si>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</si>
  <si>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</si>
  <si>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</si>
  <si>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</si>
  <si>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</si>
  <si>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</si>
  <si>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</si>
  <si>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</si>
  <si>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</si>
  <si>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</si>
  <si>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</si>
  <si>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</si>
  <si>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</si>
  <si>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</si>
  <si>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</si>
  <si>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</si>
  <si>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</si>
  <si>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</si>
  <si>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</si>
  <si>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</si>
  <si>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</si>
  <si>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</si>
  <si>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</si>
  <si>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</si>
  <si>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</si>
  <si>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</si>
  <si>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</si>
  <si>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</si>
  <si>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</si>
  <si>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</si>
  <si>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</si>
  <si>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</si>
  <si>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</si>
  <si>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</si>
  <si>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</si>
  <si>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</si>
  <si>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</si>
  <si>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</si>
  <si>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</si>
  <si>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</si>
  <si>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</si>
  <si>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</si>
  <si>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</si>
  <si>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</si>
  <si>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</si>
  <si>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</si>
  <si>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</si>
  <si>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</si>
  <si>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</si>
  <si>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</si>
  <si>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</si>
  <si>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</si>
  <si>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</si>
  <si>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</si>
  <si>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</si>
  <si>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</si>
  <si>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</si>
  <si>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</si>
  <si>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</si>
  <si>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</si>
  <si>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</si>
  <si>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</si>
  <si>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</si>
  <si>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</si>
  <si>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</si>
  <si>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</si>
  <si>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</si>
  <si>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</si>
  <si>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</si>
  <si>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</si>
  <si>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</si>
  <si>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</si>
  <si>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</si>
  <si>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</si>
  <si>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</si>
  <si>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</si>
  <si>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</si>
  <si>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</si>
  <si>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</si>
  <si>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</si>
  <si>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</si>
  <si>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</si>
  <si>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</si>
  <si>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</si>
  <si>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</si>
  <si>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</si>
  <si>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</si>
  <si>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</si>
  <si>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</si>
  <si>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</si>
  <si>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</si>
  <si>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</si>
  <si>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</si>
  <si>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</si>
  <si>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</si>
  <si>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</si>
  <si>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</si>
  <si>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</si>
  <si>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</si>
  <si>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</si>
  <si>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</si>
  <si>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</si>
  <si>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</si>
  <si>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</si>
  <si>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</si>
  <si>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</si>
  <si>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</si>
  <si>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</si>
  <si>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</si>
  <si>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</si>
  <si>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</si>
  <si>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</si>
  <si>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</si>
  <si>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</si>
  <si>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</si>
  <si>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</si>
  <si>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</si>
  <si>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</si>
  <si>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</si>
  <si>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</si>
  <si>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</si>
  <si>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</si>
  <si>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</si>
  <si>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</si>
  <si>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</si>
  <si>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</si>
  <si>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</si>
  <si>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</si>
  <si>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</si>
  <si>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</si>
  <si>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</si>
  <si>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</si>
  <si>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</si>
  <si>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</si>
  <si>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</si>
  <si>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</si>
  <si>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</si>
  <si>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</si>
  <si>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</si>
  <si>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</si>
  <si>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</si>
  <si>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</si>
  <si>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</si>
  <si>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</si>
  <si>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</si>
  <si>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</si>
  <si>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</si>
  <si>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</si>
  <si>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</si>
  <si>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</si>
  <si>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</si>
  <si>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</si>
  <si>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</si>
  <si>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</si>
  <si>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</si>
  <si>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</si>
  <si>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</si>
  <si>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</si>
  <si>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</si>
  <si>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</si>
  <si>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</si>
  <si>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</si>
  <si>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</si>
  <si>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</si>
  <si>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</si>
  <si>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</si>
  <si>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</si>
  <si>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</si>
  <si>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</si>
  <si>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</si>
  <si>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Total Revised Regulatory Income Tax</t>
  </si>
  <si>
    <t>x</t>
  </si>
  <si>
    <t>Regulatory Income Tax Variance</t>
  </si>
  <si>
    <t xml:space="preserve">Revised deemed taxable capital </t>
  </si>
  <si>
    <t>REGULATORY TAXABLE INCOME /(LOSSES) (as reported in the initial estimate column)</t>
  </si>
  <si>
    <t>Federal LCT</t>
  </si>
  <si>
    <t xml:space="preserve">Less: Revised Miscellaneous Tax Credits </t>
  </si>
  <si>
    <t>Revised Federal LCT</t>
  </si>
  <si>
    <t>Revised Net LCT</t>
  </si>
  <si>
    <t>Income Tax (grossed-up)</t>
  </si>
  <si>
    <t>Regulatory Ontario Capital Tax Variance</t>
  </si>
  <si>
    <t>Regulatory Federal LCT Variance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</si>
  <si>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</si>
  <si>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</si>
  <si>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</si>
  <si>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</si>
  <si>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</si>
  <si>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</si>
  <si>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</si>
  <si>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</si>
  <si>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</si>
  <si>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</si>
  <si>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</si>
  <si>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</si>
  <si>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</si>
  <si>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</si>
  <si>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</si>
  <si>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</si>
  <si>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</si>
  <si>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</si>
  <si>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</si>
  <si>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</si>
  <si>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</si>
  <si>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</si>
  <si>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</si>
  <si>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</si>
  <si>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</si>
  <si>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</si>
  <si>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</si>
  <si>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</si>
  <si>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</si>
  <si>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</si>
  <si>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</si>
  <si>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</si>
  <si>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</si>
  <si>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</si>
  <si>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</si>
  <si>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</si>
  <si>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</si>
  <si>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</si>
  <si>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</si>
  <si>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</si>
  <si>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</si>
  <si>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</si>
  <si>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</si>
  <si>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</si>
  <si>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</si>
  <si>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</si>
  <si>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</si>
  <si>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</si>
  <si>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</si>
  <si>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</si>
  <si>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</si>
  <si>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</si>
  <si>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</si>
  <si>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</si>
  <si>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</si>
  <si>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</si>
  <si>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</si>
  <si>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</si>
  <si>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</si>
  <si>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</si>
  <si>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</si>
  <si>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</si>
  <si>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</si>
  <si>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</si>
  <si>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</si>
  <si>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</si>
  <si>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</si>
  <si>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</si>
  <si>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</si>
  <si>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</si>
  <si>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>Gross Amount of LCT before surtax offset (Taxable Capital x Rate)</t>
  </si>
  <si>
    <t>Less: Federal Surtax  1.12% x Taxable Income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</si>
  <si>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</si>
  <si>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</si>
  <si>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</si>
  <si>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</si>
  <si>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</si>
  <si>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</si>
  <si>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</si>
  <si>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</si>
  <si>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</si>
  <si>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</si>
  <si>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</si>
  <si>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</si>
  <si>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</si>
  <si>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</si>
  <si>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</si>
  <si>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</si>
  <si>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</si>
  <si>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</si>
  <si>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</si>
  <si>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</si>
  <si>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</si>
  <si>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</si>
  <si>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</si>
  <si>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</si>
  <si>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</si>
  <si>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</si>
  <si>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</si>
  <si>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</si>
  <si>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</si>
  <si>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</si>
  <si>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</si>
  <si>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</si>
  <si>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</si>
  <si>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</si>
  <si>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</si>
  <si>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</si>
  <si>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</si>
  <si>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</si>
  <si>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</si>
  <si>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</si>
  <si>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</si>
  <si>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</si>
  <si>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</si>
  <si>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</si>
  <si>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</si>
  <si>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</si>
  <si>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</si>
  <si>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</si>
  <si>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</si>
  <si>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</si>
  <si>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</si>
  <si>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</si>
  <si>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</si>
  <si>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</si>
  <si>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</si>
  <si>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</si>
  <si>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</si>
  <si>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</si>
  <si>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</si>
  <si>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</si>
  <si>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</si>
  <si>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</si>
  <si>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</si>
  <si>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</si>
  <si>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</si>
  <si>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</si>
  <si>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</si>
  <si>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</si>
  <si>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</si>
  <si>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</si>
  <si>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</si>
  <si>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</si>
  <si>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</si>
  <si>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</si>
  <si>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</si>
  <si>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</si>
  <si>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</si>
  <si>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</si>
  <si>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</si>
  <si>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</si>
  <si>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</si>
  <si>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</si>
  <si>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</si>
  <si>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</si>
  <si>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</si>
  <si>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</si>
  <si>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</si>
  <si>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</si>
  <si>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</si>
  <si>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</si>
  <si>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</si>
  <si>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</si>
  <si>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</si>
  <si>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</si>
  <si>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</si>
  <si>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</si>
  <si>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</si>
  <si>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</si>
  <si>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</si>
  <si>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</si>
  <si>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</si>
  <si>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</si>
  <si>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</si>
  <si>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</si>
  <si>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</si>
  <si>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</si>
  <si>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</si>
  <si>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</si>
  <si>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</si>
  <si>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</si>
  <si>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</si>
  <si>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</si>
  <si>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</si>
  <si>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</si>
  <si>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</si>
  <si>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</si>
  <si>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</si>
  <si>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</si>
  <si>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</si>
  <si>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</si>
  <si>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</si>
  <si>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</si>
  <si>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</si>
  <si>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</si>
  <si>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</si>
  <si>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</si>
  <si>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</si>
  <si>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</si>
  <si>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</si>
  <si>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</si>
  <si>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</si>
  <si>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</si>
  <si>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</si>
  <si>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</si>
  <si>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</si>
  <si>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</si>
  <si>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</si>
  <si>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</si>
  <si>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</si>
  <si>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</si>
  <si>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</si>
  <si>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</si>
  <si>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</si>
  <si>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</si>
  <si>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</si>
  <si>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</si>
  <si>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</si>
  <si>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</si>
  <si>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</si>
  <si>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</si>
  <si>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</si>
  <si>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</si>
  <si>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</si>
  <si>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</si>
  <si>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</si>
  <si>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</si>
  <si>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</si>
  <si>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</si>
  <si>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</si>
  <si>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</si>
  <si>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</si>
  <si>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</si>
  <si>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</si>
  <si>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</si>
  <si>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</si>
  <si>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</si>
  <si>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</si>
  <si>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</si>
  <si>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</si>
  <si>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</si>
  <si>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Reporting period:  2004</t>
  </si>
  <si>
    <t>Actual 2004</t>
  </si>
  <si>
    <t>&gt;1,128,000</t>
  </si>
  <si>
    <t>Input Information from Utility's Actual 2004 Tax Returns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</si>
  <si>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</si>
  <si>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</si>
  <si>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</si>
  <si>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</si>
  <si>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</si>
  <si>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</si>
  <si>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</si>
  <si>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</si>
  <si>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</si>
  <si>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</si>
  <si>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</si>
  <si>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</si>
  <si>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</si>
  <si>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</si>
  <si>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</si>
  <si>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</si>
  <si>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</si>
  <si>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</si>
  <si>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</si>
  <si>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</si>
  <si>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</si>
  <si>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</si>
  <si>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</si>
  <si>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</si>
  <si>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</si>
  <si>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</si>
  <si>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</si>
  <si>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</si>
  <si>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</si>
  <si>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</si>
  <si>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</si>
  <si>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</si>
  <si>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</si>
  <si>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</si>
  <si>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</si>
  <si>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</si>
  <si>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</si>
  <si>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</si>
  <si>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</si>
  <si>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</si>
  <si>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</si>
  <si>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</si>
  <si>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</si>
  <si>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</si>
  <si>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</si>
  <si>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</si>
  <si>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</si>
  <si>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</si>
  <si>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</si>
  <si>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</si>
  <si>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</si>
  <si>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</si>
  <si>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</si>
  <si>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</si>
  <si>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</si>
  <si>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</si>
  <si>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</si>
  <si>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</si>
  <si>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</si>
  <si>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</si>
  <si>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</si>
  <si>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</si>
  <si>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</si>
  <si>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</si>
  <si>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</si>
  <si>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</si>
  <si>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</si>
  <si>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</si>
  <si>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</si>
  <si>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</si>
  <si>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</si>
  <si>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</si>
  <si>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</si>
  <si>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</si>
  <si>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</si>
  <si>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</si>
  <si>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</si>
  <si>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</si>
  <si>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</si>
  <si>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</si>
  <si>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</si>
  <si>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</si>
  <si>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</si>
  <si>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</si>
  <si>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</si>
  <si>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</si>
  <si>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</si>
  <si>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</si>
  <si>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</si>
  <si>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</si>
  <si>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</si>
  <si>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</si>
  <si>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</si>
  <si>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</si>
  <si>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</si>
  <si>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</si>
  <si>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</si>
  <si>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</si>
  <si>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</si>
  <si>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</si>
  <si>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</si>
  <si>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</si>
  <si>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</si>
  <si>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</si>
  <si>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</si>
  <si>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</si>
  <si>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</si>
  <si>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</si>
  <si>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</si>
  <si>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</si>
  <si>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</si>
  <si>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</si>
  <si>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</si>
  <si>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</si>
  <si>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</si>
  <si>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</si>
  <si>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</si>
  <si>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</si>
  <si>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</si>
  <si>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</si>
  <si>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</si>
  <si>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</si>
  <si>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</si>
  <si>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</si>
  <si>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</si>
  <si>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</si>
  <si>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</si>
  <si>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</si>
  <si>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</si>
  <si>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</si>
  <si>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</si>
  <si>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</si>
  <si>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</si>
  <si>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</si>
  <si>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</si>
  <si>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</si>
  <si>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</si>
  <si>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</si>
  <si>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</si>
  <si>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</si>
  <si>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</si>
  <si>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</si>
  <si>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</si>
  <si>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Veridian Connections Inc.</t>
  </si>
  <si>
    <t>EB-2011-0199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</si>
  <si>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</si>
  <si>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</si>
  <si>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</si>
  <si>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</si>
  <si>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</si>
  <si>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</si>
  <si>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</si>
  <si>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</si>
  <si>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</si>
  <si>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</si>
  <si>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</si>
  <si>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</si>
  <si>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</si>
  <si>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</si>
  <si>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</si>
  <si>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</si>
  <si>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</si>
  <si>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</si>
  <si>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</si>
  <si>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</si>
  <si>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MAX $50MM</t>
  </si>
  <si>
    <r>
      <t xml:space="preserve">Income Tax Rate (including surtax) from </t>
    </r>
    <r>
      <rPr>
        <b/>
        <sz val="10"/>
        <color indexed="10"/>
        <rFont val="Arial"/>
        <family val="2"/>
      </rPr>
      <t>2004</t>
    </r>
    <r>
      <rPr>
        <sz val="10"/>
        <rFont val="Arial"/>
        <family val="2"/>
      </rPr>
      <t xml:space="preserve"> Utility's tax return</t>
    </r>
  </si>
  <si>
    <t>REVISED CORPORATE INCOME TAX RATE (including surtax)</t>
  </si>
  <si>
    <t>PowerStream Inc. - South</t>
  </si>
  <si>
    <t>PowerStream Inc. - Aurora</t>
  </si>
  <si>
    <t>PowerStream Inc. - Markham</t>
  </si>
  <si>
    <t>PowerStream Inc. - Richmond Hill</t>
  </si>
  <si>
    <t>PowerStream Inc. - Vaughan</t>
  </si>
  <si>
    <t>Ontario Specified Tax Credit</t>
  </si>
  <si>
    <t>Funds from Dev</t>
  </si>
  <si>
    <t>Bond Issue Cost Amortized</t>
  </si>
  <si>
    <t>Deduction Pursuant to 20(1)e</t>
  </si>
  <si>
    <t>Rebate Cheques and postage costs capitalized</t>
  </si>
  <si>
    <t>Taxable Dividends</t>
  </si>
  <si>
    <t>Consolidation 2004</t>
  </si>
  <si>
    <t>Markham</t>
  </si>
  <si>
    <t>Richmond Hill</t>
  </si>
  <si>
    <t>Vaughan</t>
  </si>
  <si>
    <t>PowerStream</t>
  </si>
  <si>
    <t xml:space="preserve">   Amount allowed in 2005</t>
  </si>
  <si>
    <t>Other</t>
  </si>
  <si>
    <t>Total PILs for Rate Adjustment</t>
  </si>
  <si>
    <t>Allocation of 2004  Annual PIL's Proxy</t>
  </si>
  <si>
    <t>Original Annual 2004</t>
  </si>
  <si>
    <t>Days</t>
  </si>
  <si>
    <t>Income Tax</t>
  </si>
  <si>
    <t>Total PIL's Proxy</t>
  </si>
  <si>
    <t>To May 31, 2004</t>
  </si>
  <si>
    <t>To Dec 31, 2004</t>
  </si>
  <si>
    <t>Amortization Addback Understated</t>
  </si>
  <si>
    <t>Addback of Intangibles Understated</t>
  </si>
  <si>
    <t>Reserves From Financial Statements (REG Assets)</t>
  </si>
  <si>
    <t>Organization Cost Expensed</t>
  </si>
  <si>
    <t>Ontario Capital Tax (pro-rated)</t>
  </si>
  <si>
    <t>Net LCT (pro-rated)</t>
  </si>
  <si>
    <t>Income Tax (proxy tax is grossed-up) (pro-rated)</t>
  </si>
  <si>
    <t>REVISED REGULATORY INCOME TAX (pro-rated)</t>
  </si>
  <si>
    <t>Less: Regulatory Income Tax reported in the Initial Estimate Column (Cell C58)  (pro-rated)</t>
  </si>
  <si>
    <t>Revised Ontario Capital Tax (pro-rated)</t>
  </si>
  <si>
    <t>Gross Amount (pro-rated)</t>
  </si>
  <si>
    <t>Less: Federal surtax (pro-rated)</t>
  </si>
  <si>
    <t>Total deemed interest  (REGINFO CELL D61) (pro-rated)</t>
  </si>
  <si>
    <t>Income Tax Effect on True-up adjustments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</si>
</sst>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.00;\-&quot;$&quot;#,##0.00"/>
    <numFmt numFmtId="166" formatCode="_-* #,##0.00_-;\-* #,##0.00_-;_-* &quot;-&quot;??_-;_-@_-"/>
    <numFmt numFmtId="167" formatCode="0.0000%"/>
    <numFmt numFmtId="168" formatCode="&quot;$&quot;#,##0.00"/>
    <numFmt numFmtId="169" formatCode="0.000%"/>
    <numFmt numFmtId="170" formatCode="[$-409]d\-mmm\-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</borders>
  <cellStyleXfs count="69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 vertical="top"/>
      <protection locked="0"/>
    </xf>
    <xf numFmtId="0" fontId="1" fillId="0" borderId="0">
      <alignment/>
      <protection/>
    </xf>
    <xf numFmtId="0" fontId="0" fillId="23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484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67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67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37" fontId="0" fillId="24" borderId="12" xfId="0" applyNumberFormat="1" applyFill="1" applyBorder="1" applyAlignment="1" applyProtection="1">
      <alignment vertical="top"/>
      <protection/>
    </xf>
    <xf numFmtId="10" fontId="0" fillId="23" borderId="12" xfId="0" applyNumberFormat="1" applyFill="1" applyBorder="1" applyAlignment="1" applyProtection="1" quotePrefix="1">
      <alignment vertical="top"/>
      <protection/>
    </xf>
    <xf numFmtId="37" fontId="0" fillId="23" borderId="12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3" fontId="0" fillId="23" borderId="19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167" fontId="0" fillId="24" borderId="12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horizontal="right" vertical="top"/>
      <protection/>
    </xf>
    <xf numFmtId="3" fontId="0" fillId="24" borderId="1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>
      <alignment vertical="top"/>
      <protection/>
    </xf>
    <xf numFmtId="0" fontId="0" fillId="24" borderId="11" xfId="0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center"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3" fontId="0" fillId="24" borderId="11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horizontal="right" vertical="top"/>
      <protection/>
    </xf>
    <xf numFmtId="3" fontId="0" fillId="24" borderId="21" xfId="0" applyNumberFormat="1" applyFill="1" applyBorder="1" applyAlignment="1" applyProtection="1">
      <alignment horizontal="right" vertical="top"/>
      <protection/>
    </xf>
    <xf numFmtId="3" fontId="0" fillId="24" borderId="11" xfId="0" applyNumberFormat="1" applyFill="1" applyBorder="1" applyAlignment="1" applyProtection="1">
      <alignment horizontal="right" vertical="top"/>
      <protection/>
    </xf>
    <xf numFmtId="3" fontId="0" fillId="24" borderId="2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 quotePrefix="1">
      <alignment vertical="top" wrapText="1"/>
      <protection/>
    </xf>
    <xf numFmtId="0" fontId="5" fillId="24" borderId="12" xfId="0" applyFon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 quotePrefix="1">
      <alignment vertical="top"/>
      <protection/>
    </xf>
    <xf numFmtId="37" fontId="0" fillId="24" borderId="11" xfId="0" applyNumberFormat="1" applyFill="1" applyBorder="1" applyAlignment="1" applyProtection="1">
      <alignment vertical="top"/>
      <protection/>
    </xf>
    <xf numFmtId="37" fontId="0" fillId="24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23" borderId="12" xfId="0" applyNumberFormat="1" applyFill="1" applyBorder="1" applyAlignment="1" applyProtection="1" quotePrefix="1">
      <alignment vertical="top"/>
      <protection/>
    </xf>
    <xf numFmtId="167" fontId="0" fillId="23" borderId="12" xfId="0" applyNumberFormat="1" applyFill="1" applyBorder="1" applyAlignment="1" applyProtection="1">
      <alignment vertical="top"/>
      <protection/>
    </xf>
    <xf numFmtId="37" fontId="0" fillId="23" borderId="12" xfId="0" applyNumberFormat="1" applyFill="1" applyBorder="1" applyAlignment="1" applyProtection="1">
      <alignment/>
      <protection/>
    </xf>
    <xf numFmtId="3" fontId="0" fillId="23" borderId="12" xfId="0" applyNumberFormat="1" applyFill="1" applyBorder="1" applyAlignment="1" applyProtection="1" quotePrefix="1">
      <alignment/>
      <protection/>
    </xf>
    <xf numFmtId="37" fontId="0" fillId="23" borderId="11" xfId="0" applyNumberFormat="1" applyFill="1" applyBorder="1" applyAlignment="1" applyProtection="1">
      <alignment/>
      <protection/>
    </xf>
    <xf numFmtId="167" fontId="0" fillId="23" borderId="12" xfId="0" applyNumberFormat="1" applyFill="1" applyBorder="1" applyAlignment="1" applyProtection="1">
      <alignment/>
      <protection/>
    </xf>
    <xf numFmtId="3" fontId="0" fillId="23" borderId="11" xfId="0" applyNumberFormat="1" applyFill="1" applyBorder="1" applyAlignment="1" applyProtection="1" quotePrefix="1">
      <alignment/>
      <protection/>
    </xf>
    <xf numFmtId="3" fontId="0" fillId="23" borderId="12" xfId="0" applyNumberFormat="1" applyFill="1" applyBorder="1" applyAlignment="1" applyProtection="1">
      <alignment/>
      <protection/>
    </xf>
    <xf numFmtId="3" fontId="0" fillId="23" borderId="23" xfId="0" applyNumberFormat="1" applyFill="1" applyBorder="1" applyAlignment="1" applyProtection="1">
      <alignment/>
      <protection/>
    </xf>
    <xf numFmtId="3" fontId="0" fillId="24" borderId="12" xfId="0" applyNumberForma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horizontal="right" vertical="top"/>
      <protection/>
    </xf>
    <xf numFmtId="3" fontId="0" fillId="24" borderId="12" xfId="57" applyNumberFormat="1" applyFont="1" applyFill="1" applyBorder="1" applyAlignment="1" applyProtection="1" quotePrefix="1">
      <alignment vertical="top"/>
      <protection/>
    </xf>
    <xf numFmtId="3" fontId="0" fillId="24" borderId="24" xfId="57" applyNumberFormat="1" applyFont="1" applyFill="1" applyBorder="1" applyAlignment="1" applyProtection="1" quotePrefix="1">
      <alignment vertical="top"/>
      <protection/>
    </xf>
    <xf numFmtId="3" fontId="0" fillId="24" borderId="12" xfId="57" applyNumberFormat="1" applyFont="1" applyFill="1" applyBorder="1" applyAlignment="1" applyProtection="1">
      <alignment vertical="top"/>
      <protection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25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69" fontId="0" fillId="25" borderId="21" xfId="0" applyNumberFormat="1" applyFill="1" applyBorder="1" applyAlignment="1" applyProtection="1">
      <alignment horizontal="center" vertical="top"/>
      <protection locked="0"/>
    </xf>
    <xf numFmtId="169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12" xfId="0" applyNumberFormat="1" applyFill="1" applyBorder="1" applyAlignment="1" applyProtection="1">
      <alignment horizontal="center" vertical="top"/>
      <protection locked="0"/>
    </xf>
    <xf numFmtId="3" fontId="0" fillId="25" borderId="12" xfId="0" applyNumberFormat="1" applyFill="1" applyBorder="1" applyAlignment="1" applyProtection="1">
      <alignment horizontal="center" vertical="center"/>
      <protection locked="0"/>
    </xf>
    <xf numFmtId="3" fontId="0" fillId="25" borderId="2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4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23" borderId="11" xfId="0" applyNumberFormat="1" applyFill="1" applyBorder="1" applyAlignment="1" applyProtection="1">
      <alignment vertical="top"/>
      <protection/>
    </xf>
    <xf numFmtId="3" fontId="0" fillId="24" borderId="0" xfId="0" applyNumberFormat="1" applyFill="1" applyAlignment="1" applyProtection="1">
      <alignment/>
      <protection/>
    </xf>
    <xf numFmtId="3" fontId="0" fillId="24" borderId="28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4" borderId="0" xfId="0" applyFont="1" applyFill="1" applyBorder="1" applyAlignment="1" applyProtection="1">
      <alignment vertical="top"/>
      <protection locked="0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6" borderId="0" xfId="0" applyFill="1" applyAlignment="1" applyProtection="1">
      <alignment vertical="top"/>
      <protection locked="0"/>
    </xf>
    <xf numFmtId="3" fontId="0" fillId="24" borderId="29" xfId="0" applyNumberFormat="1" applyFill="1" applyBorder="1" applyAlignment="1" applyProtection="1">
      <alignment/>
      <protection/>
    </xf>
    <xf numFmtId="3" fontId="0" fillId="27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28" borderId="12" xfId="0" applyNumberFormat="1" applyFill="1" applyBorder="1" applyAlignment="1" applyProtection="1" quotePrefix="1">
      <alignment horizontal="right" vertical="top"/>
      <protection/>
    </xf>
    <xf numFmtId="3" fontId="0" fillId="29" borderId="12" xfId="0" applyNumberFormat="1" applyFill="1" applyBorder="1" applyAlignment="1" applyProtection="1" quotePrefix="1">
      <alignment/>
      <protection/>
    </xf>
    <xf numFmtId="3" fontId="0" fillId="28" borderId="12" xfId="0" applyNumberFormat="1" applyFill="1" applyBorder="1" applyAlignment="1" applyProtection="1">
      <alignment vertical="top"/>
      <protection/>
    </xf>
    <xf numFmtId="10" fontId="0" fillId="29" borderId="12" xfId="0" applyNumberFormat="1" applyFill="1" applyBorder="1" applyAlignment="1" applyProtection="1" quotePrefix="1">
      <alignment vertical="top"/>
      <protection/>
    </xf>
    <xf numFmtId="37" fontId="0" fillId="29" borderId="12" xfId="0" applyNumberFormat="1" applyFill="1" applyBorder="1" applyAlignment="1" applyProtection="1">
      <alignment/>
      <protection/>
    </xf>
    <xf numFmtId="3" fontId="9" fillId="24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" fontId="4" fillId="4" borderId="30" xfId="42" applyNumberFormat="1" applyFont="1" applyFill="1" applyBorder="1" applyAlignment="1" applyProtection="1">
      <alignment horizontal="center" vertical="top"/>
      <protection locked="0"/>
    </xf>
    <xf numFmtId="0" fontId="4" fillId="4" borderId="31" xfId="0" applyFont="1" applyFill="1" applyBorder="1" applyAlignment="1" applyProtection="1">
      <alignment horizontal="center" vertical="top"/>
      <protection locked="0"/>
    </xf>
    <xf numFmtId="3" fontId="4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1" xfId="42" applyNumberFormat="1" applyFont="1" applyFill="1" applyBorder="1" applyAlignment="1" applyProtection="1">
      <alignment horizontal="center" vertical="top"/>
      <protection locked="0"/>
    </xf>
    <xf numFmtId="0" fontId="0" fillId="0" borderId="0" xfId="61" applyProtection="1">
      <alignment vertical="top"/>
      <protection/>
    </xf>
    <xf numFmtId="0" fontId="0" fillId="0" borderId="0" xfId="61" applyAlignment="1" applyProtection="1">
      <alignment/>
      <protection/>
    </xf>
    <xf numFmtId="0" fontId="0" fillId="0" borderId="0" xfId="61" applyProtection="1">
      <alignment vertical="top"/>
      <protection locked="0"/>
    </xf>
    <xf numFmtId="0" fontId="29" fillId="27" borderId="0" xfId="61" applyFont="1" applyFill="1" applyAlignment="1" applyProtection="1">
      <alignment horizontal="left"/>
      <protection/>
    </xf>
    <xf numFmtId="0" fontId="3" fillId="0" borderId="0" xfId="61" applyFont="1" applyProtection="1">
      <alignment vertical="top"/>
      <protection/>
    </xf>
    <xf numFmtId="0" fontId="3" fillId="29" borderId="0" xfId="61" applyFont="1" applyFill="1" applyAlignment="1" applyProtection="1">
      <alignment horizontal="center" vertical="top"/>
      <protection/>
    </xf>
    <xf numFmtId="0" fontId="3" fillId="30" borderId="0" xfId="61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24" borderId="0" xfId="0" applyFill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4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31" borderId="11" xfId="0" applyFont="1" applyFill="1" applyBorder="1" applyAlignment="1" applyProtection="1">
      <alignment vertical="top"/>
      <protection/>
    </xf>
    <xf numFmtId="0" fontId="4" fillId="24" borderId="30" xfId="0" applyFont="1" applyFill="1" applyBorder="1" applyAlignment="1" applyProtection="1">
      <alignment horizontal="center" vertical="top"/>
      <protection/>
    </xf>
    <xf numFmtId="0" fontId="4" fillId="22" borderId="8" xfId="0" applyFont="1" applyFill="1" applyBorder="1" applyAlignment="1" applyProtection="1">
      <alignment vertical="top"/>
      <protection/>
    </xf>
    <xf numFmtId="0" fontId="4" fillId="24" borderId="31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31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24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23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 applyProtection="1">
      <alignment horizontal="center" vertical="top"/>
      <protection locked="0"/>
    </xf>
    <xf numFmtId="0" fontId="0" fillId="25" borderId="33" xfId="0" applyFill="1" applyBorder="1" applyAlignment="1" applyProtection="1">
      <alignment horizontal="center" vertical="top"/>
      <protection locked="0"/>
    </xf>
    <xf numFmtId="167" fontId="9" fillId="25" borderId="0" xfId="0" applyNumberFormat="1" applyFont="1" applyFill="1" applyAlignment="1" applyProtection="1">
      <alignment horizontal="center" vertical="top"/>
      <protection locked="0"/>
    </xf>
    <xf numFmtId="170" fontId="0" fillId="25" borderId="0" xfId="0" applyNumberFormat="1" applyFill="1" applyAlignment="1" applyProtection="1">
      <alignment horizontal="center"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10" fontId="0" fillId="25" borderId="0" xfId="0" applyNumberFormat="1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4" fillId="0" borderId="34" xfId="0" applyFont="1" applyBorder="1" applyAlignment="1" applyProtection="1">
      <alignment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35" xfId="0" applyFont="1" applyFill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5" xfId="0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23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2" xfId="0" applyBorder="1" applyAlignment="1" applyProtection="1">
      <alignment horizontal="center" vertical="top"/>
      <protection/>
    </xf>
    <xf numFmtId="0" fontId="0" fillId="0" borderId="43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9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4" xfId="0" applyBorder="1" applyAlignment="1" applyProtection="1">
      <alignment horizontal="center" vertical="top"/>
      <protection/>
    </xf>
    <xf numFmtId="168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4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5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31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6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7" xfId="0" applyBorder="1" applyAlignment="1" applyProtection="1">
      <alignment horizontal="center" vertical="top"/>
      <protection/>
    </xf>
    <xf numFmtId="37" fontId="19" fillId="24" borderId="12" xfId="0" applyNumberFormat="1" applyFont="1" applyFill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vertical="top"/>
      <protection/>
    </xf>
    <xf numFmtId="0" fontId="0" fillId="0" borderId="48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3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50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right" vertical="top"/>
      <protection/>
    </xf>
    <xf numFmtId="0" fontId="0" fillId="24" borderId="33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24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5" applyNumberFormat="1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4" fontId="0" fillId="0" borderId="0" xfId="42" applyFont="1" applyFill="1" applyBorder="1" applyAlignment="1" applyProtection="1">
      <alignment vertical="top"/>
      <protection/>
    </xf>
    <xf numFmtId="0" fontId="6" fillId="24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9" fillId="4" borderId="12" xfId="0" applyNumberFormat="1" applyFont="1" applyFill="1" applyBorder="1" applyAlignment="1" applyProtection="1">
      <alignment horizontal="right" vertical="top"/>
      <protection locked="0"/>
    </xf>
    <xf numFmtId="3" fontId="0" fillId="2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7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2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vertical="top"/>
      <protection/>
    </xf>
    <xf numFmtId="0" fontId="4" fillId="27" borderId="0" xfId="0" applyFont="1" applyFill="1" applyAlignment="1" applyProtection="1">
      <alignment vertical="top"/>
      <protection/>
    </xf>
    <xf numFmtId="0" fontId="23" fillId="27" borderId="0" xfId="0" applyFont="1" applyFill="1" applyBorder="1" applyAlignment="1" applyProtection="1">
      <alignment horizontal="center" vertical="top"/>
      <protection/>
    </xf>
    <xf numFmtId="0" fontId="0" fillId="27" borderId="33" xfId="0" applyFill="1" applyBorder="1" applyAlignment="1" applyProtection="1">
      <alignment horizontal="center"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horizontal="center" vertical="top"/>
      <protection/>
    </xf>
    <xf numFmtId="3" fontId="4" fillId="23" borderId="30" xfId="42" applyNumberFormat="1" applyFont="1" applyFill="1" applyBorder="1" applyAlignment="1" applyProtection="1">
      <alignment horizontal="center" vertical="top"/>
      <protection/>
    </xf>
    <xf numFmtId="4" fontId="10" fillId="23" borderId="26" xfId="0" applyNumberFormat="1" applyFont="1" applyFill="1" applyBorder="1" applyAlignment="1" applyProtection="1">
      <alignment horizontal="center" vertical="center" wrapText="1"/>
      <protection/>
    </xf>
    <xf numFmtId="3" fontId="0" fillId="27" borderId="0" xfId="42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0" fontId="4" fillId="23" borderId="31" xfId="0" applyFont="1" applyFill="1" applyBorder="1" applyAlignment="1" applyProtection="1">
      <alignment horizontal="center" vertical="top"/>
      <protection/>
    </xf>
    <xf numFmtId="3" fontId="4" fillId="23" borderId="27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Border="1" applyAlignment="1" applyProtection="1">
      <alignment horizontal="center" vertical="top"/>
      <protection/>
    </xf>
    <xf numFmtId="3" fontId="4" fillId="23" borderId="31" xfId="42" applyNumberFormat="1" applyFont="1" applyFill="1" applyBorder="1" applyAlignment="1" applyProtection="1">
      <alignment horizontal="center" vertical="top"/>
      <protection/>
    </xf>
    <xf numFmtId="0" fontId="10" fillId="23" borderId="27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vertical="top"/>
      <protection/>
    </xf>
    <xf numFmtId="0" fontId="0" fillId="0" borderId="52" xfId="0" applyBorder="1" applyAlignment="1" applyProtection="1">
      <alignment horizontal="center"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27" borderId="0" xfId="0" applyFont="1" applyFill="1" applyBorder="1" applyAlignment="1" applyProtection="1">
      <alignment vertical="top"/>
      <protection/>
    </xf>
    <xf numFmtId="0" fontId="8" fillId="0" borderId="51" xfId="0" applyFont="1" applyFill="1" applyBorder="1" applyAlignment="1" applyProtection="1">
      <alignment vertical="top"/>
      <protection/>
    </xf>
    <xf numFmtId="0" fontId="22" fillId="24" borderId="55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27" borderId="0" xfId="0" applyNumberFormat="1" applyFont="1" applyFill="1" applyBorder="1" applyAlignment="1" applyProtection="1">
      <alignment vertical="top"/>
      <protection/>
    </xf>
    <xf numFmtId="0" fontId="5" fillId="0" borderId="56" xfId="0" applyFont="1" applyBorder="1" applyAlignment="1" applyProtection="1">
      <alignment horizontal="center" vertical="top"/>
      <protection/>
    </xf>
    <xf numFmtId="10" fontId="0" fillId="24" borderId="21" xfId="0" applyNumberFormat="1" applyFill="1" applyBorder="1" applyAlignment="1" applyProtection="1">
      <alignment horizontal="center" vertical="top"/>
      <protection/>
    </xf>
    <xf numFmtId="10" fontId="0" fillId="24" borderId="25" xfId="0" applyNumberFormat="1" applyFill="1" applyBorder="1" applyAlignment="1" applyProtection="1">
      <alignment horizontal="center" vertical="top"/>
      <protection/>
    </xf>
    <xf numFmtId="10" fontId="0" fillId="24" borderId="8" xfId="0" applyNumberFormat="1" applyFill="1" applyBorder="1" applyAlignment="1" applyProtection="1">
      <alignment horizontal="center" vertical="top"/>
      <protection/>
    </xf>
    <xf numFmtId="10" fontId="0" fillId="24" borderId="39" xfId="0" applyNumberFormat="1" applyFill="1" applyBorder="1" applyAlignment="1" applyProtection="1">
      <alignment horizontal="center" vertical="top"/>
      <protection/>
    </xf>
    <xf numFmtId="10" fontId="0" fillId="24" borderId="53" xfId="0" applyNumberFormat="1" applyFill="1" applyBorder="1" applyAlignment="1" applyProtection="1">
      <alignment horizontal="center" vertical="top"/>
      <protection/>
    </xf>
    <xf numFmtId="10" fontId="0" fillId="24" borderId="54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69" fontId="0" fillId="24" borderId="21" xfId="0" applyNumberFormat="1" applyFill="1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169" fontId="0" fillId="24" borderId="12" xfId="0" applyNumberFormat="1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horizontal="center" vertical="top"/>
      <protection/>
    </xf>
    <xf numFmtId="10" fontId="0" fillId="24" borderId="22" xfId="0" applyNumberFormat="1" applyFill="1" applyBorder="1" applyAlignment="1" applyProtection="1">
      <alignment horizontal="center" vertical="top"/>
      <protection/>
    </xf>
    <xf numFmtId="0" fontId="0" fillId="24" borderId="12" xfId="0" applyFill="1" applyBorder="1" applyAlignment="1" applyProtection="1">
      <alignment horizontal="center" vertical="top"/>
      <protection/>
    </xf>
    <xf numFmtId="0" fontId="0" fillId="24" borderId="22" xfId="0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 applyProtection="1">
      <alignment vertical="top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0" fillId="24" borderId="23" xfId="0" applyFill="1" applyBorder="1" applyAlignment="1" applyProtection="1">
      <alignment horizontal="center" vertical="top"/>
      <protection/>
    </xf>
    <xf numFmtId="0" fontId="0" fillId="24" borderId="57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19" fillId="27" borderId="0" xfId="0" applyFont="1" applyFill="1" applyBorder="1" applyAlignment="1" applyProtection="1">
      <alignment vertical="top" wrapText="1"/>
      <protection/>
    </xf>
    <xf numFmtId="0" fontId="9" fillId="26" borderId="0" xfId="0" applyFont="1" applyFill="1" applyBorder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 wrapText="1"/>
      <protection/>
    </xf>
    <xf numFmtId="0" fontId="0" fillId="26" borderId="0" xfId="0" applyFill="1" applyBorder="1" applyAlignment="1" applyProtection="1">
      <alignment horizontal="center" vertical="top"/>
      <protection/>
    </xf>
    <xf numFmtId="3" fontId="0" fillId="27" borderId="0" xfId="0" applyNumberFormat="1" applyFill="1" applyBorder="1" applyAlignment="1" applyProtection="1">
      <alignment horizontal="center" vertical="center"/>
      <protection/>
    </xf>
    <xf numFmtId="3" fontId="0" fillId="26" borderId="0" xfId="0" applyNumberForma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top"/>
      <protection/>
    </xf>
    <xf numFmtId="3" fontId="4" fillId="27" borderId="0" xfId="0" applyNumberFormat="1" applyFont="1" applyFill="1" applyBorder="1" applyAlignment="1" applyProtection="1">
      <alignment horizontal="center" vertical="center" wrapText="1"/>
      <protection/>
    </xf>
    <xf numFmtId="3" fontId="4" fillId="27" borderId="0" xfId="42" applyNumberFormat="1" applyFont="1" applyFill="1" applyBorder="1" applyAlignment="1" applyProtection="1">
      <alignment horizontal="center" vertical="top"/>
      <protection/>
    </xf>
    <xf numFmtId="0" fontId="10" fillId="27" borderId="0" xfId="0" applyFont="1" applyFill="1" applyBorder="1" applyAlignment="1" applyProtection="1">
      <alignment horizontal="center" vertical="center" wrapText="1"/>
      <protection/>
    </xf>
    <xf numFmtId="0" fontId="8" fillId="27" borderId="0" xfId="0" applyFont="1" applyFill="1" applyBorder="1" applyAlignment="1" applyProtection="1">
      <alignment vertical="top" wrapText="1"/>
      <protection/>
    </xf>
    <xf numFmtId="0" fontId="8" fillId="27" borderId="0" xfId="0" applyFont="1" applyFill="1" applyBorder="1" applyAlignment="1" applyProtection="1">
      <alignment horizontal="center" vertical="top"/>
      <protection/>
    </xf>
    <xf numFmtId="10" fontId="0" fillId="27" borderId="0" xfId="0" applyNumberFormat="1" applyFill="1" applyBorder="1" applyAlignment="1" applyProtection="1">
      <alignment horizontal="center" vertical="top"/>
      <protection/>
    </xf>
    <xf numFmtId="0" fontId="0" fillId="26" borderId="0" xfId="0" applyFill="1" applyBorder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24" borderId="0" xfId="0" applyFont="1" applyFill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26" borderId="0" xfId="0" applyFont="1" applyFill="1" applyAlignment="1" applyProtection="1">
      <alignment vertical="top"/>
      <protection/>
    </xf>
    <xf numFmtId="37" fontId="0" fillId="26" borderId="0" xfId="0" applyNumberFormat="1" applyFill="1" applyBorder="1" applyAlignment="1" applyProtection="1">
      <alignment vertical="top"/>
      <protection/>
    </xf>
    <xf numFmtId="37" fontId="0" fillId="26" borderId="0" xfId="0" applyNumberFormat="1" applyFill="1" applyAlignment="1" applyProtection="1">
      <alignment vertical="top"/>
      <protection/>
    </xf>
    <xf numFmtId="0" fontId="4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horizontal="center" vertical="top"/>
      <protection/>
    </xf>
    <xf numFmtId="37" fontId="0" fillId="27" borderId="0" xfId="0" applyNumberFormat="1" applyFill="1" applyBorder="1" applyAlignment="1" applyProtection="1">
      <alignment vertical="top"/>
      <protection/>
    </xf>
    <xf numFmtId="0" fontId="0" fillId="27" borderId="0" xfId="0" applyFill="1" applyBorder="1" applyAlignment="1" applyProtection="1">
      <alignment vertical="top"/>
      <protection/>
    </xf>
    <xf numFmtId="3" fontId="0" fillId="26" borderId="0" xfId="0" applyNumberFormat="1" applyFill="1" applyAlignment="1" applyProtection="1">
      <alignment vertical="top"/>
      <protection/>
    </xf>
    <xf numFmtId="0" fontId="0" fillId="26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27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/>
      <protection/>
    </xf>
    <xf numFmtId="0" fontId="4" fillId="4" borderId="0" xfId="0" applyFont="1" applyFill="1" applyAlignment="1" applyProtection="1">
      <alignment vertical="top" wrapText="1"/>
      <protection locked="0"/>
    </xf>
    <xf numFmtId="3" fontId="0" fillId="25" borderId="0" xfId="0" applyNumberFormat="1" applyFill="1" applyAlignment="1" applyProtection="1">
      <alignment/>
      <protection locked="0"/>
    </xf>
    <xf numFmtId="0" fontId="0" fillId="25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9" fillId="4" borderId="0" xfId="0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4" borderId="11" xfId="0" applyFill="1" applyBorder="1" applyAlignment="1" applyProtection="1">
      <alignment vertical="top"/>
      <protection locked="0"/>
    </xf>
    <xf numFmtId="0" fontId="0" fillId="4" borderId="12" xfId="0" applyFont="1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3" fontId="0" fillId="24" borderId="33" xfId="42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 applyProtection="1">
      <alignment vertical="top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10" fontId="0" fillId="25" borderId="39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65" fontId="30" fillId="0" borderId="0" xfId="0" applyNumberFormat="1" applyFont="1" applyAlignment="1" applyProtection="1">
      <alignment horizontal="center" vertical="top"/>
      <protection/>
    </xf>
    <xf numFmtId="0" fontId="31" fillId="0" borderId="0" xfId="62" applyFont="1" applyAlignment="1">
      <alignment horizontal="left"/>
      <protection/>
    </xf>
    <xf numFmtId="0" fontId="1" fillId="0" borderId="0" xfId="62">
      <alignment/>
      <protection/>
    </xf>
    <xf numFmtId="0" fontId="1" fillId="0" borderId="0" xfId="62" applyAlignment="1">
      <alignment horizontal="center"/>
      <protection/>
    </xf>
    <xf numFmtId="0" fontId="1" fillId="0" borderId="0" xfId="62" applyAlignment="1" applyProtection="1">
      <alignment vertical="top"/>
      <protection/>
    </xf>
    <xf numFmtId="3" fontId="1" fillId="4" borderId="0" xfId="62" applyNumberFormat="1" applyFill="1" applyBorder="1" applyAlignment="1" applyProtection="1">
      <alignment vertical="top"/>
      <protection locked="0"/>
    </xf>
    <xf numFmtId="3" fontId="1" fillId="8" borderId="0" xfId="62" applyNumberFormat="1" applyFill="1">
      <alignment/>
      <protection/>
    </xf>
    <xf numFmtId="3" fontId="1" fillId="0" borderId="0" xfId="62" applyNumberFormat="1">
      <alignment/>
      <protection/>
    </xf>
    <xf numFmtId="3" fontId="1" fillId="11" borderId="0" xfId="62" applyNumberFormat="1" applyFill="1">
      <alignment/>
      <protection/>
    </xf>
    <xf numFmtId="3" fontId="1" fillId="25" borderId="0" xfId="62" applyNumberFormat="1" applyFill="1" applyAlignment="1" applyProtection="1">
      <alignment vertical="top"/>
      <protection locked="0"/>
    </xf>
    <xf numFmtId="3" fontId="1" fillId="28" borderId="0" xfId="62" applyNumberFormat="1" applyFill="1" applyAlignment="1" applyProtection="1">
      <alignment vertical="top"/>
      <protection locked="0"/>
    </xf>
    <xf numFmtId="10" fontId="1" fillId="29" borderId="0" xfId="62" applyNumberFormat="1" applyFill="1">
      <alignment/>
      <protection/>
    </xf>
    <xf numFmtId="10" fontId="1" fillId="11" borderId="0" xfId="62" applyNumberFormat="1" applyFill="1">
      <alignment/>
      <protection/>
    </xf>
    <xf numFmtId="0" fontId="32" fillId="0" borderId="0" xfId="62" applyFont="1">
      <alignment/>
      <protection/>
    </xf>
    <xf numFmtId="0" fontId="33" fillId="29" borderId="0" xfId="62" applyFont="1" applyFill="1">
      <alignment/>
      <protection/>
    </xf>
    <xf numFmtId="0" fontId="1" fillId="0" borderId="0" xfId="62" applyAlignment="1">
      <alignment horizontal="right"/>
      <protection/>
    </xf>
    <xf numFmtId="0" fontId="33" fillId="0" borderId="0" xfId="62" applyFont="1">
      <alignment/>
      <protection/>
    </xf>
    <xf numFmtId="3" fontId="1" fillId="0" borderId="60" xfId="62" applyNumberFormat="1" applyFont="1" applyBorder="1">
      <alignment/>
      <protection/>
    </xf>
    <xf numFmtId="3" fontId="1" fillId="0" borderId="60" xfId="62" applyNumberFormat="1" applyBorder="1">
      <alignment/>
      <protection/>
    </xf>
    <xf numFmtId="0" fontId="34" fillId="29" borderId="0" xfId="62" applyFont="1" applyFill="1" applyAlignment="1">
      <alignment horizontal="right"/>
      <protection/>
    </xf>
    <xf numFmtId="3" fontId="1" fillId="2" borderId="0" xfId="62" applyNumberFormat="1" applyFill="1">
      <alignment/>
      <protection/>
    </xf>
    <xf numFmtId="0" fontId="1" fillId="2" borderId="0" xfId="62" applyFill="1">
      <alignment/>
      <protection/>
    </xf>
    <xf numFmtId="3" fontId="33" fillId="2" borderId="60" xfId="62" applyNumberFormat="1" applyFont="1" applyFill="1" applyBorder="1">
      <alignment/>
      <protection/>
    </xf>
    <xf numFmtId="0" fontId="33" fillId="29" borderId="0" xfId="62" applyFont="1" applyFill="1" applyAlignment="1">
      <alignment horizontal="right"/>
      <protection/>
    </xf>
    <xf numFmtId="166" fontId="0" fillId="0" borderId="0" xfId="44" applyFont="1" applyAlignment="1">
      <alignment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27" borderId="37" xfId="0" applyFont="1" applyFill="1" applyBorder="1" applyAlignment="1" applyProtection="1">
      <alignment vertical="top" wrapText="1"/>
      <protection/>
    </xf>
    <xf numFmtId="0" fontId="27" fillId="0" borderId="37" xfId="0" applyFont="1" applyBorder="1" applyAlignment="1" applyProtection="1">
      <alignment vertical="top" wrapText="1"/>
      <protection/>
    </xf>
    <xf numFmtId="0" fontId="25" fillId="0" borderId="37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7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23" borderId="33" xfId="0" applyFont="1" applyFill="1" applyBorder="1" applyAlignment="1" applyProtection="1">
      <alignment vertical="top"/>
      <protection/>
    </xf>
    <xf numFmtId="0" fontId="9" fillId="0" borderId="33" xfId="0" applyFont="1" applyBorder="1" applyAlignment="1" applyProtection="1">
      <alignment vertical="top"/>
      <protection/>
    </xf>
    <xf numFmtId="0" fontId="4" fillId="23" borderId="33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26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3" fontId="0" fillId="4" borderId="12" xfId="0" applyNumberFormat="1" applyFill="1" applyBorder="1" applyAlignment="1" applyProtection="1">
      <alignment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tilities\Powerstream\Elenchus\Application\ED%20Application%20Filer\Models\Consolidation\2004\PS%201%202004%201562%20Disposition%20PILs%20Mode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  <sheetName val="PS 1 2004 1562 Disposition PILs"/>
    </sheetNames>
    <sheetDataSet>
      <sheetData sheetId="1">
        <row r="31">
          <cell r="D31">
            <v>417208004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89"/>
  <sheetViews>
    <sheetView showGridLines="0" zoomScalePageLayoutView="0" workbookViewId="0" topLeftCell="A1">
      <selection activeCell="E17" sqref="E17"/>
    </sheetView>
  </sheetViews>
  <sheetFormatPr defaultColWidth="0" defaultRowHeight="12.75" zeroHeight="1"/>
  <cols>
    <col min="1" max="1" width="15.7109375" style="150" customWidth="1"/>
    <col min="2" max="2" width="9.140625" style="150" hidden="1" customWidth="1"/>
    <col min="3" max="3" width="30.7109375" style="150" customWidth="1"/>
    <col min="4" max="4" width="40.7109375" style="150" customWidth="1"/>
    <col min="5" max="5" width="30.7109375" style="150" customWidth="1"/>
    <col min="6" max="26" width="9.140625" style="150" hidden="1" customWidth="1"/>
    <col min="27" max="27" width="55.00390625" style="150" hidden="1" customWidth="1"/>
    <col min="28" max="28" width="17.00390625" style="150" hidden="1" customWidth="1"/>
    <col min="29" max="29" width="9.140625" style="150" hidden="1" customWidth="1"/>
    <col min="30" max="16384" width="0" style="150" hidden="1" customWidth="1"/>
  </cols>
  <sheetData>
    <row r="1" spans="1:29" ht="12.7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9" t="s">
        <v>486</v>
      </c>
      <c r="AB1" s="149" t="s">
        <v>487</v>
      </c>
      <c r="AC1" s="149" t="s">
        <v>488</v>
      </c>
    </row>
    <row r="2" spans="27:29" s="148" customFormat="1" ht="12.75">
      <c r="AA2" s="149" t="s">
        <v>489</v>
      </c>
      <c r="AB2" s="149" t="s">
        <v>490</v>
      </c>
      <c r="AC2" s="149" t="s">
        <v>491</v>
      </c>
    </row>
    <row r="3" spans="27:29" s="148" customFormat="1" ht="12.75">
      <c r="AA3" s="149" t="s">
        <v>492</v>
      </c>
      <c r="AB3" s="149" t="s">
        <v>493</v>
      </c>
      <c r="AC3" s="149" t="s">
        <v>494</v>
      </c>
    </row>
    <row r="4" spans="27:29" s="148" customFormat="1" ht="12.75">
      <c r="AA4" s="149" t="s">
        <v>495</v>
      </c>
      <c r="AB4" s="149" t="s">
        <v>493</v>
      </c>
      <c r="AC4" s="149" t="s">
        <v>494</v>
      </c>
    </row>
    <row r="5" spans="27:29" s="148" customFormat="1" ht="12.75">
      <c r="AA5" s="149" t="s">
        <v>496</v>
      </c>
      <c r="AB5" s="149" t="s">
        <v>497</v>
      </c>
      <c r="AC5" s="149" t="s">
        <v>491</v>
      </c>
    </row>
    <row r="6" spans="27:29" s="148" customFormat="1" ht="12.75">
      <c r="AA6" s="149" t="s">
        <v>498</v>
      </c>
      <c r="AB6" s="149" t="s">
        <v>499</v>
      </c>
      <c r="AC6" s="149" t="s">
        <v>491</v>
      </c>
    </row>
    <row r="7" spans="3:29" s="148" customFormat="1" ht="20.25">
      <c r="C7" s="151" t="s">
        <v>500</v>
      </c>
      <c r="AA7" s="149" t="s">
        <v>501</v>
      </c>
      <c r="AB7" s="149" t="s">
        <v>502</v>
      </c>
      <c r="AC7" s="149" t="s">
        <v>491</v>
      </c>
    </row>
    <row r="8" spans="27:29" s="148" customFormat="1" ht="12.75">
      <c r="AA8" s="149" t="s">
        <v>503</v>
      </c>
      <c r="AB8" s="149" t="s">
        <v>504</v>
      </c>
      <c r="AC8" s="149" t="s">
        <v>491</v>
      </c>
    </row>
    <row r="9" spans="27:29" s="148" customFormat="1" ht="12.75">
      <c r="AA9" s="149" t="s">
        <v>505</v>
      </c>
      <c r="AB9" s="149" t="s">
        <v>506</v>
      </c>
      <c r="AC9" s="149" t="s">
        <v>491</v>
      </c>
    </row>
    <row r="10" spans="27:29" s="148" customFormat="1" ht="12.75">
      <c r="AA10" s="149" t="s">
        <v>507</v>
      </c>
      <c r="AB10" s="149" t="s">
        <v>508</v>
      </c>
      <c r="AC10" s="149" t="s">
        <v>491</v>
      </c>
    </row>
    <row r="11" spans="27:29" s="148" customFormat="1" ht="12.75">
      <c r="AA11" s="149" t="s">
        <v>509</v>
      </c>
      <c r="AB11" s="149" t="s">
        <v>510</v>
      </c>
      <c r="AC11" s="149" t="s">
        <v>491</v>
      </c>
    </row>
    <row r="12" spans="27:29" s="148" customFormat="1" ht="12.75">
      <c r="AA12" s="149" t="s">
        <v>511</v>
      </c>
      <c r="AB12" s="149" t="s">
        <v>512</v>
      </c>
      <c r="AC12" s="149" t="s">
        <v>491</v>
      </c>
    </row>
    <row r="13" spans="3:29" s="148" customFormat="1" ht="15.75">
      <c r="C13" s="152" t="s">
        <v>486</v>
      </c>
      <c r="D13" s="153" t="s">
        <v>657</v>
      </c>
      <c r="AA13" s="149" t="s">
        <v>514</v>
      </c>
      <c r="AB13" s="149" t="s">
        <v>493</v>
      </c>
      <c r="AC13" s="149" t="s">
        <v>494</v>
      </c>
    </row>
    <row r="14" spans="27:29" s="148" customFormat="1" ht="12.75">
      <c r="AA14" s="149" t="s">
        <v>515</v>
      </c>
      <c r="AB14" s="149" t="s">
        <v>516</v>
      </c>
      <c r="AC14" s="149" t="s">
        <v>491</v>
      </c>
    </row>
    <row r="15" spans="3:29" s="148" customFormat="1" ht="15.75">
      <c r="C15" s="152" t="s">
        <v>517</v>
      </c>
      <c r="D15" s="154">
        <f>VLOOKUP(D13,AA:AC,2,0)</f>
        <v>0</v>
      </c>
      <c r="AA15" s="149" t="s">
        <v>518</v>
      </c>
      <c r="AB15" s="149" t="s">
        <v>519</v>
      </c>
      <c r="AC15" s="149" t="s">
        <v>491</v>
      </c>
    </row>
    <row r="16" spans="27:29" s="148" customFormat="1" ht="12.75">
      <c r="AA16" s="149" t="s">
        <v>520</v>
      </c>
      <c r="AB16" s="149" t="s">
        <v>516</v>
      </c>
      <c r="AC16" s="149" t="s">
        <v>491</v>
      </c>
    </row>
    <row r="17" spans="3:29" s="148" customFormat="1" ht="15.75">
      <c r="C17" s="152" t="s">
        <v>521</v>
      </c>
      <c r="D17" s="153">
        <v>2004</v>
      </c>
      <c r="AA17" s="149" t="s">
        <v>522</v>
      </c>
      <c r="AB17" s="149" t="s">
        <v>523</v>
      </c>
      <c r="AC17" s="149" t="s">
        <v>491</v>
      </c>
    </row>
    <row r="18" spans="27:29" s="148" customFormat="1" ht="12.75">
      <c r="AA18" s="149" t="s">
        <v>524</v>
      </c>
      <c r="AB18" s="149" t="s">
        <v>525</v>
      </c>
      <c r="AC18" s="149" t="s">
        <v>494</v>
      </c>
    </row>
    <row r="19" spans="27:29" s="148" customFormat="1" ht="12.75">
      <c r="AA19" s="149" t="s">
        <v>526</v>
      </c>
      <c r="AB19" s="149" t="s">
        <v>527</v>
      </c>
      <c r="AC19" s="149" t="s">
        <v>491</v>
      </c>
    </row>
    <row r="20" spans="27:29" s="148" customFormat="1" ht="12.75">
      <c r="AA20" s="149" t="s">
        <v>528</v>
      </c>
      <c r="AB20" s="149" t="s">
        <v>529</v>
      </c>
      <c r="AC20" s="149" t="s">
        <v>491</v>
      </c>
    </row>
    <row r="21" spans="27:29" s="148" customFormat="1" ht="12.75">
      <c r="AA21" s="149" t="s">
        <v>530</v>
      </c>
      <c r="AB21" s="149" t="s">
        <v>493</v>
      </c>
      <c r="AC21" s="149" t="s">
        <v>494</v>
      </c>
    </row>
    <row r="22" spans="27:29" s="148" customFormat="1" ht="12.75">
      <c r="AA22" s="149" t="s">
        <v>531</v>
      </c>
      <c r="AB22" s="149" t="s">
        <v>493</v>
      </c>
      <c r="AC22" s="149" t="s">
        <v>494</v>
      </c>
    </row>
    <row r="23" spans="27:29" s="148" customFormat="1" ht="12.75">
      <c r="AA23" s="149" t="s">
        <v>532</v>
      </c>
      <c r="AB23" s="149" t="s">
        <v>533</v>
      </c>
      <c r="AC23" s="149" t="s">
        <v>491</v>
      </c>
    </row>
    <row r="24" spans="27:29" s="148" customFormat="1" ht="12.75">
      <c r="AA24" s="149" t="s">
        <v>534</v>
      </c>
      <c r="AB24" s="149" t="s">
        <v>535</v>
      </c>
      <c r="AC24" s="149" t="s">
        <v>491</v>
      </c>
    </row>
    <row r="25" spans="27:29" s="148" customFormat="1" ht="12.75">
      <c r="AA25" s="149" t="s">
        <v>536</v>
      </c>
      <c r="AB25" s="149" t="s">
        <v>537</v>
      </c>
      <c r="AC25" s="149" t="s">
        <v>494</v>
      </c>
    </row>
    <row r="26" spans="27:29" s="148" customFormat="1" ht="12.75">
      <c r="AA26" s="149" t="s">
        <v>538</v>
      </c>
      <c r="AB26" s="149" t="s">
        <v>539</v>
      </c>
      <c r="AC26" s="149" t="s">
        <v>491</v>
      </c>
    </row>
    <row r="27" spans="27:29" s="148" customFormat="1" ht="12.75">
      <c r="AA27" s="149" t="s">
        <v>540</v>
      </c>
      <c r="AB27" s="149" t="s">
        <v>541</v>
      </c>
      <c r="AC27" s="149" t="s">
        <v>491</v>
      </c>
    </row>
    <row r="28" spans="27:29" s="148" customFormat="1" ht="12.75">
      <c r="AA28" s="149" t="s">
        <v>542</v>
      </c>
      <c r="AB28" s="149" t="s">
        <v>493</v>
      </c>
      <c r="AC28" s="149" t="s">
        <v>494</v>
      </c>
    </row>
    <row r="29" spans="27:29" s="148" customFormat="1" ht="12.75">
      <c r="AA29" s="149" t="s">
        <v>543</v>
      </c>
      <c r="AB29" s="149" t="s">
        <v>544</v>
      </c>
      <c r="AC29" s="149" t="s">
        <v>494</v>
      </c>
    </row>
    <row r="30" spans="27:29" s="148" customFormat="1" ht="12.75">
      <c r="AA30" s="149" t="s">
        <v>545</v>
      </c>
      <c r="AB30" s="149" t="s">
        <v>546</v>
      </c>
      <c r="AC30" s="149" t="s">
        <v>491</v>
      </c>
    </row>
    <row r="31" spans="27:29" s="148" customFormat="1" ht="12.75">
      <c r="AA31" s="149" t="s">
        <v>547</v>
      </c>
      <c r="AB31" s="149" t="s">
        <v>493</v>
      </c>
      <c r="AC31" s="149" t="s">
        <v>494</v>
      </c>
    </row>
    <row r="32" spans="27:29" s="148" customFormat="1" ht="12.75">
      <c r="AA32" s="149" t="s">
        <v>548</v>
      </c>
      <c r="AB32" s="149" t="s">
        <v>549</v>
      </c>
      <c r="AC32" s="149" t="s">
        <v>491</v>
      </c>
    </row>
    <row r="33" spans="27:29" s="148" customFormat="1" ht="12.75">
      <c r="AA33" s="149" t="s">
        <v>550</v>
      </c>
      <c r="AB33" s="149" t="s">
        <v>551</v>
      </c>
      <c r="AC33" s="149" t="s">
        <v>491</v>
      </c>
    </row>
    <row r="34" spans="27:29" s="148" customFormat="1" ht="12.75">
      <c r="AA34" s="149" t="s">
        <v>552</v>
      </c>
      <c r="AB34" s="149" t="s">
        <v>493</v>
      </c>
      <c r="AC34" s="149" t="s">
        <v>494</v>
      </c>
    </row>
    <row r="35" spans="27:29" s="148" customFormat="1" ht="12.75">
      <c r="AA35" s="149" t="s">
        <v>553</v>
      </c>
      <c r="AB35" s="149" t="s">
        <v>554</v>
      </c>
      <c r="AC35" s="149" t="s">
        <v>491</v>
      </c>
    </row>
    <row r="36" spans="27:29" s="148" customFormat="1" ht="12.75">
      <c r="AA36" s="149" t="s">
        <v>555</v>
      </c>
      <c r="AB36" s="149" t="s">
        <v>556</v>
      </c>
      <c r="AC36" s="149" t="s">
        <v>491</v>
      </c>
    </row>
    <row r="37" spans="27:29" s="148" customFormat="1" ht="12.75">
      <c r="AA37" s="149" t="s">
        <v>557</v>
      </c>
      <c r="AB37" s="149" t="s">
        <v>558</v>
      </c>
      <c r="AC37" s="149" t="s">
        <v>559</v>
      </c>
    </row>
    <row r="38" spans="27:29" s="148" customFormat="1" ht="12.75">
      <c r="AA38" s="149" t="s">
        <v>560</v>
      </c>
      <c r="AB38" s="149" t="s">
        <v>561</v>
      </c>
      <c r="AC38" s="149" t="s">
        <v>491</v>
      </c>
    </row>
    <row r="39" spans="27:29" s="148" customFormat="1" ht="12.75">
      <c r="AA39" s="149" t="s">
        <v>562</v>
      </c>
      <c r="AB39" s="149" t="s">
        <v>563</v>
      </c>
      <c r="AC39" s="149" t="s">
        <v>494</v>
      </c>
    </row>
    <row r="40" spans="27:29" s="148" customFormat="1" ht="12.75">
      <c r="AA40" s="149" t="s">
        <v>564</v>
      </c>
      <c r="AB40" s="149" t="s">
        <v>565</v>
      </c>
      <c r="AC40" s="149" t="s">
        <v>491</v>
      </c>
    </row>
    <row r="41" spans="27:29" s="148" customFormat="1" ht="12.75">
      <c r="AA41" s="149" t="s">
        <v>566</v>
      </c>
      <c r="AB41" s="149" t="s">
        <v>493</v>
      </c>
      <c r="AC41" s="149" t="s">
        <v>494</v>
      </c>
    </row>
    <row r="42" spans="27:29" s="148" customFormat="1" ht="12.75">
      <c r="AA42" s="149" t="s">
        <v>567</v>
      </c>
      <c r="AB42" s="149" t="s">
        <v>568</v>
      </c>
      <c r="AC42" s="149" t="s">
        <v>491</v>
      </c>
    </row>
    <row r="43" spans="27:29" s="148" customFormat="1" ht="12.75">
      <c r="AA43" s="149" t="s">
        <v>569</v>
      </c>
      <c r="AB43" s="149" t="s">
        <v>570</v>
      </c>
      <c r="AC43" s="149" t="s">
        <v>491</v>
      </c>
    </row>
    <row r="44" spans="27:29" s="148" customFormat="1" ht="12.75">
      <c r="AA44" s="149" t="s">
        <v>571</v>
      </c>
      <c r="AB44" s="149" t="s">
        <v>572</v>
      </c>
      <c r="AC44" s="149" t="s">
        <v>491</v>
      </c>
    </row>
    <row r="45" spans="27:29" s="148" customFormat="1" ht="12.75">
      <c r="AA45" s="149" t="s">
        <v>573</v>
      </c>
      <c r="AB45" s="149" t="s">
        <v>493</v>
      </c>
      <c r="AC45" s="149" t="s">
        <v>494</v>
      </c>
    </row>
    <row r="46" spans="27:29" s="148" customFormat="1" ht="12.75">
      <c r="AA46" s="149" t="s">
        <v>574</v>
      </c>
      <c r="AB46" s="149" t="s">
        <v>575</v>
      </c>
      <c r="AC46" s="149" t="s">
        <v>491</v>
      </c>
    </row>
    <row r="47" spans="27:29" s="148" customFormat="1" ht="12.75">
      <c r="AA47" s="149" t="s">
        <v>576</v>
      </c>
      <c r="AB47" s="149" t="s">
        <v>577</v>
      </c>
      <c r="AC47" s="149" t="s">
        <v>491</v>
      </c>
    </row>
    <row r="48" spans="27:29" s="148" customFormat="1" ht="12.75">
      <c r="AA48" s="149" t="s">
        <v>578</v>
      </c>
      <c r="AB48" s="149" t="s">
        <v>579</v>
      </c>
      <c r="AC48" s="149" t="s">
        <v>491</v>
      </c>
    </row>
    <row r="49" spans="27:29" s="148" customFormat="1" ht="12.75">
      <c r="AA49" s="149" t="s">
        <v>580</v>
      </c>
      <c r="AB49" s="149" t="s">
        <v>581</v>
      </c>
      <c r="AC49" s="149" t="s">
        <v>491</v>
      </c>
    </row>
    <row r="50" spans="27:29" s="148" customFormat="1" ht="12.75">
      <c r="AA50" s="149" t="s">
        <v>582</v>
      </c>
      <c r="AB50" s="149" t="s">
        <v>583</v>
      </c>
      <c r="AC50" s="149" t="s">
        <v>491</v>
      </c>
    </row>
    <row r="51" spans="27:29" s="148" customFormat="1" ht="12.75">
      <c r="AA51" s="149" t="s">
        <v>584</v>
      </c>
      <c r="AB51" s="149" t="s">
        <v>585</v>
      </c>
      <c r="AC51" s="149" t="s">
        <v>491</v>
      </c>
    </row>
    <row r="52" spans="27:29" s="148" customFormat="1" ht="12.75">
      <c r="AA52" s="149" t="s">
        <v>586</v>
      </c>
      <c r="AB52" s="149" t="s">
        <v>587</v>
      </c>
      <c r="AC52" s="149" t="s">
        <v>491</v>
      </c>
    </row>
    <row r="53" spans="27:29" s="148" customFormat="1" ht="12.75">
      <c r="AA53" s="149" t="s">
        <v>588</v>
      </c>
      <c r="AB53" s="149" t="s">
        <v>589</v>
      </c>
      <c r="AC53" s="149" t="s">
        <v>491</v>
      </c>
    </row>
    <row r="54" spans="27:29" s="148" customFormat="1" ht="12.75">
      <c r="AA54" s="149" t="s">
        <v>590</v>
      </c>
      <c r="AB54" s="149" t="s">
        <v>591</v>
      </c>
      <c r="AC54" s="149" t="s">
        <v>491</v>
      </c>
    </row>
    <row r="55" spans="27:29" s="148" customFormat="1" ht="12.75">
      <c r="AA55" s="149" t="s">
        <v>592</v>
      </c>
      <c r="AB55" s="149" t="s">
        <v>593</v>
      </c>
      <c r="AC55" s="149" t="s">
        <v>491</v>
      </c>
    </row>
    <row r="56" spans="27:29" s="148" customFormat="1" ht="12.75">
      <c r="AA56" s="149" t="s">
        <v>594</v>
      </c>
      <c r="AB56" s="149" t="s">
        <v>493</v>
      </c>
      <c r="AC56" s="149" t="s">
        <v>494</v>
      </c>
    </row>
    <row r="57" spans="27:29" s="148" customFormat="1" ht="12.75">
      <c r="AA57" s="149" t="s">
        <v>513</v>
      </c>
      <c r="AB57" s="149" t="s">
        <v>595</v>
      </c>
      <c r="AC57" s="149" t="s">
        <v>491</v>
      </c>
    </row>
    <row r="58" spans="27:29" s="148" customFormat="1" ht="12.75">
      <c r="AA58" s="149" t="s">
        <v>596</v>
      </c>
      <c r="AB58" s="149" t="s">
        <v>597</v>
      </c>
      <c r="AC58" s="149" t="s">
        <v>491</v>
      </c>
    </row>
    <row r="59" spans="27:29" s="148" customFormat="1" ht="12.75">
      <c r="AA59" s="149" t="s">
        <v>598</v>
      </c>
      <c r="AB59" s="149" t="s">
        <v>599</v>
      </c>
      <c r="AC59" s="149" t="s">
        <v>491</v>
      </c>
    </row>
    <row r="60" spans="27:29" s="148" customFormat="1" ht="12.75">
      <c r="AA60" s="149" t="s">
        <v>600</v>
      </c>
      <c r="AB60" s="149" t="s">
        <v>601</v>
      </c>
      <c r="AC60" s="149" t="s">
        <v>491</v>
      </c>
    </row>
    <row r="61" spans="27:29" s="148" customFormat="1" ht="12.75">
      <c r="AA61" s="149" t="s">
        <v>602</v>
      </c>
      <c r="AB61" s="149" t="s">
        <v>603</v>
      </c>
      <c r="AC61" s="149" t="s">
        <v>491</v>
      </c>
    </row>
    <row r="62" spans="27:29" s="148" customFormat="1" ht="12.75">
      <c r="AA62" s="149" t="s">
        <v>604</v>
      </c>
      <c r="AB62" s="149" t="s">
        <v>605</v>
      </c>
      <c r="AC62" s="149" t="s">
        <v>494</v>
      </c>
    </row>
    <row r="63" spans="27:29" s="148" customFormat="1" ht="12.75">
      <c r="AA63" s="149" t="s">
        <v>606</v>
      </c>
      <c r="AB63" s="149" t="s">
        <v>607</v>
      </c>
      <c r="AC63" s="149" t="s">
        <v>491</v>
      </c>
    </row>
    <row r="64" spans="27:29" s="148" customFormat="1" ht="12.75">
      <c r="AA64" s="149" t="s">
        <v>608</v>
      </c>
      <c r="AB64" s="149" t="s">
        <v>609</v>
      </c>
      <c r="AC64" s="149" t="s">
        <v>491</v>
      </c>
    </row>
    <row r="65" spans="27:29" s="148" customFormat="1" ht="12.75">
      <c r="AA65" s="149" t="s">
        <v>610</v>
      </c>
      <c r="AB65" s="149" t="s">
        <v>611</v>
      </c>
      <c r="AC65" s="149" t="s">
        <v>491</v>
      </c>
    </row>
    <row r="66" spans="27:29" s="148" customFormat="1" ht="12.75">
      <c r="AA66" s="149" t="s">
        <v>612</v>
      </c>
      <c r="AB66" s="149" t="s">
        <v>613</v>
      </c>
      <c r="AC66" s="149" t="s">
        <v>491</v>
      </c>
    </row>
    <row r="67" spans="27:29" s="148" customFormat="1" ht="12.75">
      <c r="AA67" s="149" t="s">
        <v>614</v>
      </c>
      <c r="AB67" s="149" t="s">
        <v>615</v>
      </c>
      <c r="AC67" s="149" t="s">
        <v>491</v>
      </c>
    </row>
    <row r="68" spans="27:29" s="148" customFormat="1" ht="12.75">
      <c r="AA68" s="149" t="s">
        <v>616</v>
      </c>
      <c r="AB68" s="149" t="s">
        <v>617</v>
      </c>
      <c r="AC68" s="149" t="s">
        <v>491</v>
      </c>
    </row>
    <row r="69" spans="27:29" s="148" customFormat="1" ht="12.75">
      <c r="AA69" s="149" t="s">
        <v>618</v>
      </c>
      <c r="AB69" s="149" t="s">
        <v>493</v>
      </c>
      <c r="AC69" s="149" t="s">
        <v>494</v>
      </c>
    </row>
    <row r="70" spans="27:29" s="148" customFormat="1" ht="12.75">
      <c r="AA70" s="149" t="s">
        <v>619</v>
      </c>
      <c r="AB70" s="149" t="s">
        <v>620</v>
      </c>
      <c r="AC70" s="149" t="s">
        <v>491</v>
      </c>
    </row>
    <row r="71" spans="27:29" s="148" customFormat="1" ht="12.75">
      <c r="AA71" s="149" t="s">
        <v>621</v>
      </c>
      <c r="AB71" s="149" t="s">
        <v>622</v>
      </c>
      <c r="AC71" s="149" t="s">
        <v>491</v>
      </c>
    </row>
    <row r="72" spans="27:29" s="148" customFormat="1" ht="12.75">
      <c r="AA72" s="149" t="s">
        <v>623</v>
      </c>
      <c r="AB72" s="149" t="s">
        <v>624</v>
      </c>
      <c r="AC72" s="149" t="s">
        <v>491</v>
      </c>
    </row>
    <row r="73" spans="27:29" s="148" customFormat="1" ht="12.75">
      <c r="AA73" s="149" t="s">
        <v>625</v>
      </c>
      <c r="AB73" s="149" t="s">
        <v>626</v>
      </c>
      <c r="AC73" s="149" t="s">
        <v>491</v>
      </c>
    </row>
    <row r="74" spans="27:29" s="148" customFormat="1" ht="12.75">
      <c r="AA74" s="149" t="s">
        <v>627</v>
      </c>
      <c r="AB74" s="149" t="s">
        <v>628</v>
      </c>
      <c r="AC74" s="149" t="s">
        <v>559</v>
      </c>
    </row>
    <row r="75" spans="27:29" s="148" customFormat="1" ht="12.75">
      <c r="AA75" s="149" t="s">
        <v>629</v>
      </c>
      <c r="AB75" s="149" t="s">
        <v>630</v>
      </c>
      <c r="AC75" s="149" t="s">
        <v>491</v>
      </c>
    </row>
    <row r="76" spans="27:29" s="148" customFormat="1" ht="12.75">
      <c r="AA76" s="149" t="s">
        <v>631</v>
      </c>
      <c r="AB76" s="149" t="s">
        <v>632</v>
      </c>
      <c r="AC76" s="149" t="s">
        <v>494</v>
      </c>
    </row>
    <row r="77" spans="27:29" s="148" customFormat="1" ht="12.75">
      <c r="AA77" s="149" t="s">
        <v>633</v>
      </c>
      <c r="AB77" s="149" t="s">
        <v>634</v>
      </c>
      <c r="AC77" s="149" t="s">
        <v>491</v>
      </c>
    </row>
    <row r="78" spans="27:29" s="148" customFormat="1" ht="12.75">
      <c r="AA78" s="149" t="s">
        <v>635</v>
      </c>
      <c r="AB78" s="149" t="s">
        <v>636</v>
      </c>
      <c r="AC78" s="149" t="s">
        <v>491</v>
      </c>
    </row>
    <row r="79" spans="27:29" s="148" customFormat="1" ht="12.75">
      <c r="AA79" s="149" t="s">
        <v>637</v>
      </c>
      <c r="AB79" s="149" t="s">
        <v>493</v>
      </c>
      <c r="AC79" s="149" t="s">
        <v>494</v>
      </c>
    </row>
    <row r="80" spans="27:29" s="148" customFormat="1" ht="12.75">
      <c r="AA80" s="149" t="s">
        <v>638</v>
      </c>
      <c r="AB80" s="149" t="s">
        <v>639</v>
      </c>
      <c r="AC80" s="149" t="s">
        <v>491</v>
      </c>
    </row>
    <row r="81" spans="27:29" s="148" customFormat="1" ht="12.75">
      <c r="AA81" s="149" t="s">
        <v>640</v>
      </c>
      <c r="AB81" s="149" t="s">
        <v>641</v>
      </c>
      <c r="AC81" s="149" t="s">
        <v>491</v>
      </c>
    </row>
    <row r="82" spans="27:29" s="148" customFormat="1" ht="12.75">
      <c r="AA82" s="149" t="s">
        <v>642</v>
      </c>
      <c r="AB82" s="149" t="s">
        <v>643</v>
      </c>
      <c r="AC82" s="149" t="s">
        <v>491</v>
      </c>
    </row>
    <row r="83" spans="27:29" s="148" customFormat="1" ht="12.75">
      <c r="AA83" s="149" t="s">
        <v>644</v>
      </c>
      <c r="AB83" s="149" t="s">
        <v>645</v>
      </c>
      <c r="AC83" s="149" t="s">
        <v>491</v>
      </c>
    </row>
    <row r="84" spans="27:29" s="148" customFormat="1" ht="12.75">
      <c r="AA84" s="149" t="s">
        <v>646</v>
      </c>
      <c r="AB84" s="149" t="s">
        <v>647</v>
      </c>
      <c r="AC84" s="149" t="s">
        <v>491</v>
      </c>
    </row>
    <row r="85" spans="27:29" s="148" customFormat="1" ht="12.75">
      <c r="AA85" s="441" t="s">
        <v>654</v>
      </c>
      <c r="AB85" s="273" t="s">
        <v>613</v>
      </c>
      <c r="AC85" s="273" t="s">
        <v>491</v>
      </c>
    </row>
    <row r="86" spans="27:29" s="148" customFormat="1" ht="12.75">
      <c r="AA86" s="441" t="s">
        <v>655</v>
      </c>
      <c r="AB86" s="273"/>
      <c r="AC86" s="273"/>
    </row>
    <row r="87" spans="27:29" s="148" customFormat="1" ht="12.75">
      <c r="AA87" s="441" t="s">
        <v>656</v>
      </c>
      <c r="AB87" s="273"/>
      <c r="AC87" s="273"/>
    </row>
    <row r="88" spans="27:29" s="148" customFormat="1" ht="12.75">
      <c r="AA88" s="441" t="s">
        <v>657</v>
      </c>
      <c r="AB88" s="273"/>
      <c r="AC88" s="273"/>
    </row>
    <row r="89" spans="27:29" s="148" customFormat="1" ht="12.75">
      <c r="AA89" s="441" t="s">
        <v>658</v>
      </c>
      <c r="AB89" s="273"/>
      <c r="AC89" s="273"/>
    </row>
    <row r="90" s="148" customFormat="1" ht="12.75"/>
    <row r="91" s="148" customFormat="1" ht="12.75"/>
    <row r="92" s="148" customFormat="1" ht="12.75"/>
    <row r="93" s="148" customFormat="1" ht="12.75"/>
    <row r="94" s="148" customFormat="1" ht="12.75"/>
    <row r="95" s="148" customFormat="1" ht="12.75"/>
    <row r="96" s="148" customFormat="1" ht="12.75"/>
    <row r="97" s="148" customFormat="1" ht="12.75"/>
    <row r="98" s="148" customFormat="1" ht="12.75"/>
    <row r="99" s="148" customFormat="1" ht="12.75"/>
    <row r="100" s="148" customFormat="1" ht="12.75"/>
    <row r="101" s="148" customFormat="1" ht="12.75"/>
    <row r="102" s="148" customFormat="1" ht="12.75"/>
    <row r="103" s="148" customFormat="1" ht="12.75"/>
    <row r="104" s="148" customFormat="1" ht="12.75"/>
    <row r="105" s="148" customFormat="1" ht="12.75"/>
    <row r="106" s="148" customFormat="1" ht="12.75"/>
    <row r="107" s="148" customFormat="1" ht="12.75"/>
    <row r="108" s="148" customFormat="1" ht="12.75"/>
    <row r="109" s="148" customFormat="1" ht="12.75"/>
    <row r="110" s="148" customFormat="1" ht="12.75"/>
    <row r="111" s="148" customFormat="1" ht="12.75"/>
    <row r="112" s="148" customFormat="1" ht="12.75"/>
    <row r="113" s="148" customFormat="1" ht="12.75"/>
    <row r="114" s="148" customFormat="1" ht="12.75"/>
    <row r="115" s="148" customFormat="1" ht="12.75"/>
    <row r="116" s="148" customFormat="1" ht="12.75"/>
    <row r="117" s="148" customFormat="1" ht="12.75"/>
    <row r="118" s="148" customFormat="1" ht="12.75"/>
    <row r="119" s="148" customFormat="1" ht="12.75"/>
    <row r="120" s="148" customFormat="1" ht="12.75"/>
    <row r="121" s="148" customFormat="1" ht="12.75"/>
    <row r="122" s="148" customFormat="1" ht="12.75"/>
    <row r="123" s="148" customFormat="1" ht="12.75"/>
    <row r="124" s="148" customFormat="1" ht="12.75"/>
    <row r="125" s="148" customFormat="1" ht="12.75"/>
    <row r="126" s="148" customFormat="1" ht="12.75"/>
    <row r="127" s="148" customFormat="1" ht="12.75"/>
    <row r="128" s="148" customFormat="1" ht="12.75"/>
  </sheetData>
  <sheetProtection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16">
      <selection activeCell="A1" sqref="A1"/>
    </sheetView>
  </sheetViews>
  <sheetFormatPr defaultColWidth="0" defaultRowHeight="12.75" zeroHeight="1"/>
  <cols>
    <col min="1" max="1" width="52.00390625" style="191" bestFit="1" customWidth="1"/>
    <col min="2" max="2" width="11.8515625" style="192" bestFit="1" customWidth="1"/>
    <col min="3" max="3" width="10.140625" style="192" bestFit="1" customWidth="1"/>
    <col min="4" max="4" width="7.57421875" style="192" bestFit="1" customWidth="1"/>
    <col min="5" max="5" width="9.140625" style="192" bestFit="1" customWidth="1"/>
    <col min="6" max="6" width="14.140625" style="192" bestFit="1" customWidth="1"/>
    <col min="7" max="10" width="15.7109375" style="191" customWidth="1"/>
    <col min="11" max="12" width="9.140625" style="191" hidden="1" customWidth="1"/>
    <col min="13" max="13" width="18.57421875" style="191" hidden="1" customWidth="1"/>
    <col min="14" max="16384" width="0" style="191" hidden="1" customWidth="1"/>
  </cols>
  <sheetData>
    <row r="1" spans="1:16" ht="12.75">
      <c r="A1" s="333" t="str">
        <f>REGINFO!A1</f>
        <v>PILs TAXES - EB-2008-381</v>
      </c>
      <c r="B1" s="334"/>
      <c r="C1" s="335"/>
      <c r="D1" s="335"/>
      <c r="E1" s="335"/>
      <c r="F1" s="3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8" s="156" customFormat="1" ht="12.75">
      <c r="A2" s="337" t="s">
        <v>106</v>
      </c>
      <c r="B2" s="335"/>
      <c r="C2" s="335"/>
      <c r="D2" s="335"/>
      <c r="E2" s="335"/>
      <c r="F2" s="338" t="str">
        <f>REGINFO!E1</f>
        <v>Version 2009.1</v>
      </c>
      <c r="G2" s="339"/>
      <c r="H2" s="339"/>
      <c r="I2" s="339"/>
      <c r="J2" s="339"/>
      <c r="K2" s="340"/>
      <c r="L2" s="339"/>
      <c r="M2" s="339"/>
      <c r="N2" s="339"/>
      <c r="O2" s="339"/>
      <c r="P2" s="339"/>
      <c r="Q2" s="182"/>
      <c r="R2" s="182"/>
    </row>
    <row r="3" spans="1:18" s="156" customFormat="1" ht="12.75">
      <c r="A3" s="337" t="s">
        <v>300</v>
      </c>
      <c r="B3" s="335"/>
      <c r="C3" s="335"/>
      <c r="D3" s="335"/>
      <c r="E3" s="335"/>
      <c r="F3" s="338"/>
      <c r="G3" s="339"/>
      <c r="H3" s="339"/>
      <c r="I3" s="339"/>
      <c r="J3" s="339"/>
      <c r="K3" s="340"/>
      <c r="L3" s="339"/>
      <c r="M3" s="339"/>
      <c r="N3" s="339"/>
      <c r="O3" s="339"/>
      <c r="P3" s="339"/>
      <c r="Q3" s="182"/>
      <c r="R3" s="182"/>
    </row>
    <row r="4" spans="1:18" s="156" customFormat="1" ht="12.75">
      <c r="A4" s="340" t="str">
        <f>REGINFO!A3</f>
        <v>Utility Name: PowerStream Inc. - Richmond Hill</v>
      </c>
      <c r="B4" s="335"/>
      <c r="C4" s="335"/>
      <c r="D4" s="335"/>
      <c r="E4" s="335"/>
      <c r="F4" s="335"/>
      <c r="G4" s="339"/>
      <c r="H4" s="339"/>
      <c r="I4" s="339"/>
      <c r="J4" s="339"/>
      <c r="K4" s="340"/>
      <c r="L4" s="339"/>
      <c r="M4" s="339"/>
      <c r="N4" s="339"/>
      <c r="O4" s="339"/>
      <c r="P4" s="339"/>
      <c r="Q4" s="182"/>
      <c r="R4" s="182"/>
    </row>
    <row r="5" spans="1:18" s="156" customFormat="1" ht="12.75">
      <c r="A5" s="340" t="str">
        <f>REGINFO!A4</f>
        <v>Reporting period:  2004</v>
      </c>
      <c r="B5" s="335"/>
      <c r="C5" s="335"/>
      <c r="D5" s="335"/>
      <c r="E5" s="335"/>
      <c r="F5" s="335"/>
      <c r="G5" s="339"/>
      <c r="H5" s="339"/>
      <c r="I5" s="339"/>
      <c r="J5" s="339"/>
      <c r="K5" s="340"/>
      <c r="L5" s="339"/>
      <c r="M5" s="339"/>
      <c r="N5" s="339"/>
      <c r="O5" s="339"/>
      <c r="P5" s="339"/>
      <c r="Q5" s="182"/>
      <c r="R5" s="182"/>
    </row>
    <row r="6" spans="1:18" s="156" customFormat="1" ht="12.75">
      <c r="A6" s="337"/>
      <c r="B6" s="335"/>
      <c r="C6" s="335"/>
      <c r="D6" s="335"/>
      <c r="E6" s="335"/>
      <c r="F6" s="335"/>
      <c r="G6" s="339"/>
      <c r="H6" s="339"/>
      <c r="I6" s="339"/>
      <c r="J6" s="339"/>
      <c r="K6" s="340"/>
      <c r="L6" s="339"/>
      <c r="M6" s="339"/>
      <c r="N6" s="339"/>
      <c r="O6" s="339"/>
      <c r="P6" s="339"/>
      <c r="Q6" s="182"/>
      <c r="R6" s="182"/>
    </row>
    <row r="7" spans="1:18" s="156" customFormat="1" ht="12.75">
      <c r="A7" s="337"/>
      <c r="B7" s="335"/>
      <c r="C7" s="335"/>
      <c r="D7" s="335"/>
      <c r="E7" s="335"/>
      <c r="F7" s="341" t="s">
        <v>330</v>
      </c>
      <c r="G7" s="339"/>
      <c r="H7" s="339"/>
      <c r="I7" s="339"/>
      <c r="J7" s="339"/>
      <c r="K7" s="340"/>
      <c r="L7" s="339"/>
      <c r="M7" s="339"/>
      <c r="N7" s="339"/>
      <c r="O7" s="339"/>
      <c r="P7" s="339"/>
      <c r="Q7" s="182"/>
      <c r="R7" s="182"/>
    </row>
    <row r="8" spans="1:18" s="156" customFormat="1" ht="13.5" thickBot="1">
      <c r="A8" s="476" t="s">
        <v>476</v>
      </c>
      <c r="B8" s="477"/>
      <c r="C8" s="477"/>
      <c r="D8" s="477"/>
      <c r="E8" s="335"/>
      <c r="F8" s="342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182"/>
      <c r="R8" s="182"/>
    </row>
    <row r="9" spans="1:16" s="156" customFormat="1" ht="12.75">
      <c r="A9" s="343" t="s">
        <v>111</v>
      </c>
      <c r="B9" s="344"/>
      <c r="C9" s="345">
        <v>0</v>
      </c>
      <c r="D9" s="345"/>
      <c r="E9" s="345">
        <v>200001</v>
      </c>
      <c r="F9" s="346"/>
      <c r="G9" s="347"/>
      <c r="H9" s="347"/>
      <c r="I9" s="347"/>
      <c r="J9" s="347"/>
      <c r="K9" s="336"/>
      <c r="L9" s="336"/>
      <c r="M9" s="336"/>
      <c r="N9" s="336"/>
      <c r="O9" s="336"/>
      <c r="P9" s="336"/>
    </row>
    <row r="10" spans="1:16" s="156" customFormat="1" ht="12.75">
      <c r="A10" s="348" t="s">
        <v>462</v>
      </c>
      <c r="B10" s="349"/>
      <c r="C10" s="350" t="s">
        <v>110</v>
      </c>
      <c r="D10" s="350"/>
      <c r="E10" s="350" t="s">
        <v>110</v>
      </c>
      <c r="F10" s="351" t="s">
        <v>477</v>
      </c>
      <c r="G10" s="352"/>
      <c r="H10" s="352"/>
      <c r="I10" s="352"/>
      <c r="J10" s="352"/>
      <c r="K10" s="336"/>
      <c r="L10" s="336"/>
      <c r="M10" s="336"/>
      <c r="N10" s="336"/>
      <c r="O10" s="336"/>
      <c r="P10" s="336"/>
    </row>
    <row r="11" spans="1:16" s="156" customFormat="1" ht="13.5" thickBot="1">
      <c r="A11" s="348"/>
      <c r="B11" s="349" t="s">
        <v>115</v>
      </c>
      <c r="C11" s="353">
        <v>200000</v>
      </c>
      <c r="D11" s="353"/>
      <c r="E11" s="353">
        <v>700000</v>
      </c>
      <c r="F11" s="354"/>
      <c r="G11" s="347"/>
      <c r="H11" s="347"/>
      <c r="I11" s="347"/>
      <c r="J11" s="347"/>
      <c r="K11" s="336"/>
      <c r="L11" s="336"/>
      <c r="M11" s="336"/>
      <c r="N11" s="336"/>
      <c r="O11" s="336"/>
      <c r="P11" s="336"/>
    </row>
    <row r="12" spans="1:16" s="156" customFormat="1" ht="13.5" thickBot="1">
      <c r="A12" s="355" t="s">
        <v>107</v>
      </c>
      <c r="B12" s="356"/>
      <c r="C12" s="357"/>
      <c r="D12" s="357"/>
      <c r="E12" s="358"/>
      <c r="F12" s="358"/>
      <c r="G12" s="359"/>
      <c r="H12" s="359"/>
      <c r="I12" s="359"/>
      <c r="J12" s="359"/>
      <c r="K12" s="336"/>
      <c r="L12" s="336"/>
      <c r="M12" s="336"/>
      <c r="N12" s="336"/>
      <c r="O12" s="336"/>
      <c r="P12" s="336"/>
    </row>
    <row r="13" spans="1:18" s="156" customFormat="1" ht="13.5" thickBot="1">
      <c r="A13" s="360" t="s">
        <v>293</v>
      </c>
      <c r="B13" s="361">
        <v>2002</v>
      </c>
      <c r="C13" s="362"/>
      <c r="D13" s="362"/>
      <c r="E13" s="363"/>
      <c r="F13" s="363"/>
      <c r="G13" s="364"/>
      <c r="H13" s="364"/>
      <c r="I13" s="364"/>
      <c r="J13" s="364"/>
      <c r="K13" s="336"/>
      <c r="L13" s="336"/>
      <c r="M13" s="336"/>
      <c r="N13" s="336"/>
      <c r="O13" s="336"/>
      <c r="P13" s="336"/>
      <c r="R13" s="181"/>
    </row>
    <row r="14" spans="1:16" s="156" customFormat="1" ht="13.5" thickBot="1">
      <c r="A14" s="360" t="s">
        <v>292</v>
      </c>
      <c r="B14" s="365"/>
      <c r="C14" s="366">
        <v>0.1312</v>
      </c>
      <c r="D14" s="366"/>
      <c r="E14" s="367">
        <v>0.2612</v>
      </c>
      <c r="F14" s="367">
        <v>0.2612</v>
      </c>
      <c r="G14" s="364"/>
      <c r="H14" s="364"/>
      <c r="I14" s="364"/>
      <c r="J14" s="364"/>
      <c r="K14" s="336"/>
      <c r="L14" s="336"/>
      <c r="M14" s="336"/>
      <c r="N14" s="336"/>
      <c r="O14" s="336"/>
      <c r="P14" s="336"/>
    </row>
    <row r="15" spans="1:16" s="156" customFormat="1" ht="13.5" thickBot="1">
      <c r="A15" s="360" t="s">
        <v>297</v>
      </c>
      <c r="B15" s="365"/>
      <c r="C15" s="368">
        <v>0.06</v>
      </c>
      <c r="D15" s="368"/>
      <c r="E15" s="369">
        <v>0.06</v>
      </c>
      <c r="F15" s="369">
        <v>0.125</v>
      </c>
      <c r="G15" s="364"/>
      <c r="H15" s="364"/>
      <c r="I15" s="364"/>
      <c r="J15" s="364"/>
      <c r="K15" s="336"/>
      <c r="L15" s="336"/>
      <c r="M15" s="336"/>
      <c r="N15" s="336"/>
      <c r="O15" s="336"/>
      <c r="P15" s="336"/>
    </row>
    <row r="16" spans="1:16" s="156" customFormat="1" ht="13.5" thickBot="1">
      <c r="A16" s="360" t="s">
        <v>253</v>
      </c>
      <c r="B16" s="365"/>
      <c r="C16" s="370">
        <f>SUM(C14:C15)</f>
        <v>0.1912</v>
      </c>
      <c r="D16" s="370"/>
      <c r="E16" s="371">
        <v>0.3412</v>
      </c>
      <c r="F16" s="371">
        <f>SUM(F14:F15)</f>
        <v>0.3862</v>
      </c>
      <c r="G16" s="364"/>
      <c r="H16" s="364"/>
      <c r="I16" s="364"/>
      <c r="J16" s="364"/>
      <c r="K16" s="336"/>
      <c r="L16" s="336"/>
      <c r="M16" s="336"/>
      <c r="N16" s="336"/>
      <c r="O16" s="336"/>
      <c r="P16" s="336"/>
    </row>
    <row r="17" spans="1:16" s="156" customFormat="1" ht="13.5" thickBot="1">
      <c r="A17" s="360"/>
      <c r="B17" s="365"/>
      <c r="C17" s="366"/>
      <c r="D17" s="366"/>
      <c r="E17" s="367"/>
      <c r="F17" s="367"/>
      <c r="G17" s="364"/>
      <c r="H17" s="364"/>
      <c r="I17" s="364"/>
      <c r="J17" s="364"/>
      <c r="K17" s="336"/>
      <c r="L17" s="336"/>
      <c r="M17" s="336"/>
      <c r="N17" s="336"/>
      <c r="O17" s="336"/>
      <c r="P17" s="336"/>
    </row>
    <row r="18" spans="1:16" s="156" customFormat="1" ht="13.5" thickBot="1">
      <c r="A18" s="355" t="s">
        <v>108</v>
      </c>
      <c r="B18" s="372"/>
      <c r="C18" s="373">
        <v>0.003</v>
      </c>
      <c r="D18" s="366"/>
      <c r="E18" s="367"/>
      <c r="F18" s="367"/>
      <c r="G18" s="364"/>
      <c r="H18" s="364"/>
      <c r="I18" s="364"/>
      <c r="J18" s="364"/>
      <c r="K18" s="336"/>
      <c r="L18" s="336"/>
      <c r="M18" s="336"/>
      <c r="N18" s="336"/>
      <c r="O18" s="336"/>
      <c r="P18" s="336"/>
    </row>
    <row r="19" spans="1:16" s="156" customFormat="1" ht="13.5" thickBot="1">
      <c r="A19" s="355" t="s">
        <v>109</v>
      </c>
      <c r="B19" s="374"/>
      <c r="C19" s="375">
        <v>0.00225</v>
      </c>
      <c r="D19" s="376"/>
      <c r="E19" s="377"/>
      <c r="F19" s="377"/>
      <c r="G19" s="364"/>
      <c r="H19" s="364"/>
      <c r="I19" s="364"/>
      <c r="J19" s="364"/>
      <c r="K19" s="336"/>
      <c r="L19" s="336"/>
      <c r="M19" s="336"/>
      <c r="N19" s="336"/>
      <c r="O19" s="336"/>
      <c r="P19" s="336"/>
    </row>
    <row r="20" spans="1:16" s="156" customFormat="1" ht="13.5" thickBot="1">
      <c r="A20" s="355" t="s">
        <v>112</v>
      </c>
      <c r="B20" s="374"/>
      <c r="C20" s="376">
        <v>0.0112</v>
      </c>
      <c r="D20" s="378"/>
      <c r="E20" s="379"/>
      <c r="F20" s="379"/>
      <c r="G20" s="359"/>
      <c r="H20" s="359"/>
      <c r="I20" s="359"/>
      <c r="J20" s="359"/>
      <c r="K20" s="336"/>
      <c r="L20" s="336"/>
      <c r="M20" s="336"/>
      <c r="N20" s="336"/>
      <c r="O20" s="336"/>
      <c r="P20" s="336"/>
    </row>
    <row r="21" spans="1:16" s="156" customFormat="1" ht="13.5" thickBot="1">
      <c r="A21" s="380" t="s">
        <v>325</v>
      </c>
      <c r="B21" s="381" t="s">
        <v>466</v>
      </c>
      <c r="C21" s="114">
        <v>5000000</v>
      </c>
      <c r="D21" s="378"/>
      <c r="E21" s="379"/>
      <c r="F21" s="379"/>
      <c r="G21" s="359"/>
      <c r="H21" s="359"/>
      <c r="I21" s="359"/>
      <c r="J21" s="359"/>
      <c r="K21" s="336"/>
      <c r="L21" s="336"/>
      <c r="M21" s="336"/>
      <c r="N21" s="336"/>
      <c r="O21" s="336"/>
      <c r="P21" s="336"/>
    </row>
    <row r="22" spans="1:16" s="156" customFormat="1" ht="13.5" thickBot="1">
      <c r="A22" s="380" t="s">
        <v>326</v>
      </c>
      <c r="B22" s="437" t="s">
        <v>467</v>
      </c>
      <c r="C22" s="115">
        <v>10000000</v>
      </c>
      <c r="D22" s="382"/>
      <c r="E22" s="383"/>
      <c r="F22" s="383"/>
      <c r="G22" s="359"/>
      <c r="H22" s="359"/>
      <c r="I22" s="359"/>
      <c r="J22" s="359"/>
      <c r="K22" s="336"/>
      <c r="L22" s="336"/>
      <c r="M22" s="336"/>
      <c r="N22" s="336"/>
      <c r="O22" s="336"/>
      <c r="P22" s="336"/>
    </row>
    <row r="23" spans="1:16" s="156" customFormat="1" ht="41.25" customHeight="1">
      <c r="A23" s="470" t="s">
        <v>478</v>
      </c>
      <c r="B23" s="471"/>
      <c r="C23" s="471"/>
      <c r="D23" s="471"/>
      <c r="E23" s="471"/>
      <c r="F23" s="471"/>
      <c r="G23" s="384"/>
      <c r="H23" s="439"/>
      <c r="I23" s="359"/>
      <c r="J23" s="359"/>
      <c r="K23" s="336"/>
      <c r="L23" s="336"/>
      <c r="M23" s="336"/>
      <c r="N23" s="336"/>
      <c r="O23" s="336"/>
      <c r="P23" s="336"/>
    </row>
    <row r="24" spans="1:16" s="156" customFormat="1" ht="12.75">
      <c r="A24" s="385"/>
      <c r="B24" s="386"/>
      <c r="C24" s="386"/>
      <c r="D24" s="386"/>
      <c r="E24" s="386"/>
      <c r="F24" s="386"/>
      <c r="G24" s="359"/>
      <c r="H24" s="359"/>
      <c r="I24" s="359"/>
      <c r="J24" s="359"/>
      <c r="K24" s="336"/>
      <c r="L24" s="336"/>
      <c r="M24" s="336"/>
      <c r="N24" s="336"/>
      <c r="O24" s="336"/>
      <c r="P24" s="336"/>
    </row>
    <row r="25" spans="1:16" s="156" customFormat="1" ht="12.75">
      <c r="A25" s="387"/>
      <c r="B25" s="388"/>
      <c r="C25" s="389"/>
      <c r="D25" s="335"/>
      <c r="E25" s="335"/>
      <c r="F25" s="341" t="s">
        <v>331</v>
      </c>
      <c r="G25" s="359"/>
      <c r="H25" s="359"/>
      <c r="I25" s="359"/>
      <c r="J25" s="359"/>
      <c r="K25" s="336"/>
      <c r="L25" s="336"/>
      <c r="M25" s="336"/>
      <c r="N25" s="336"/>
      <c r="O25" s="336"/>
      <c r="P25" s="336"/>
    </row>
    <row r="26" spans="1:16" s="156" customFormat="1" ht="13.5" thickBot="1">
      <c r="A26" s="478" t="s">
        <v>648</v>
      </c>
      <c r="B26" s="479"/>
      <c r="C26" s="479"/>
      <c r="D26" s="479"/>
      <c r="E26" s="479"/>
      <c r="F26" s="479"/>
      <c r="G26" s="359"/>
      <c r="H26" s="359"/>
      <c r="I26" s="359"/>
      <c r="J26" s="359"/>
      <c r="K26" s="336"/>
      <c r="L26" s="336"/>
      <c r="M26" s="336"/>
      <c r="N26" s="336"/>
      <c r="O26" s="336"/>
      <c r="P26" s="336"/>
    </row>
    <row r="27" spans="1:16" s="156" customFormat="1" ht="12.75">
      <c r="A27" s="343" t="s">
        <v>111</v>
      </c>
      <c r="B27" s="344"/>
      <c r="C27" s="144">
        <v>0</v>
      </c>
      <c r="D27" s="144">
        <v>250001</v>
      </c>
      <c r="E27" s="144">
        <v>400001</v>
      </c>
      <c r="F27" s="118"/>
      <c r="G27" s="359"/>
      <c r="H27" s="359"/>
      <c r="I27" s="359"/>
      <c r="J27" s="359"/>
      <c r="K27" s="336"/>
      <c r="L27" s="336"/>
      <c r="M27" s="336"/>
      <c r="N27" s="336"/>
      <c r="O27" s="336"/>
      <c r="P27" s="336"/>
    </row>
    <row r="28" spans="1:16" s="156" customFormat="1" ht="12.75">
      <c r="A28" s="348" t="s">
        <v>434</v>
      </c>
      <c r="B28" s="349"/>
      <c r="C28" s="145" t="s">
        <v>110</v>
      </c>
      <c r="D28" s="145" t="s">
        <v>110</v>
      </c>
      <c r="E28" s="145" t="s">
        <v>110</v>
      </c>
      <c r="F28" s="146" t="s">
        <v>484</v>
      </c>
      <c r="G28" s="359"/>
      <c r="H28" s="359"/>
      <c r="I28" s="359"/>
      <c r="J28" s="359"/>
      <c r="K28" s="336"/>
      <c r="L28" s="336"/>
      <c r="M28" s="336"/>
      <c r="N28" s="336"/>
      <c r="O28" s="336"/>
      <c r="P28" s="336"/>
    </row>
    <row r="29" spans="1:16" s="156" customFormat="1" ht="13.5" thickBot="1">
      <c r="A29" s="348"/>
      <c r="B29" s="349" t="s">
        <v>115</v>
      </c>
      <c r="C29" s="147">
        <v>250000</v>
      </c>
      <c r="D29" s="147">
        <v>400000</v>
      </c>
      <c r="E29" s="147">
        <v>1128000</v>
      </c>
      <c r="F29" s="119"/>
      <c r="G29" s="359"/>
      <c r="H29" s="359"/>
      <c r="I29" s="359"/>
      <c r="J29" s="359"/>
      <c r="K29" s="336"/>
      <c r="L29" s="336"/>
      <c r="M29" s="336"/>
      <c r="N29" s="336"/>
      <c r="O29" s="336"/>
      <c r="P29" s="336"/>
    </row>
    <row r="30" spans="1:16" s="156" customFormat="1" ht="13.5" thickBot="1">
      <c r="A30" s="355" t="s">
        <v>107</v>
      </c>
      <c r="B30" s="356"/>
      <c r="C30" s="357"/>
      <c r="D30" s="357"/>
      <c r="E30" s="358"/>
      <c r="F30" s="358"/>
      <c r="G30" s="359"/>
      <c r="H30" s="359"/>
      <c r="I30" s="359"/>
      <c r="J30" s="359"/>
      <c r="K30" s="336"/>
      <c r="L30" s="336"/>
      <c r="M30" s="336"/>
      <c r="N30" s="336"/>
      <c r="O30" s="336"/>
      <c r="P30" s="336"/>
    </row>
    <row r="31" spans="1:16" s="156" customFormat="1" ht="13.5" thickBot="1">
      <c r="A31" s="360" t="s">
        <v>114</v>
      </c>
      <c r="B31" s="361">
        <v>2004</v>
      </c>
      <c r="C31" s="362"/>
      <c r="D31" s="362"/>
      <c r="E31" s="363"/>
      <c r="F31" s="363"/>
      <c r="G31" s="359"/>
      <c r="H31" s="359"/>
      <c r="I31" s="359"/>
      <c r="J31" s="359"/>
      <c r="K31" s="336"/>
      <c r="L31" s="336"/>
      <c r="M31" s="336"/>
      <c r="N31" s="336"/>
      <c r="O31" s="336"/>
      <c r="P31" s="336"/>
    </row>
    <row r="32" spans="1:16" s="156" customFormat="1" ht="13.5" thickBot="1">
      <c r="A32" s="360" t="s">
        <v>292</v>
      </c>
      <c r="B32" s="361"/>
      <c r="C32" s="366">
        <v>0.1312</v>
      </c>
      <c r="D32" s="366">
        <v>0.2212</v>
      </c>
      <c r="E32" s="367">
        <v>0.2212</v>
      </c>
      <c r="F32" s="367">
        <v>0.2212</v>
      </c>
      <c r="G32" s="359"/>
      <c r="H32" s="359"/>
      <c r="I32" s="359"/>
      <c r="J32" s="359"/>
      <c r="K32" s="336"/>
      <c r="L32" s="336"/>
      <c r="M32" s="336"/>
      <c r="N32" s="336"/>
      <c r="O32" s="336"/>
      <c r="P32" s="336"/>
    </row>
    <row r="33" spans="1:16" s="156" customFormat="1" ht="13.5" thickBot="1">
      <c r="A33" s="360" t="s">
        <v>29</v>
      </c>
      <c r="B33" s="361"/>
      <c r="C33" s="368">
        <v>0.055</v>
      </c>
      <c r="D33" s="368">
        <v>0.055</v>
      </c>
      <c r="E33" s="369">
        <v>0.0975</v>
      </c>
      <c r="F33" s="369">
        <v>0.14</v>
      </c>
      <c r="G33" s="359"/>
      <c r="H33" s="359"/>
      <c r="I33" s="359"/>
      <c r="J33" s="359"/>
      <c r="K33" s="336"/>
      <c r="L33" s="336"/>
      <c r="M33" s="336"/>
      <c r="N33" s="336"/>
      <c r="O33" s="336"/>
      <c r="P33" s="336"/>
    </row>
    <row r="34" spans="1:16" s="156" customFormat="1" ht="13.5" thickBot="1">
      <c r="A34" s="360" t="s">
        <v>253</v>
      </c>
      <c r="B34" s="361"/>
      <c r="C34" s="370">
        <f>SUM(C32:C33)</f>
        <v>0.1862</v>
      </c>
      <c r="D34" s="370">
        <f>SUM(D32:D33)</f>
        <v>0.2762</v>
      </c>
      <c r="E34" s="371">
        <f>SUM(E32:E33)</f>
        <v>0.3187</v>
      </c>
      <c r="F34" s="371">
        <f>SUM(F32:F33)</f>
        <v>0.3612</v>
      </c>
      <c r="G34" s="359"/>
      <c r="H34" s="359"/>
      <c r="I34" s="359"/>
      <c r="J34" s="359"/>
      <c r="K34" s="336"/>
      <c r="L34" s="336"/>
      <c r="M34" s="336"/>
      <c r="N34" s="336"/>
      <c r="O34" s="336"/>
      <c r="P34" s="336"/>
    </row>
    <row r="35" spans="1:16" s="156" customFormat="1" ht="13.5" thickBot="1">
      <c r="A35" s="360"/>
      <c r="B35" s="361"/>
      <c r="C35" s="366"/>
      <c r="D35" s="366"/>
      <c r="E35" s="367"/>
      <c r="F35" s="367"/>
      <c r="G35" s="359"/>
      <c r="H35" s="359"/>
      <c r="I35" s="359"/>
      <c r="J35" s="359"/>
      <c r="K35" s="336"/>
      <c r="L35" s="336"/>
      <c r="M35" s="336"/>
      <c r="N35" s="336"/>
      <c r="O35" s="336"/>
      <c r="P35" s="336"/>
    </row>
    <row r="36" spans="1:16" s="156" customFormat="1" ht="13.5" thickBot="1">
      <c r="A36" s="355" t="s">
        <v>108</v>
      </c>
      <c r="B36" s="361"/>
      <c r="C36" s="373">
        <v>0.003</v>
      </c>
      <c r="D36" s="366"/>
      <c r="E36" s="367"/>
      <c r="F36" s="367"/>
      <c r="G36" s="359"/>
      <c r="H36" s="359"/>
      <c r="I36" s="359"/>
      <c r="J36" s="359"/>
      <c r="K36" s="336"/>
      <c r="L36" s="336"/>
      <c r="M36" s="336"/>
      <c r="N36" s="336"/>
      <c r="O36" s="336"/>
      <c r="P36" s="336"/>
    </row>
    <row r="37" spans="1:16" s="156" customFormat="1" ht="13.5" thickBot="1">
      <c r="A37" s="355" t="s">
        <v>109</v>
      </c>
      <c r="B37" s="361"/>
      <c r="C37" s="375">
        <v>0.002</v>
      </c>
      <c r="D37" s="376"/>
      <c r="E37" s="377"/>
      <c r="F37" s="377"/>
      <c r="G37" s="359"/>
      <c r="H37" s="359"/>
      <c r="I37" s="359"/>
      <c r="J37" s="359"/>
      <c r="K37" s="336"/>
      <c r="L37" s="336"/>
      <c r="M37" s="336"/>
      <c r="N37" s="336"/>
      <c r="O37" s="336"/>
      <c r="P37" s="336"/>
    </row>
    <row r="38" spans="1:16" s="156" customFormat="1" ht="13.5" thickBot="1">
      <c r="A38" s="355" t="s">
        <v>112</v>
      </c>
      <c r="B38" s="361"/>
      <c r="C38" s="376">
        <v>0.0112</v>
      </c>
      <c r="D38" s="378"/>
      <c r="E38" s="379"/>
      <c r="F38" s="379"/>
      <c r="G38" s="359"/>
      <c r="H38" s="359"/>
      <c r="I38" s="359"/>
      <c r="J38" s="359"/>
      <c r="K38" s="336"/>
      <c r="L38" s="336"/>
      <c r="M38" s="336"/>
      <c r="N38" s="336"/>
      <c r="O38" s="336"/>
      <c r="P38" s="336"/>
    </row>
    <row r="39" spans="1:16" s="156" customFormat="1" ht="13.5" thickBot="1">
      <c r="A39" s="436" t="s">
        <v>649</v>
      </c>
      <c r="B39" s="381" t="s">
        <v>466</v>
      </c>
      <c r="C39" s="114">
        <v>5000000</v>
      </c>
      <c r="D39" s="378"/>
      <c r="E39" s="379"/>
      <c r="F39" s="379"/>
      <c r="G39" s="359"/>
      <c r="H39" s="359"/>
      <c r="I39" s="359"/>
      <c r="J39" s="359"/>
      <c r="K39" s="336"/>
      <c r="L39" s="336"/>
      <c r="M39" s="336"/>
      <c r="N39" s="336"/>
      <c r="O39" s="336"/>
      <c r="P39" s="336"/>
    </row>
    <row r="40" spans="1:16" s="156" customFormat="1" ht="13.5" thickBot="1">
      <c r="A40" s="436" t="s">
        <v>650</v>
      </c>
      <c r="B40" s="437" t="s">
        <v>651</v>
      </c>
      <c r="C40" s="114">
        <v>50000000</v>
      </c>
      <c r="D40" s="382"/>
      <c r="E40" s="383"/>
      <c r="F40" s="383"/>
      <c r="G40" s="359"/>
      <c r="H40" s="359"/>
      <c r="I40" s="359"/>
      <c r="J40" s="359"/>
      <c r="K40" s="336"/>
      <c r="L40" s="336"/>
      <c r="M40" s="336"/>
      <c r="N40" s="336"/>
      <c r="O40" s="336"/>
      <c r="P40" s="336"/>
    </row>
    <row r="41" spans="1:16" s="156" customFormat="1" ht="12.75">
      <c r="A41" s="472" t="s">
        <v>328</v>
      </c>
      <c r="B41" s="471"/>
      <c r="C41" s="471"/>
      <c r="D41" s="471"/>
      <c r="E41" s="471"/>
      <c r="F41" s="471"/>
      <c r="G41" s="359"/>
      <c r="H41" s="359"/>
      <c r="I41" s="359"/>
      <c r="J41" s="359"/>
      <c r="K41" s="336"/>
      <c r="L41" s="336"/>
      <c r="M41" s="336"/>
      <c r="N41" s="336"/>
      <c r="O41" s="336"/>
      <c r="P41" s="336"/>
    </row>
    <row r="42" spans="1:16" s="156" customFormat="1" ht="23.25" customHeight="1">
      <c r="A42" s="473"/>
      <c r="B42" s="473"/>
      <c r="C42" s="473"/>
      <c r="D42" s="473"/>
      <c r="E42" s="473"/>
      <c r="F42" s="473"/>
      <c r="G42" s="359"/>
      <c r="H42" s="359"/>
      <c r="I42" s="359"/>
      <c r="J42" s="359"/>
      <c r="K42" s="336"/>
      <c r="L42" s="336"/>
      <c r="M42" s="336"/>
      <c r="N42" s="336"/>
      <c r="O42" s="336"/>
      <c r="P42" s="336"/>
    </row>
    <row r="43" spans="1:16" s="156" customFormat="1" ht="12.75">
      <c r="A43" s="387"/>
      <c r="B43" s="388"/>
      <c r="C43" s="390"/>
      <c r="D43" s="388"/>
      <c r="E43" s="388"/>
      <c r="F43" s="341" t="s">
        <v>332</v>
      </c>
      <c r="G43" s="359"/>
      <c r="H43" s="359"/>
      <c r="I43" s="359"/>
      <c r="J43" s="359"/>
      <c r="K43" s="336"/>
      <c r="L43" s="336"/>
      <c r="M43" s="336"/>
      <c r="N43" s="336"/>
      <c r="O43" s="336"/>
      <c r="P43" s="336"/>
    </row>
    <row r="44" spans="1:16" s="156" customFormat="1" ht="13.5" thickBot="1">
      <c r="A44" s="126" t="s">
        <v>485</v>
      </c>
      <c r="B44" s="116"/>
      <c r="C44" s="117"/>
      <c r="D44" s="116"/>
      <c r="E44" s="335"/>
      <c r="F44" s="342"/>
      <c r="G44" s="359"/>
      <c r="H44" s="359"/>
      <c r="I44" s="359"/>
      <c r="J44" s="359"/>
      <c r="K44" s="336"/>
      <c r="L44" s="336"/>
      <c r="M44" s="336"/>
      <c r="N44" s="336"/>
      <c r="O44" s="336"/>
      <c r="P44" s="336"/>
    </row>
    <row r="45" spans="1:16" s="156" customFormat="1" ht="12.75">
      <c r="A45" s="343" t="s">
        <v>111</v>
      </c>
      <c r="B45" s="344"/>
      <c r="C45" s="144">
        <v>0</v>
      </c>
      <c r="D45" s="144">
        <v>250001</v>
      </c>
      <c r="E45" s="144">
        <v>400001</v>
      </c>
      <c r="F45" s="118"/>
      <c r="G45" s="347"/>
      <c r="H45" s="347"/>
      <c r="I45" s="347"/>
      <c r="J45" s="347"/>
      <c r="K45" s="336"/>
      <c r="L45" s="336"/>
      <c r="M45" s="336"/>
      <c r="N45" s="336"/>
      <c r="O45" s="336"/>
      <c r="P45" s="336"/>
    </row>
    <row r="46" spans="1:16" s="156" customFormat="1" ht="12.75">
      <c r="A46" s="348"/>
      <c r="B46" s="349"/>
      <c r="C46" s="145" t="s">
        <v>110</v>
      </c>
      <c r="D46" s="145" t="s">
        <v>110</v>
      </c>
      <c r="E46" s="145" t="s">
        <v>110</v>
      </c>
      <c r="F46" s="146" t="s">
        <v>484</v>
      </c>
      <c r="G46" s="352"/>
      <c r="H46" s="352"/>
      <c r="I46" s="352"/>
      <c r="J46" s="352"/>
      <c r="K46" s="336"/>
      <c r="L46" s="339"/>
      <c r="M46" s="339"/>
      <c r="N46" s="339"/>
      <c r="O46" s="339"/>
      <c r="P46" s="339"/>
    </row>
    <row r="47" spans="1:16" s="156" customFormat="1" ht="13.5" thickBot="1">
      <c r="A47" s="348"/>
      <c r="B47" s="391" t="s">
        <v>115</v>
      </c>
      <c r="C47" s="147">
        <v>250000</v>
      </c>
      <c r="D47" s="147">
        <v>400000</v>
      </c>
      <c r="E47" s="147">
        <v>1128000</v>
      </c>
      <c r="F47" s="119"/>
      <c r="G47" s="347"/>
      <c r="H47" s="347"/>
      <c r="I47" s="347"/>
      <c r="J47" s="347"/>
      <c r="K47" s="336"/>
      <c r="L47" s="339"/>
      <c r="M47" s="339"/>
      <c r="N47" s="339"/>
      <c r="O47" s="339"/>
      <c r="P47" s="339"/>
    </row>
    <row r="48" spans="1:16" s="156" customFormat="1" ht="13.5" thickBot="1">
      <c r="A48" s="355" t="s">
        <v>107</v>
      </c>
      <c r="B48" s="356"/>
      <c r="C48" s="357"/>
      <c r="D48" s="357"/>
      <c r="E48" s="358"/>
      <c r="F48" s="358"/>
      <c r="G48" s="347"/>
      <c r="H48" s="347"/>
      <c r="I48" s="347"/>
      <c r="J48" s="347"/>
      <c r="K48" s="336"/>
      <c r="L48" s="339"/>
      <c r="M48" s="339"/>
      <c r="N48" s="339"/>
      <c r="O48" s="339"/>
      <c r="P48" s="339"/>
    </row>
    <row r="49" spans="1:16" s="156" customFormat="1" ht="13.5" thickBot="1">
      <c r="A49" s="360" t="s">
        <v>114</v>
      </c>
      <c r="B49" s="361">
        <v>2004</v>
      </c>
      <c r="C49" s="362"/>
      <c r="D49" s="362"/>
      <c r="E49" s="363"/>
      <c r="F49" s="363"/>
      <c r="G49" s="347"/>
      <c r="H49" s="347"/>
      <c r="I49" s="347"/>
      <c r="J49" s="347"/>
      <c r="K49" s="336"/>
      <c r="L49" s="339"/>
      <c r="M49" s="339"/>
      <c r="N49" s="339"/>
      <c r="O49" s="339"/>
      <c r="P49" s="339"/>
    </row>
    <row r="50" spans="1:16" s="156" customFormat="1" ht="13.5" thickBot="1">
      <c r="A50" s="360" t="s">
        <v>292</v>
      </c>
      <c r="B50" s="365"/>
      <c r="C50" s="108">
        <v>0.1312</v>
      </c>
      <c r="D50" s="108">
        <v>0.2212</v>
      </c>
      <c r="E50" s="109">
        <v>0.2229</v>
      </c>
      <c r="F50" s="109">
        <v>0.2212</v>
      </c>
      <c r="G50" s="347"/>
      <c r="H50" s="347"/>
      <c r="I50" s="347"/>
      <c r="J50" s="347"/>
      <c r="K50" s="336"/>
      <c r="L50" s="339"/>
      <c r="M50" s="339"/>
      <c r="N50" s="339"/>
      <c r="O50" s="339"/>
      <c r="P50" s="339"/>
    </row>
    <row r="51" spans="1:16" s="156" customFormat="1" ht="13.5" thickBot="1">
      <c r="A51" s="360" t="s">
        <v>29</v>
      </c>
      <c r="B51" s="365"/>
      <c r="C51" s="110">
        <v>0.055</v>
      </c>
      <c r="D51" s="110">
        <v>0.055</v>
      </c>
      <c r="E51" s="438">
        <v>0.1377</v>
      </c>
      <c r="F51" s="438">
        <v>0.14</v>
      </c>
      <c r="G51" s="347"/>
      <c r="H51" s="347"/>
      <c r="I51" s="347"/>
      <c r="J51" s="347"/>
      <c r="K51" s="336"/>
      <c r="L51" s="339"/>
      <c r="M51" s="339"/>
      <c r="N51" s="339"/>
      <c r="O51" s="339"/>
      <c r="P51" s="339"/>
    </row>
    <row r="52" spans="1:16" s="156" customFormat="1" ht="13.5" thickBot="1">
      <c r="A52" s="360" t="s">
        <v>253</v>
      </c>
      <c r="B52" s="365"/>
      <c r="C52" s="370">
        <f>SUM(C50:C51)</f>
        <v>0.1862</v>
      </c>
      <c r="D52" s="370">
        <f>SUM(D50:D51)</f>
        <v>0.2762</v>
      </c>
      <c r="E52" s="370">
        <f>SUM(E50:E51)</f>
        <v>0.3606</v>
      </c>
      <c r="F52" s="370">
        <f>SUM(F50:F51)</f>
        <v>0.3612</v>
      </c>
      <c r="G52" s="347"/>
      <c r="H52" s="347"/>
      <c r="I52" s="347"/>
      <c r="J52" s="347"/>
      <c r="K52" s="336"/>
      <c r="L52" s="339"/>
      <c r="M52" s="339"/>
      <c r="N52" s="339"/>
      <c r="O52" s="339"/>
      <c r="P52" s="339"/>
    </row>
    <row r="53" spans="1:16" s="156" customFormat="1" ht="13.5" thickBot="1">
      <c r="A53" s="360"/>
      <c r="B53" s="365"/>
      <c r="C53" s="366"/>
      <c r="D53" s="366"/>
      <c r="E53" s="366"/>
      <c r="F53" s="366"/>
      <c r="G53" s="347"/>
      <c r="H53" s="347"/>
      <c r="I53" s="347"/>
      <c r="J53" s="347"/>
      <c r="K53" s="336"/>
      <c r="L53" s="339"/>
      <c r="M53" s="339"/>
      <c r="N53" s="339"/>
      <c r="O53" s="339"/>
      <c r="P53" s="339"/>
    </row>
    <row r="54" spans="1:16" s="156" customFormat="1" ht="13.5" thickBot="1">
      <c r="A54" s="355" t="s">
        <v>108</v>
      </c>
      <c r="B54" s="372"/>
      <c r="C54" s="111">
        <v>0.003</v>
      </c>
      <c r="D54" s="366"/>
      <c r="E54" s="366"/>
      <c r="F54" s="366"/>
      <c r="G54" s="347"/>
      <c r="H54" s="347"/>
      <c r="I54" s="347"/>
      <c r="J54" s="347"/>
      <c r="K54" s="336"/>
      <c r="L54" s="339"/>
      <c r="M54" s="339"/>
      <c r="N54" s="339"/>
      <c r="O54" s="339"/>
      <c r="P54" s="339"/>
    </row>
    <row r="55" spans="1:16" s="156" customFormat="1" ht="13.5" thickBot="1">
      <c r="A55" s="355" t="s">
        <v>109</v>
      </c>
      <c r="B55" s="374"/>
      <c r="C55" s="112">
        <v>0.002</v>
      </c>
      <c r="D55" s="366"/>
      <c r="E55" s="366"/>
      <c r="F55" s="366"/>
      <c r="G55" s="347"/>
      <c r="H55" s="347"/>
      <c r="I55" s="347"/>
      <c r="J55" s="347"/>
      <c r="K55" s="336"/>
      <c r="L55" s="339"/>
      <c r="M55" s="339"/>
      <c r="N55" s="339"/>
      <c r="O55" s="339"/>
      <c r="P55" s="339"/>
    </row>
    <row r="56" spans="1:16" s="156" customFormat="1" ht="13.5" thickBot="1">
      <c r="A56" s="355" t="s">
        <v>112</v>
      </c>
      <c r="B56" s="374"/>
      <c r="C56" s="113">
        <v>0.0112</v>
      </c>
      <c r="D56" s="366"/>
      <c r="E56" s="366"/>
      <c r="F56" s="366"/>
      <c r="G56" s="347"/>
      <c r="H56" s="347"/>
      <c r="I56" s="347"/>
      <c r="J56" s="347"/>
      <c r="K56" s="336"/>
      <c r="L56" s="339"/>
      <c r="M56" s="339"/>
      <c r="N56" s="339"/>
      <c r="O56" s="339"/>
      <c r="P56" s="339"/>
    </row>
    <row r="57" spans="1:16" s="156" customFormat="1" ht="13.5" thickBot="1">
      <c r="A57" s="380" t="s">
        <v>343</v>
      </c>
      <c r="B57" s="381" t="s">
        <v>466</v>
      </c>
      <c r="C57" s="114">
        <v>5000000</v>
      </c>
      <c r="D57" s="366"/>
      <c r="E57" s="366"/>
      <c r="F57" s="366"/>
      <c r="G57" s="347"/>
      <c r="H57" s="347"/>
      <c r="I57" s="347"/>
      <c r="J57" s="347"/>
      <c r="K57" s="336"/>
      <c r="L57" s="339"/>
      <c r="M57" s="339"/>
      <c r="N57" s="339"/>
      <c r="O57" s="339"/>
      <c r="P57" s="339"/>
    </row>
    <row r="58" spans="1:16" s="156" customFormat="1" ht="13.5" thickBot="1">
      <c r="A58" s="380" t="s">
        <v>344</v>
      </c>
      <c r="B58" s="437" t="s">
        <v>651</v>
      </c>
      <c r="C58" s="114">
        <v>50000000</v>
      </c>
      <c r="D58" s="366"/>
      <c r="E58" s="366"/>
      <c r="F58" s="366"/>
      <c r="G58" s="347"/>
      <c r="H58" s="347"/>
      <c r="I58" s="347"/>
      <c r="J58" s="347"/>
      <c r="K58" s="336"/>
      <c r="L58" s="339"/>
      <c r="M58" s="339"/>
      <c r="N58" s="339"/>
      <c r="O58" s="339"/>
      <c r="P58" s="339"/>
    </row>
    <row r="59" spans="1:16" s="156" customFormat="1" ht="12.75">
      <c r="A59" s="470" t="s">
        <v>345</v>
      </c>
      <c r="B59" s="474"/>
      <c r="C59" s="474"/>
      <c r="D59" s="474"/>
      <c r="E59" s="474"/>
      <c r="F59" s="474"/>
      <c r="G59" s="359"/>
      <c r="H59" s="359"/>
      <c r="I59" s="359"/>
      <c r="J59" s="359"/>
      <c r="K59" s="336"/>
      <c r="L59" s="336"/>
      <c r="M59" s="336"/>
      <c r="N59" s="336"/>
      <c r="O59" s="336"/>
      <c r="P59" s="336"/>
    </row>
    <row r="60" spans="1:16" s="156" customFormat="1" ht="25.5" customHeight="1">
      <c r="A60" s="475"/>
      <c r="B60" s="475"/>
      <c r="C60" s="475"/>
      <c r="D60" s="475"/>
      <c r="E60" s="475"/>
      <c r="F60" s="475"/>
      <c r="G60" s="347"/>
      <c r="H60" s="347"/>
      <c r="I60" s="347"/>
      <c r="J60" s="347"/>
      <c r="K60" s="336"/>
      <c r="L60" s="336"/>
      <c r="M60" s="336"/>
      <c r="N60" s="336"/>
      <c r="O60" s="336"/>
      <c r="P60" s="336"/>
    </row>
    <row r="61" spans="1:16" s="156" customFormat="1" ht="12.75">
      <c r="A61" s="337"/>
      <c r="B61" s="338"/>
      <c r="C61" s="338"/>
      <c r="D61" s="338"/>
      <c r="E61" s="338"/>
      <c r="F61" s="392"/>
      <c r="G61" s="352"/>
      <c r="H61" s="352"/>
      <c r="I61" s="352"/>
      <c r="J61" s="352"/>
      <c r="K61" s="336"/>
      <c r="L61" s="336"/>
      <c r="M61" s="336"/>
      <c r="N61" s="336"/>
      <c r="O61" s="336"/>
      <c r="P61" s="336"/>
    </row>
    <row r="62" spans="1:16" s="156" customFormat="1" ht="12.75">
      <c r="A62" s="337"/>
      <c r="B62" s="338"/>
      <c r="C62" s="393"/>
      <c r="D62" s="393"/>
      <c r="E62" s="393"/>
      <c r="F62" s="394"/>
      <c r="G62" s="347"/>
      <c r="H62" s="347"/>
      <c r="I62" s="347"/>
      <c r="J62" s="347"/>
      <c r="K62" s="336"/>
      <c r="L62" s="336"/>
      <c r="M62" s="336"/>
      <c r="N62" s="336"/>
      <c r="O62" s="336"/>
      <c r="P62" s="336"/>
    </row>
    <row r="63" spans="1:16" s="156" customFormat="1" ht="12.75">
      <c r="A63" s="337"/>
      <c r="B63" s="335"/>
      <c r="C63" s="335"/>
      <c r="D63" s="335"/>
      <c r="E63" s="335"/>
      <c r="F63" s="335"/>
      <c r="G63" s="359"/>
      <c r="H63" s="359"/>
      <c r="I63" s="359"/>
      <c r="J63" s="359"/>
      <c r="K63" s="336"/>
      <c r="L63" s="336"/>
      <c r="M63" s="336"/>
      <c r="N63" s="336"/>
      <c r="O63" s="336"/>
      <c r="P63" s="336"/>
    </row>
    <row r="64" spans="1:16" s="156" customFormat="1" ht="64.5" customHeight="1">
      <c r="A64" s="395"/>
      <c r="B64" s="396"/>
      <c r="C64" s="397"/>
      <c r="D64" s="397"/>
      <c r="E64" s="397"/>
      <c r="F64" s="397"/>
      <c r="G64" s="364"/>
      <c r="H64" s="364"/>
      <c r="I64" s="364"/>
      <c r="J64" s="364"/>
      <c r="K64" s="336"/>
      <c r="L64" s="336"/>
      <c r="M64" s="336"/>
      <c r="N64" s="336"/>
      <c r="O64" s="336"/>
      <c r="P64" s="336"/>
    </row>
    <row r="65" spans="1:16" s="156" customFormat="1" ht="3.75" customHeight="1">
      <c r="A65" s="398"/>
      <c r="B65" s="388"/>
      <c r="C65" s="388"/>
      <c r="D65" s="388"/>
      <c r="E65" s="388"/>
      <c r="F65" s="388"/>
      <c r="G65" s="359"/>
      <c r="H65" s="359"/>
      <c r="I65" s="359"/>
      <c r="J65" s="359"/>
      <c r="K65" s="336"/>
      <c r="L65" s="336"/>
      <c r="M65" s="336"/>
      <c r="N65" s="336"/>
      <c r="O65" s="336"/>
      <c r="P65" s="336"/>
    </row>
    <row r="66" spans="1:16" s="156" customFormat="1" ht="12.75">
      <c r="A66" s="336"/>
      <c r="B66" s="399"/>
      <c r="C66" s="399"/>
      <c r="D66" s="399"/>
      <c r="E66" s="399"/>
      <c r="F66" s="399"/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16" s="156" customFormat="1" ht="12.75">
      <c r="A67" s="336"/>
      <c r="B67" s="399"/>
      <c r="C67" s="399"/>
      <c r="D67" s="399"/>
      <c r="E67" s="399"/>
      <c r="F67" s="399"/>
      <c r="G67" s="336"/>
      <c r="H67" s="336"/>
      <c r="I67" s="336"/>
      <c r="J67" s="336"/>
      <c r="K67" s="336"/>
      <c r="L67" s="336"/>
      <c r="M67" s="336"/>
      <c r="N67" s="336"/>
      <c r="O67" s="336"/>
      <c r="P67" s="336"/>
    </row>
    <row r="68" spans="1:16" s="156" customFormat="1" ht="12.75">
      <c r="A68" s="336"/>
      <c r="B68" s="399"/>
      <c r="C68" s="399"/>
      <c r="D68" s="399"/>
      <c r="E68" s="399"/>
      <c r="F68" s="399"/>
      <c r="G68" s="336"/>
      <c r="H68" s="336"/>
      <c r="I68" s="336"/>
      <c r="J68" s="336"/>
      <c r="K68" s="336"/>
      <c r="L68" s="336"/>
      <c r="M68" s="336"/>
      <c r="N68" s="336"/>
      <c r="O68" s="336"/>
      <c r="P68" s="336"/>
    </row>
    <row r="69" spans="1:16" s="156" customFormat="1" ht="12.75">
      <c r="A69" s="336"/>
      <c r="B69" s="399"/>
      <c r="C69" s="399"/>
      <c r="D69" s="399"/>
      <c r="E69" s="399"/>
      <c r="F69" s="399"/>
      <c r="G69" s="336"/>
      <c r="H69" s="336"/>
      <c r="I69" s="336"/>
      <c r="J69" s="336"/>
      <c r="K69" s="336"/>
      <c r="L69" s="336"/>
      <c r="M69" s="336"/>
      <c r="N69" s="336"/>
      <c r="O69" s="336"/>
      <c r="P69" s="336"/>
    </row>
    <row r="70" spans="1:16" s="156" customFormat="1" ht="12.75">
      <c r="A70" s="336"/>
      <c r="B70" s="399"/>
      <c r="C70" s="399"/>
      <c r="D70" s="399"/>
      <c r="E70" s="399"/>
      <c r="F70" s="399"/>
      <c r="G70" s="336"/>
      <c r="H70" s="336"/>
      <c r="I70" s="336"/>
      <c r="J70" s="336"/>
      <c r="K70" s="336"/>
      <c r="L70" s="336"/>
      <c r="M70" s="336"/>
      <c r="N70" s="336"/>
      <c r="O70" s="336"/>
      <c r="P70" s="336"/>
    </row>
    <row r="71" spans="1:16" s="156" customFormat="1" ht="12.75">
      <c r="A71" s="336"/>
      <c r="B71" s="399"/>
      <c r="C71" s="399"/>
      <c r="D71" s="399"/>
      <c r="E71" s="399"/>
      <c r="F71" s="399"/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16" s="156" customFormat="1" ht="12.75">
      <c r="A72" s="336"/>
      <c r="B72" s="399"/>
      <c r="C72" s="399"/>
      <c r="D72" s="399"/>
      <c r="E72" s="399"/>
      <c r="F72" s="399"/>
      <c r="G72" s="336"/>
      <c r="H72" s="336"/>
      <c r="I72" s="336"/>
      <c r="J72" s="336"/>
      <c r="K72" s="336"/>
      <c r="L72" s="336"/>
      <c r="M72" s="336"/>
      <c r="N72" s="336"/>
      <c r="O72" s="336"/>
      <c r="P72" s="336"/>
    </row>
    <row r="73" spans="1:16" s="156" customFormat="1" ht="12.75">
      <c r="A73" s="336"/>
      <c r="B73" s="399"/>
      <c r="C73" s="399"/>
      <c r="D73" s="399"/>
      <c r="E73" s="399"/>
      <c r="F73" s="399"/>
      <c r="G73" s="336"/>
      <c r="H73" s="336"/>
      <c r="I73" s="336"/>
      <c r="J73" s="336"/>
      <c r="K73" s="336"/>
      <c r="L73" s="336"/>
      <c r="M73" s="336"/>
      <c r="N73" s="336"/>
      <c r="O73" s="336"/>
      <c r="P73" s="336"/>
    </row>
    <row r="74" spans="1:16" s="156" customFormat="1" ht="12.75">
      <c r="A74" s="336"/>
      <c r="B74" s="399"/>
      <c r="C74" s="399"/>
      <c r="D74" s="399"/>
      <c r="E74" s="399"/>
      <c r="F74" s="399"/>
      <c r="G74" s="336"/>
      <c r="H74" s="336"/>
      <c r="I74" s="336"/>
      <c r="J74" s="336"/>
      <c r="K74" s="336"/>
      <c r="L74" s="336"/>
      <c r="M74" s="336"/>
      <c r="N74" s="336"/>
      <c r="O74" s="336"/>
      <c r="P74" s="336"/>
    </row>
    <row r="75" spans="1:16" s="156" customFormat="1" ht="12.75">
      <c r="A75" s="336"/>
      <c r="B75" s="399"/>
      <c r="C75" s="399"/>
      <c r="D75" s="399"/>
      <c r="E75" s="399"/>
      <c r="F75" s="399"/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1:16" s="156" customFormat="1" ht="12.75">
      <c r="A76" s="336"/>
      <c r="B76" s="399"/>
      <c r="C76" s="399"/>
      <c r="D76" s="399"/>
      <c r="E76" s="399"/>
      <c r="F76" s="399"/>
      <c r="G76" s="336"/>
      <c r="H76" s="336"/>
      <c r="I76" s="336"/>
      <c r="J76" s="336"/>
      <c r="K76" s="336"/>
      <c r="L76" s="336"/>
      <c r="M76" s="336"/>
      <c r="N76" s="336"/>
      <c r="O76" s="336"/>
      <c r="P76" s="336"/>
    </row>
    <row r="77" spans="1:16" s="156" customFormat="1" ht="12.75">
      <c r="A77" s="336"/>
      <c r="B77" s="399"/>
      <c r="C77" s="399"/>
      <c r="D77" s="399"/>
      <c r="E77" s="399"/>
      <c r="F77" s="399"/>
      <c r="G77" s="336"/>
      <c r="H77" s="336"/>
      <c r="I77" s="336"/>
      <c r="J77" s="336"/>
      <c r="K77" s="336"/>
      <c r="L77" s="336"/>
      <c r="M77" s="336"/>
      <c r="N77" s="336"/>
      <c r="O77" s="336"/>
      <c r="P77" s="336"/>
    </row>
    <row r="78" spans="1:16" s="156" customFormat="1" ht="12.75">
      <c r="A78" s="336"/>
      <c r="B78" s="399"/>
      <c r="C78" s="399"/>
      <c r="D78" s="399"/>
      <c r="E78" s="399"/>
      <c r="F78" s="399"/>
      <c r="G78" s="336"/>
      <c r="H78" s="336"/>
      <c r="I78" s="336"/>
      <c r="J78" s="336"/>
      <c r="K78" s="336"/>
      <c r="L78" s="336"/>
      <c r="M78" s="336"/>
      <c r="N78" s="336"/>
      <c r="O78" s="336"/>
      <c r="P78" s="336"/>
    </row>
    <row r="79" spans="1:16" s="156" customFormat="1" ht="12.75">
      <c r="A79" s="336"/>
      <c r="B79" s="399"/>
      <c r="C79" s="399"/>
      <c r="D79" s="399"/>
      <c r="E79" s="399"/>
      <c r="F79" s="399"/>
      <c r="G79" s="336"/>
      <c r="H79" s="336"/>
      <c r="I79" s="336"/>
      <c r="J79" s="336"/>
      <c r="K79" s="336"/>
      <c r="L79" s="336"/>
      <c r="M79" s="336"/>
      <c r="N79" s="336"/>
      <c r="O79" s="336"/>
      <c r="P79" s="336"/>
    </row>
    <row r="80" spans="1:16" s="156" customFormat="1" ht="12.75">
      <c r="A80" s="336"/>
      <c r="B80" s="399"/>
      <c r="C80" s="399"/>
      <c r="D80" s="399"/>
      <c r="E80" s="399"/>
      <c r="F80" s="399"/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16" s="156" customFormat="1" ht="12.75">
      <c r="A81" s="336"/>
      <c r="B81" s="399"/>
      <c r="C81" s="399"/>
      <c r="D81" s="399"/>
      <c r="E81" s="399"/>
      <c r="F81" s="399"/>
      <c r="G81" s="336"/>
      <c r="H81" s="336"/>
      <c r="I81" s="336"/>
      <c r="J81" s="336"/>
      <c r="K81" s="336"/>
      <c r="L81" s="336"/>
      <c r="M81" s="336"/>
      <c r="N81" s="336"/>
      <c r="O81" s="336"/>
      <c r="P81" s="336"/>
    </row>
    <row r="82" spans="1:16" s="156" customFormat="1" ht="12.75">
      <c r="A82" s="336"/>
      <c r="B82" s="399"/>
      <c r="C82" s="399"/>
      <c r="D82" s="399"/>
      <c r="E82" s="399"/>
      <c r="F82" s="399"/>
      <c r="G82" s="336"/>
      <c r="H82" s="336"/>
      <c r="I82" s="336"/>
      <c r="J82" s="336"/>
      <c r="K82" s="336"/>
      <c r="L82" s="336"/>
      <c r="M82" s="336"/>
      <c r="N82" s="336"/>
      <c r="O82" s="336"/>
      <c r="P82" s="336"/>
    </row>
    <row r="83" spans="1:16" s="156" customFormat="1" ht="12.75">
      <c r="A83" s="336"/>
      <c r="B83" s="399"/>
      <c r="C83" s="399"/>
      <c r="D83" s="399"/>
      <c r="E83" s="399"/>
      <c r="F83" s="399"/>
      <c r="G83" s="336"/>
      <c r="H83" s="336"/>
      <c r="I83" s="336"/>
      <c r="J83" s="336"/>
      <c r="K83" s="336"/>
      <c r="L83" s="336"/>
      <c r="M83" s="336"/>
      <c r="N83" s="336"/>
      <c r="O83" s="336"/>
      <c r="P83" s="336"/>
    </row>
    <row r="84" spans="1:16" s="156" customFormat="1" ht="12.75">
      <c r="A84" s="336"/>
      <c r="B84" s="399"/>
      <c r="C84" s="399"/>
      <c r="D84" s="399"/>
      <c r="E84" s="399"/>
      <c r="F84" s="399"/>
      <c r="G84" s="336"/>
      <c r="H84" s="336"/>
      <c r="I84" s="336"/>
      <c r="J84" s="336"/>
      <c r="K84" s="336"/>
      <c r="L84" s="336"/>
      <c r="M84" s="336"/>
      <c r="N84" s="336"/>
      <c r="O84" s="336"/>
      <c r="P84" s="336"/>
    </row>
    <row r="85" spans="1:16" s="156" customFormat="1" ht="12.75">
      <c r="A85" s="336"/>
      <c r="B85" s="399"/>
      <c r="C85" s="399"/>
      <c r="D85" s="399"/>
      <c r="E85" s="399"/>
      <c r="F85" s="399"/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16" s="156" customFormat="1" ht="12.75">
      <c r="A86" s="336"/>
      <c r="B86" s="399"/>
      <c r="C86" s="399"/>
      <c r="D86" s="399"/>
      <c r="E86" s="399"/>
      <c r="F86" s="399"/>
      <c r="G86" s="336"/>
      <c r="H86" s="336"/>
      <c r="I86" s="336"/>
      <c r="J86" s="336"/>
      <c r="K86" s="336"/>
      <c r="L86" s="336"/>
      <c r="M86" s="336"/>
      <c r="N86" s="336"/>
      <c r="O86" s="336"/>
      <c r="P86" s="336"/>
    </row>
    <row r="87" spans="1:16" s="156" customFormat="1" ht="12.75">
      <c r="A87" s="336"/>
      <c r="B87" s="399"/>
      <c r="C87" s="399"/>
      <c r="D87" s="399"/>
      <c r="E87" s="399"/>
      <c r="F87" s="399"/>
      <c r="G87" s="336"/>
      <c r="H87" s="336"/>
      <c r="I87" s="336"/>
      <c r="J87" s="336"/>
      <c r="K87" s="336"/>
      <c r="L87" s="336"/>
      <c r="M87" s="336"/>
      <c r="N87" s="336"/>
      <c r="O87" s="336"/>
      <c r="P87" s="336"/>
    </row>
    <row r="88" spans="1:16" s="156" customFormat="1" ht="12.75">
      <c r="A88" s="336"/>
      <c r="B88" s="399"/>
      <c r="C88" s="399"/>
      <c r="D88" s="399"/>
      <c r="E88" s="399"/>
      <c r="F88" s="399"/>
      <c r="G88" s="336"/>
      <c r="H88" s="336"/>
      <c r="I88" s="336"/>
      <c r="J88" s="336"/>
      <c r="K88" s="336"/>
      <c r="L88" s="336"/>
      <c r="M88" s="336"/>
      <c r="N88" s="336"/>
      <c r="O88" s="336"/>
      <c r="P88" s="336"/>
    </row>
    <row r="89" spans="1:16" s="156" customFormat="1" ht="12.75">
      <c r="A89" s="336"/>
      <c r="B89" s="399"/>
      <c r="C89" s="399"/>
      <c r="D89" s="399"/>
      <c r="E89" s="399"/>
      <c r="F89" s="399"/>
      <c r="G89" s="336"/>
      <c r="H89" s="336"/>
      <c r="I89" s="336"/>
      <c r="J89" s="336"/>
      <c r="K89" s="336"/>
      <c r="L89" s="336"/>
      <c r="M89" s="336"/>
      <c r="N89" s="336"/>
      <c r="O89" s="336"/>
      <c r="P89" s="336"/>
    </row>
    <row r="90" spans="1:16" s="156" customFormat="1" ht="12.75">
      <c r="A90" s="336"/>
      <c r="B90" s="399"/>
      <c r="C90" s="399"/>
      <c r="D90" s="399"/>
      <c r="E90" s="399"/>
      <c r="F90" s="399"/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16" s="156" customFormat="1" ht="12.75">
      <c r="A91" s="336"/>
      <c r="B91" s="399"/>
      <c r="C91" s="399"/>
      <c r="D91" s="399"/>
      <c r="E91" s="399"/>
      <c r="F91" s="399"/>
      <c r="G91" s="336"/>
      <c r="H91" s="336"/>
      <c r="I91" s="336"/>
      <c r="J91" s="336"/>
      <c r="K91" s="336"/>
      <c r="L91" s="336"/>
      <c r="M91" s="336"/>
      <c r="N91" s="336"/>
      <c r="O91" s="336"/>
      <c r="P91" s="336"/>
    </row>
    <row r="92" spans="1:16" s="156" customFormat="1" ht="12.75">
      <c r="A92" s="336"/>
      <c r="B92" s="399"/>
      <c r="C92" s="399"/>
      <c r="D92" s="399"/>
      <c r="E92" s="399"/>
      <c r="F92" s="399"/>
      <c r="G92" s="336"/>
      <c r="H92" s="336"/>
      <c r="I92" s="336"/>
      <c r="J92" s="336"/>
      <c r="K92" s="336"/>
      <c r="L92" s="336"/>
      <c r="M92" s="336"/>
      <c r="N92" s="336"/>
      <c r="O92" s="336"/>
      <c r="P92" s="336"/>
    </row>
    <row r="93" spans="1:16" s="156" customFormat="1" ht="12.75">
      <c r="A93" s="336"/>
      <c r="B93" s="399"/>
      <c r="C93" s="399"/>
      <c r="D93" s="399"/>
      <c r="E93" s="399"/>
      <c r="F93" s="399"/>
      <c r="G93" s="336"/>
      <c r="H93" s="336"/>
      <c r="I93" s="336"/>
      <c r="J93" s="336"/>
      <c r="K93" s="336"/>
      <c r="L93" s="336"/>
      <c r="M93" s="336"/>
      <c r="N93" s="336"/>
      <c r="O93" s="336"/>
      <c r="P93" s="336"/>
    </row>
    <row r="94" spans="1:16" s="156" customFormat="1" ht="12.75">
      <c r="A94" s="336"/>
      <c r="B94" s="399"/>
      <c r="C94" s="399"/>
      <c r="D94" s="399"/>
      <c r="E94" s="399"/>
      <c r="F94" s="399"/>
      <c r="G94" s="336"/>
      <c r="H94" s="336"/>
      <c r="I94" s="336"/>
      <c r="J94" s="336"/>
      <c r="K94" s="336"/>
      <c r="L94" s="336"/>
      <c r="M94" s="336"/>
      <c r="N94" s="336"/>
      <c r="O94" s="336"/>
      <c r="P94" s="336"/>
    </row>
    <row r="95" spans="1:16" s="156" customFormat="1" ht="12.75">
      <c r="A95" s="336"/>
      <c r="B95" s="399"/>
      <c r="C95" s="399"/>
      <c r="D95" s="399"/>
      <c r="E95" s="399"/>
      <c r="F95" s="399"/>
      <c r="G95" s="336"/>
      <c r="H95" s="336"/>
      <c r="I95" s="336"/>
      <c r="J95" s="336"/>
      <c r="K95" s="336"/>
      <c r="L95" s="336"/>
      <c r="M95" s="336"/>
      <c r="N95" s="336"/>
      <c r="O95" s="336"/>
      <c r="P95" s="336"/>
    </row>
    <row r="96" spans="1:16" s="156" customFormat="1" ht="12.75">
      <c r="A96" s="336"/>
      <c r="B96" s="399"/>
      <c r="C96" s="399"/>
      <c r="D96" s="399"/>
      <c r="E96" s="399"/>
      <c r="F96" s="399"/>
      <c r="G96" s="336"/>
      <c r="H96" s="336"/>
      <c r="I96" s="336"/>
      <c r="J96" s="336"/>
      <c r="K96" s="336"/>
      <c r="L96" s="336"/>
      <c r="M96" s="336"/>
      <c r="N96" s="336"/>
      <c r="O96" s="336"/>
      <c r="P96" s="336"/>
    </row>
    <row r="97" spans="1:16" s="156" customFormat="1" ht="12.75">
      <c r="A97" s="336"/>
      <c r="B97" s="399"/>
      <c r="C97" s="399"/>
      <c r="D97" s="399"/>
      <c r="E97" s="399"/>
      <c r="F97" s="399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1:6" s="156" customFormat="1" ht="12.75">
      <c r="A98" s="336"/>
      <c r="B98" s="399"/>
      <c r="C98" s="399"/>
      <c r="D98" s="399"/>
      <c r="E98" s="399"/>
      <c r="F98" s="399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7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191" customWidth="1"/>
    <col min="2" max="2" width="5.7109375" style="191" customWidth="1"/>
    <col min="3" max="3" width="15.7109375" style="191" customWidth="1"/>
    <col min="4" max="4" width="2.7109375" style="191" customWidth="1"/>
    <col min="5" max="5" width="15.7109375" style="191" customWidth="1"/>
    <col min="6" max="6" width="2.7109375" style="191" customWidth="1"/>
    <col min="7" max="7" width="15.7109375" style="191" customWidth="1"/>
    <col min="8" max="8" width="2.7109375" style="191" customWidth="1"/>
    <col min="9" max="9" width="15.7109375" style="191" customWidth="1"/>
    <col min="10" max="10" width="2.7109375" style="191" customWidth="1"/>
    <col min="11" max="11" width="15.7109375" style="191" customWidth="1"/>
    <col min="12" max="12" width="2.7109375" style="191" customWidth="1"/>
    <col min="13" max="13" width="15.7109375" style="191" customWidth="1"/>
    <col min="14" max="14" width="2.7109375" style="191" customWidth="1"/>
    <col min="15" max="15" width="15.7109375" style="191" customWidth="1"/>
    <col min="16" max="16" width="2.7109375" style="191" customWidth="1"/>
    <col min="17" max="16384" width="0" style="191" hidden="1" customWidth="1"/>
  </cols>
  <sheetData>
    <row r="1" spans="1:15" ht="12.75">
      <c r="A1" s="155" t="str">
        <f>REGINFO!A1</f>
        <v>PILs TAXES - EB-2008-381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2" s="156" customFormat="1" ht="12.75">
      <c r="A2" s="1" t="s">
        <v>452</v>
      </c>
      <c r="B2" s="1"/>
    </row>
    <row r="3" spans="1:15" s="156" customFormat="1" ht="12.75">
      <c r="A3" s="1" t="str">
        <f>REGINFO!A3</f>
        <v>Utility Name: PowerStream Inc. - Richmond Hill</v>
      </c>
      <c r="O3" s="400" t="str">
        <f>REGINFO!E1</f>
        <v>Version 2009.1</v>
      </c>
    </row>
    <row r="4" spans="1:15" s="156" customFormat="1" ht="12.75">
      <c r="A4" s="1" t="str">
        <f>REGINFO!A4</f>
        <v>Reporting period:  2004</v>
      </c>
      <c r="E4" s="401" t="s">
        <v>314</v>
      </c>
      <c r="F4" s="163"/>
      <c r="G4" s="163"/>
      <c r="H4" s="163"/>
      <c r="I4" s="163"/>
      <c r="O4" s="400">
        <f>REGINFO!E2</f>
        <v>0</v>
      </c>
    </row>
    <row r="5" spans="4:7" s="156" customFormat="1" ht="12.75">
      <c r="D5" s="182"/>
      <c r="E5" s="182"/>
      <c r="F5" s="182"/>
      <c r="G5" s="182"/>
    </row>
    <row r="6" spans="1:15" s="156" customFormat="1" ht="13.5" thickBo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</row>
    <row r="7" s="156" customFormat="1" ht="13.5" thickTop="1"/>
    <row r="8" spans="1:13" s="156" customFormat="1" ht="12.75">
      <c r="A8" s="1" t="s">
        <v>94</v>
      </c>
      <c r="C8" s="403">
        <v>37165</v>
      </c>
      <c r="E8" s="403">
        <v>37257</v>
      </c>
      <c r="G8" s="403">
        <v>37622</v>
      </c>
      <c r="I8" s="403">
        <v>37987</v>
      </c>
      <c r="K8" s="403">
        <v>38353</v>
      </c>
      <c r="M8" s="403">
        <v>38718</v>
      </c>
    </row>
    <row r="9" spans="1:15" s="156" customFormat="1" ht="12.75">
      <c r="A9" s="1" t="s">
        <v>95</v>
      </c>
      <c r="C9" s="404">
        <v>37256</v>
      </c>
      <c r="E9" s="404">
        <v>37621</v>
      </c>
      <c r="G9" s="404">
        <v>37986</v>
      </c>
      <c r="I9" s="404">
        <v>38352</v>
      </c>
      <c r="K9" s="404">
        <v>38717</v>
      </c>
      <c r="M9" s="404">
        <v>38837</v>
      </c>
      <c r="O9" s="405" t="s">
        <v>103</v>
      </c>
    </row>
    <row r="10" spans="1:8" s="156" customFormat="1" ht="12.75">
      <c r="A10" s="1"/>
      <c r="F10" s="182"/>
      <c r="H10" s="182"/>
    </row>
    <row r="11" spans="1:15" s="156" customFormat="1" ht="12.75">
      <c r="A11" s="329" t="s">
        <v>104</v>
      </c>
      <c r="B11" s="157" t="s">
        <v>188</v>
      </c>
      <c r="C11" s="420">
        <v>0</v>
      </c>
      <c r="D11" s="121"/>
      <c r="E11" s="123">
        <f>C27</f>
        <v>0</v>
      </c>
      <c r="F11" s="129"/>
      <c r="G11" s="123">
        <f>E27</f>
        <v>0</v>
      </c>
      <c r="H11" s="129"/>
      <c r="I11" s="123">
        <f>G27</f>
        <v>0</v>
      </c>
      <c r="J11" s="121"/>
      <c r="K11" s="123">
        <f>I27</f>
        <v>-61855.33385765007</v>
      </c>
      <c r="L11" s="121"/>
      <c r="M11" s="123">
        <f>K27</f>
        <v>-61855.33385765007</v>
      </c>
      <c r="N11" s="121"/>
      <c r="O11" s="123">
        <f>C11</f>
        <v>0</v>
      </c>
    </row>
    <row r="12" spans="1:15" s="156" customFormat="1" ht="12.75">
      <c r="A12" s="329" t="s">
        <v>392</v>
      </c>
      <c r="B12" s="313" t="s">
        <v>189</v>
      </c>
      <c r="C12" s="420"/>
      <c r="D12" s="121"/>
      <c r="E12" s="420"/>
      <c r="F12" s="129"/>
      <c r="G12" s="420"/>
      <c r="H12" s="129"/>
      <c r="I12" s="420"/>
      <c r="J12" s="121"/>
      <c r="K12" s="420"/>
      <c r="L12" s="121"/>
      <c r="M12" s="420"/>
      <c r="N12" s="121"/>
      <c r="O12" s="123">
        <f aca="true" t="shared" si="0" ref="O12:O25">SUM(C12:N12)</f>
        <v>0</v>
      </c>
    </row>
    <row r="13" spans="1:15" s="156" customFormat="1" ht="12.75" hidden="1">
      <c r="A13" s="419"/>
      <c r="B13" s="313"/>
      <c r="C13" s="420"/>
      <c r="D13" s="121"/>
      <c r="E13" s="420"/>
      <c r="F13" s="129"/>
      <c r="G13" s="420"/>
      <c r="H13" s="129"/>
      <c r="I13" s="420"/>
      <c r="J13" s="121"/>
      <c r="K13" s="420"/>
      <c r="L13" s="121"/>
      <c r="M13" s="420"/>
      <c r="N13" s="121"/>
      <c r="O13" s="123">
        <f t="shared" si="0"/>
        <v>0</v>
      </c>
    </row>
    <row r="14" spans="1:15" s="156" customFormat="1" ht="12.75">
      <c r="A14" s="329" t="s">
        <v>393</v>
      </c>
      <c r="B14" s="313" t="s">
        <v>189</v>
      </c>
      <c r="C14" s="420"/>
      <c r="D14" s="121"/>
      <c r="E14" s="420"/>
      <c r="F14" s="129"/>
      <c r="G14" s="420"/>
      <c r="H14" s="129"/>
      <c r="I14" s="420"/>
      <c r="J14" s="121"/>
      <c r="K14" s="420"/>
      <c r="L14" s="121"/>
      <c r="M14" s="420"/>
      <c r="N14" s="121"/>
      <c r="O14" s="123">
        <f t="shared" si="0"/>
        <v>0</v>
      </c>
    </row>
    <row r="15" spans="1:15" s="156" customFormat="1" ht="12.75" hidden="1">
      <c r="A15" s="419"/>
      <c r="B15" s="313"/>
      <c r="C15" s="420"/>
      <c r="D15" s="121"/>
      <c r="E15" s="420"/>
      <c r="F15" s="129"/>
      <c r="G15" s="420"/>
      <c r="H15" s="129"/>
      <c r="I15" s="420"/>
      <c r="J15" s="121"/>
      <c r="K15" s="420"/>
      <c r="L15" s="121"/>
      <c r="M15" s="420"/>
      <c r="N15" s="121"/>
      <c r="O15" s="123">
        <f t="shared" si="0"/>
        <v>0</v>
      </c>
    </row>
    <row r="16" spans="1:15" s="156" customFormat="1" ht="12.75">
      <c r="A16" s="329" t="s">
        <v>394</v>
      </c>
      <c r="B16" s="313" t="s">
        <v>189</v>
      </c>
      <c r="C16" s="420"/>
      <c r="D16" s="121"/>
      <c r="E16" s="420"/>
      <c r="F16" s="129"/>
      <c r="G16" s="420"/>
      <c r="H16" s="129"/>
      <c r="I16" s="123">
        <f>TAXCALC!E132</f>
        <v>36307.26830769231</v>
      </c>
      <c r="J16" s="121"/>
      <c r="K16" s="420"/>
      <c r="L16" s="121"/>
      <c r="M16" s="420"/>
      <c r="N16" s="121"/>
      <c r="O16" s="123">
        <f t="shared" si="0"/>
        <v>36307.26830769231</v>
      </c>
    </row>
    <row r="17" spans="1:15" s="156" customFormat="1" ht="12.75" hidden="1">
      <c r="A17" s="419"/>
      <c r="B17" s="313"/>
      <c r="C17" s="420"/>
      <c r="D17" s="121"/>
      <c r="E17" s="420"/>
      <c r="F17" s="129"/>
      <c r="G17" s="420"/>
      <c r="H17" s="129"/>
      <c r="I17" s="420"/>
      <c r="J17" s="121"/>
      <c r="K17" s="420"/>
      <c r="L17" s="121"/>
      <c r="M17" s="420"/>
      <c r="N17" s="121"/>
      <c r="O17" s="123">
        <f t="shared" si="0"/>
        <v>0</v>
      </c>
    </row>
    <row r="18" spans="1:15" s="156" customFormat="1" ht="12.75">
      <c r="A18" s="329" t="s">
        <v>395</v>
      </c>
      <c r="B18" s="313"/>
      <c r="C18" s="420"/>
      <c r="D18" s="121"/>
      <c r="E18" s="420"/>
      <c r="F18" s="129"/>
      <c r="G18" s="420"/>
      <c r="H18" s="129"/>
      <c r="I18" s="420"/>
      <c r="J18" s="121"/>
      <c r="K18" s="420"/>
      <c r="L18" s="121"/>
      <c r="M18" s="420"/>
      <c r="N18" s="121"/>
      <c r="O18" s="123">
        <f t="shared" si="0"/>
        <v>0</v>
      </c>
    </row>
    <row r="19" spans="1:15" s="156" customFormat="1" ht="12.75" hidden="1">
      <c r="A19" s="419"/>
      <c r="B19" s="313"/>
      <c r="C19" s="420"/>
      <c r="D19" s="121"/>
      <c r="E19" s="420"/>
      <c r="F19" s="129"/>
      <c r="G19" s="420"/>
      <c r="H19" s="129"/>
      <c r="I19" s="420"/>
      <c r="J19" s="121"/>
      <c r="K19" s="420"/>
      <c r="L19" s="121"/>
      <c r="M19" s="420"/>
      <c r="N19" s="121"/>
      <c r="O19" s="123">
        <f t="shared" si="0"/>
        <v>0</v>
      </c>
    </row>
    <row r="20" spans="1:15" s="156" customFormat="1" ht="12.75">
      <c r="A20" s="329" t="s">
        <v>396</v>
      </c>
      <c r="B20" s="313" t="s">
        <v>189</v>
      </c>
      <c r="C20" s="420"/>
      <c r="D20" s="121"/>
      <c r="E20" s="420"/>
      <c r="F20" s="129"/>
      <c r="G20" s="420"/>
      <c r="H20" s="129"/>
      <c r="I20" s="123">
        <f>TAXCALC!E181</f>
        <v>-98162.60216534238</v>
      </c>
      <c r="J20" s="121"/>
      <c r="K20" s="420"/>
      <c r="L20" s="121"/>
      <c r="M20" s="420"/>
      <c r="N20" s="121"/>
      <c r="O20" s="123">
        <f t="shared" si="0"/>
        <v>-98162.60216534238</v>
      </c>
    </row>
    <row r="21" spans="1:15" s="156" customFormat="1" ht="12.75" hidden="1">
      <c r="A21" s="419"/>
      <c r="B21" s="313"/>
      <c r="C21" s="420"/>
      <c r="D21" s="121"/>
      <c r="E21" s="420"/>
      <c r="F21" s="129"/>
      <c r="G21" s="420"/>
      <c r="H21" s="129"/>
      <c r="I21" s="420"/>
      <c r="J21" s="121"/>
      <c r="K21" s="420"/>
      <c r="L21" s="121"/>
      <c r="M21" s="420"/>
      <c r="N21" s="121"/>
      <c r="O21" s="123">
        <f t="shared" si="0"/>
        <v>0</v>
      </c>
    </row>
    <row r="22" spans="1:15" s="156" customFormat="1" ht="12.75">
      <c r="A22" s="329" t="s">
        <v>397</v>
      </c>
      <c r="B22" s="313" t="s">
        <v>189</v>
      </c>
      <c r="C22" s="420"/>
      <c r="D22" s="121"/>
      <c r="E22" s="420"/>
      <c r="F22" s="129"/>
      <c r="G22" s="420"/>
      <c r="H22" s="129"/>
      <c r="I22" s="420"/>
      <c r="J22" s="121"/>
      <c r="K22" s="420"/>
      <c r="L22" s="121"/>
      <c r="M22" s="420"/>
      <c r="N22" s="121"/>
      <c r="O22" s="123">
        <f t="shared" si="0"/>
        <v>0</v>
      </c>
    </row>
    <row r="23" spans="1:15" s="156" customFormat="1" ht="12.75">
      <c r="A23" s="406" t="s">
        <v>398</v>
      </c>
      <c r="B23" s="313" t="s">
        <v>189</v>
      </c>
      <c r="C23" s="420"/>
      <c r="D23" s="121"/>
      <c r="E23" s="420"/>
      <c r="F23" s="129"/>
      <c r="G23" s="420"/>
      <c r="H23" s="129"/>
      <c r="I23" s="420"/>
      <c r="J23" s="121"/>
      <c r="K23" s="420"/>
      <c r="L23" s="121"/>
      <c r="M23" s="420"/>
      <c r="N23" s="121"/>
      <c r="O23" s="123">
        <f t="shared" si="0"/>
        <v>0</v>
      </c>
    </row>
    <row r="24" spans="1:15" s="156" customFormat="1" ht="12.75" hidden="1">
      <c r="A24" s="406"/>
      <c r="B24" s="313"/>
      <c r="C24" s="420"/>
      <c r="D24" s="121"/>
      <c r="E24" s="420"/>
      <c r="F24" s="129"/>
      <c r="G24" s="420"/>
      <c r="H24" s="129"/>
      <c r="I24" s="420"/>
      <c r="J24" s="121"/>
      <c r="K24" s="420"/>
      <c r="L24" s="121"/>
      <c r="M24" s="420"/>
      <c r="N24" s="121"/>
      <c r="O24" s="123">
        <f t="shared" si="0"/>
        <v>0</v>
      </c>
    </row>
    <row r="25" spans="1:15" s="156" customFormat="1" ht="12.75">
      <c r="A25" s="329" t="s">
        <v>465</v>
      </c>
      <c r="B25" s="313" t="s">
        <v>187</v>
      </c>
      <c r="C25" s="123">
        <v>0</v>
      </c>
      <c r="D25" s="121"/>
      <c r="E25" s="420"/>
      <c r="F25" s="129"/>
      <c r="G25" s="420"/>
      <c r="H25" s="129"/>
      <c r="I25" s="420"/>
      <c r="J25" s="121"/>
      <c r="K25" s="420"/>
      <c r="L25" s="121"/>
      <c r="M25" s="420"/>
      <c r="N25" s="121"/>
      <c r="O25" s="123">
        <f t="shared" si="0"/>
        <v>0</v>
      </c>
    </row>
    <row r="26" spans="1:15" s="156" customFormat="1" ht="12.75">
      <c r="A26" s="442"/>
      <c r="C26" s="121"/>
      <c r="D26" s="129"/>
      <c r="E26" s="121"/>
      <c r="F26" s="129"/>
      <c r="G26" s="121"/>
      <c r="H26" s="129"/>
      <c r="I26" s="121"/>
      <c r="J26" s="121"/>
      <c r="K26" s="121"/>
      <c r="L26" s="121"/>
      <c r="M26" s="121"/>
      <c r="N26" s="121"/>
      <c r="O26" s="129"/>
    </row>
    <row r="27" spans="1:15" s="156" customFormat="1" ht="13.5" thickBot="1">
      <c r="A27" s="329" t="s">
        <v>368</v>
      </c>
      <c r="B27" s="182"/>
      <c r="C27" s="124">
        <f>SUM(C11:C25)</f>
        <v>0</v>
      </c>
      <c r="D27" s="129"/>
      <c r="E27" s="124">
        <f>SUM(E11:E25)</f>
        <v>0</v>
      </c>
      <c r="F27" s="129"/>
      <c r="G27" s="124">
        <f>SUM(G11:G25)</f>
        <v>0</v>
      </c>
      <c r="H27" s="129"/>
      <c r="I27" s="124">
        <f>SUM(I11:I25)</f>
        <v>-61855.33385765007</v>
      </c>
      <c r="J27" s="121"/>
      <c r="K27" s="124">
        <f>SUM(K11:K25)</f>
        <v>-61855.33385765007</v>
      </c>
      <c r="L27" s="121"/>
      <c r="M27" s="124">
        <f>SUM(M11:M26)</f>
        <v>-61855.33385765007</v>
      </c>
      <c r="N27" s="121"/>
      <c r="O27" s="132">
        <f>SUM(O11:O25)</f>
        <v>-61855.33385765007</v>
      </c>
    </row>
    <row r="28" spans="1:15" s="156" customFormat="1" ht="13.5" thickTop="1">
      <c r="A28" s="407"/>
      <c r="B28" s="336"/>
      <c r="C28" s="408"/>
      <c r="D28" s="409"/>
      <c r="E28" s="408"/>
      <c r="F28" s="409"/>
      <c r="G28" s="408"/>
      <c r="H28" s="409"/>
      <c r="I28" s="408"/>
      <c r="J28" s="336"/>
      <c r="K28" s="408"/>
      <c r="L28" s="336"/>
      <c r="M28" s="408"/>
      <c r="N28" s="336"/>
      <c r="O28" s="408"/>
    </row>
    <row r="29" spans="1:15" s="156" customFormat="1" ht="12.75">
      <c r="A29" s="410"/>
      <c r="B29" s="411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s="156" customFormat="1" ht="12.75">
      <c r="A30" s="407"/>
      <c r="B30" s="336"/>
      <c r="C30" s="412"/>
      <c r="D30" s="412"/>
      <c r="E30" s="412"/>
      <c r="F30" s="412"/>
      <c r="G30" s="412"/>
      <c r="H30" s="412"/>
      <c r="I30" s="412"/>
      <c r="J30" s="413"/>
      <c r="K30" s="412"/>
      <c r="L30" s="413"/>
      <c r="M30" s="412"/>
      <c r="N30" s="413"/>
      <c r="O30" s="412"/>
    </row>
    <row r="31" spans="1:15" s="156" customFormat="1" ht="12.75">
      <c r="A31" s="407" t="s">
        <v>399</v>
      </c>
      <c r="B31" s="336"/>
      <c r="C31" s="412"/>
      <c r="D31" s="412"/>
      <c r="E31" s="412"/>
      <c r="F31" s="412"/>
      <c r="G31" s="412"/>
      <c r="H31" s="412"/>
      <c r="I31" s="412"/>
      <c r="J31" s="413"/>
      <c r="K31" s="412"/>
      <c r="L31" s="413"/>
      <c r="M31" s="412"/>
      <c r="N31" s="413"/>
      <c r="O31" s="412"/>
    </row>
    <row r="32" spans="1:15" s="156" customFormat="1" ht="9" customHeight="1">
      <c r="A32" s="407"/>
      <c r="B32" s="336"/>
      <c r="C32" s="336"/>
      <c r="D32" s="336"/>
      <c r="E32" s="336"/>
      <c r="F32" s="336"/>
      <c r="G32" s="336"/>
      <c r="H32" s="336"/>
      <c r="I32" s="336"/>
      <c r="J32" s="336"/>
      <c r="K32" s="414"/>
      <c r="L32" s="336"/>
      <c r="M32" s="336"/>
      <c r="N32" s="336"/>
      <c r="O32" s="336"/>
    </row>
    <row r="33" spans="1:15" s="156" customFormat="1" ht="12.75">
      <c r="A33" s="407" t="s">
        <v>400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15" s="156" customFormat="1" ht="12.75">
      <c r="A34" s="415" t="s">
        <v>401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</row>
    <row r="35" spans="1:15" s="156" customFormat="1" ht="9" customHeight="1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</row>
    <row r="36" spans="1:8" s="156" customFormat="1" ht="12.75">
      <c r="A36" s="179" t="s">
        <v>402</v>
      </c>
      <c r="B36" s="416"/>
      <c r="C36" s="416"/>
      <c r="D36" s="416"/>
      <c r="E36" s="416"/>
      <c r="F36" s="416"/>
      <c r="G36" s="421"/>
      <c r="H36" s="416"/>
    </row>
    <row r="37" spans="1:15" s="156" customFormat="1" ht="9" customHeight="1">
      <c r="A37" s="417"/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</row>
    <row r="38" spans="1:19" s="156" customFormat="1" ht="12.75">
      <c r="A38" s="481" t="s">
        <v>403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39"/>
      <c r="Q38" s="439"/>
      <c r="R38" s="439"/>
      <c r="S38" s="439"/>
    </row>
    <row r="39" spans="1:19" s="156" customFormat="1" ht="12.75">
      <c r="A39" s="480" t="s">
        <v>404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39"/>
      <c r="Q39" s="439"/>
      <c r="R39" s="439"/>
      <c r="S39" s="439"/>
    </row>
    <row r="40" spans="1:19" s="156" customFormat="1" ht="12.75">
      <c r="A40" s="480" t="s">
        <v>425</v>
      </c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39"/>
      <c r="Q40" s="439"/>
      <c r="R40" s="439"/>
      <c r="S40" s="439"/>
    </row>
    <row r="41" spans="1:19" s="156" customFormat="1" ht="12.75">
      <c r="A41" s="480" t="s">
        <v>405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39"/>
      <c r="Q41" s="439"/>
      <c r="R41" s="439"/>
      <c r="S41" s="439"/>
    </row>
    <row r="42" spans="1:19" s="156" customFormat="1" ht="12.75">
      <c r="A42" s="384" t="s">
        <v>365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439"/>
      <c r="Q42" s="439"/>
      <c r="R42" s="439"/>
      <c r="S42" s="439"/>
    </row>
    <row r="43" spans="1:19" s="156" customFormat="1" ht="12.75">
      <c r="A43" s="384" t="s">
        <v>366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439"/>
      <c r="Q43" s="439"/>
      <c r="R43" s="439"/>
      <c r="S43" s="439"/>
    </row>
    <row r="44" spans="1:19" s="156" customFormat="1" ht="12.75">
      <c r="A44" s="384" t="s">
        <v>406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439"/>
      <c r="Q44" s="439"/>
      <c r="R44" s="439"/>
      <c r="S44" s="439"/>
    </row>
    <row r="45" spans="1:19" s="156" customFormat="1" ht="12.75">
      <c r="A45" s="384" t="s">
        <v>407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439"/>
      <c r="Q45" s="439"/>
      <c r="R45" s="439"/>
      <c r="S45" s="439"/>
    </row>
    <row r="46" spans="2:19" s="156" customFormat="1" ht="9" customHeight="1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439"/>
      <c r="Q46" s="439"/>
      <c r="R46" s="439"/>
      <c r="S46" s="439"/>
    </row>
    <row r="47" spans="1:15" s="156" customFormat="1" ht="12.75">
      <c r="A47" s="418" t="s">
        <v>408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</row>
    <row r="48" spans="1:15" s="156" customFormat="1" ht="12.75">
      <c r="A48" s="336" t="s">
        <v>409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</row>
    <row r="49" spans="1:15" s="156" customFormat="1" ht="9" customHeight="1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</row>
    <row r="50" spans="1:15" s="156" customFormat="1" ht="12.75">
      <c r="A50" s="418" t="s">
        <v>410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</row>
    <row r="51" spans="1:15" s="156" customFormat="1" ht="12.75">
      <c r="A51" s="336" t="s">
        <v>411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</row>
    <row r="52" spans="1:15" s="156" customFormat="1" ht="9" customHeight="1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</row>
    <row r="53" spans="1:15" s="156" customFormat="1" ht="12.75">
      <c r="A53" s="418" t="s">
        <v>412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</row>
    <row r="54" spans="1:15" s="156" customFormat="1" ht="12.75">
      <c r="A54" s="336" t="s">
        <v>413</v>
      </c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</row>
    <row r="55" spans="1:15" s="156" customFormat="1" ht="9" customHeight="1">
      <c r="A55" s="336"/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</row>
    <row r="56" spans="1:15" s="156" customFormat="1" ht="12.75">
      <c r="A56" s="418" t="s">
        <v>414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</row>
    <row r="57" spans="1:15" s="156" customFormat="1" ht="12.75">
      <c r="A57" s="336" t="s">
        <v>411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</row>
    <row r="58" spans="1:15" s="156" customFormat="1" ht="9" customHeight="1">
      <c r="A58" s="418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</row>
    <row r="59" spans="1:15" s="156" customFormat="1" ht="12.75">
      <c r="A59" s="336" t="s">
        <v>415</v>
      </c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</row>
    <row r="60" spans="1:15" s="156" customFormat="1" ht="9" customHeight="1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</row>
    <row r="61" spans="1:15" s="156" customFormat="1" ht="12.75" customHeight="1">
      <c r="A61" s="418" t="s">
        <v>416</v>
      </c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</row>
    <row r="62" spans="1:15" s="156" customFormat="1" ht="9" customHeight="1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</row>
    <row r="63" spans="1:15" s="156" customFormat="1" ht="12.75">
      <c r="A63" s="336" t="s">
        <v>417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</row>
    <row r="64" spans="1:15" s="156" customFormat="1" ht="12.75">
      <c r="A64" s="336" t="s">
        <v>418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</row>
    <row r="65" spans="1:15" s="156" customFormat="1" ht="12.75">
      <c r="A65" s="336" t="s">
        <v>419</v>
      </c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</row>
    <row r="66" spans="1:15" s="156" customFormat="1" ht="12.75">
      <c r="A66" s="336" t="s">
        <v>375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</row>
    <row r="67" spans="1:15" s="156" customFormat="1" ht="9" customHeight="1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</row>
    <row r="68" spans="1:15" s="156" customFormat="1" ht="12.75">
      <c r="A68" s="336" t="s">
        <v>420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</row>
    <row r="69" spans="1:15" s="156" customFormat="1" ht="12.75">
      <c r="A69" s="336" t="s">
        <v>421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</row>
    <row r="70" spans="1:15" s="156" customFormat="1" ht="12.75">
      <c r="A70" s="336" t="s">
        <v>377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</row>
    <row r="71" spans="1:15" s="156" customFormat="1" ht="3.75" customHeight="1">
      <c r="A71" s="336"/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</row>
    <row r="72" spans="1:15" s="156" customFormat="1" ht="12.75">
      <c r="A72" s="336" t="s">
        <v>376</v>
      </c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</row>
    <row r="73" spans="1:15" s="156" customFormat="1" ht="12.75">
      <c r="A73" s="336" t="s">
        <v>378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</row>
    <row r="74" spans="1:15" s="156" customFormat="1" ht="3.75" customHeight="1">
      <c r="A74" s="336"/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</row>
    <row r="75" spans="1:15" s="156" customFormat="1" ht="12.75">
      <c r="A75" s="336" t="s">
        <v>422</v>
      </c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</row>
    <row r="76" spans="1:15" s="156" customFormat="1" ht="12.75">
      <c r="A76" s="336" t="s">
        <v>423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</row>
    <row r="77" spans="1:15" s="156" customFormat="1" ht="12.75">
      <c r="A77" s="336" t="s">
        <v>424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</row>
    <row r="78" spans="1:15" s="156" customFormat="1" ht="9" customHeight="1">
      <c r="A78" s="336"/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</row>
    <row r="79" spans="1:15" s="156" customFormat="1" ht="12.75" customHeight="1">
      <c r="A79" s="480" t="s">
        <v>453</v>
      </c>
      <c r="B79" s="480"/>
      <c r="C79" s="480"/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</row>
    <row r="80" spans="1:15" s="156" customFormat="1" ht="12.75">
      <c r="A80" s="336" t="s">
        <v>367</v>
      </c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</row>
    <row r="81" spans="1:15" s="156" customFormat="1" ht="12.75">
      <c r="A81" s="336"/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</row>
    <row r="82" spans="1:15" s="156" customFormat="1" ht="12.75">
      <c r="A82" s="336"/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</row>
    <row r="83" spans="1:17" s="156" customFormat="1" ht="12.75">
      <c r="A83" s="336"/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</row>
    <row r="84" spans="1:17" s="156" customFormat="1" ht="12.75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</row>
    <row r="85" spans="1:17" s="156" customFormat="1" ht="12.75">
      <c r="A85" s="336"/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</row>
    <row r="86" spans="1:17" s="156" customFormat="1" ht="12.75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</row>
    <row r="87" spans="1:17" s="156" customFormat="1" ht="12.75">
      <c r="A87" s="336"/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</row>
    <row r="88" spans="1:17" s="156" customFormat="1" ht="12.75">
      <c r="A88" s="336"/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</row>
    <row r="89" spans="1:17" s="156" customFormat="1" ht="12.75">
      <c r="A89" s="336"/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</row>
    <row r="90" spans="1:17" s="156" customFormat="1" ht="12.75">
      <c r="A90" s="336"/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</row>
    <row r="91" spans="1:17" s="156" customFormat="1" ht="12.75">
      <c r="A91" s="336"/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</row>
    <row r="92" spans="1:17" s="156" customFormat="1" ht="12.75">
      <c r="A92" s="336"/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</row>
    <row r="93" spans="1:17" s="156" customFormat="1" ht="12.75">
      <c r="A93" s="336"/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</row>
    <row r="94" spans="1:17" s="156" customFormat="1" ht="12.75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</row>
    <row r="95" spans="1:17" s="156" customFormat="1" ht="12.75">
      <c r="A95" s="336"/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</row>
    <row r="96" spans="1:17" s="156" customFormat="1" ht="12.75">
      <c r="A96" s="336"/>
      <c r="B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</row>
    <row r="97" spans="1:17" s="156" customFormat="1" ht="12.75">
      <c r="A97" s="336"/>
      <c r="B97" s="336"/>
      <c r="C97" s="480"/>
      <c r="D97" s="480"/>
      <c r="E97" s="480"/>
      <c r="F97" s="480"/>
      <c r="G97" s="480"/>
      <c r="H97" s="480"/>
      <c r="I97" s="480"/>
      <c r="J97" s="480"/>
      <c r="K97" s="480"/>
      <c r="L97" s="480"/>
      <c r="M97" s="480"/>
      <c r="N97" s="480"/>
      <c r="O97" s="480"/>
      <c r="P97" s="480"/>
      <c r="Q97" s="480"/>
    </row>
    <row r="98" spans="1:17" s="156" customFormat="1" ht="12.75">
      <c r="A98" s="336"/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</row>
    <row r="99" spans="1:15" s="156" customFormat="1" ht="12.75">
      <c r="A99" s="336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</row>
    <row r="100" spans="1:15" s="156" customFormat="1" ht="12.75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</row>
    <row r="101" spans="1:15" s="156" customFormat="1" ht="12.75">
      <c r="A101" s="336"/>
      <c r="B101" s="336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</row>
    <row r="102" spans="1:15" s="156" customFormat="1" ht="12.75">
      <c r="A102" s="336"/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</row>
    <row r="103" spans="1:15" s="156" customFormat="1" ht="12.75">
      <c r="A103" s="336"/>
      <c r="B103" s="336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</row>
    <row r="104" spans="1:15" s="156" customFormat="1" ht="12.75">
      <c r="A104" s="336"/>
      <c r="B104" s="336"/>
      <c r="C104" s="336"/>
      <c r="D104" s="336"/>
      <c r="E104" s="336" t="s">
        <v>101</v>
      </c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</row>
    <row r="105" spans="1:15" s="156" customFormat="1" ht="12.75">
      <c r="A105" s="336"/>
      <c r="B105" s="336"/>
      <c r="C105" s="336"/>
      <c r="D105" s="336"/>
      <c r="E105" s="336" t="s">
        <v>101</v>
      </c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</row>
    <row r="106" spans="1:15" s="156" customFormat="1" ht="12.75">
      <c r="A106" s="336"/>
      <c r="B106" s="336"/>
      <c r="C106" s="336"/>
      <c r="D106" s="336"/>
      <c r="E106" s="336" t="s">
        <v>101</v>
      </c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</row>
    <row r="107" spans="1:15" s="156" customFormat="1" ht="12.75">
      <c r="A107" s="336"/>
      <c r="B107" s="336"/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</row>
    <row r="108" spans="1:15" s="156" customFormat="1" ht="12.75">
      <c r="A108" s="336"/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</row>
    <row r="109" spans="1:15" s="156" customFormat="1" ht="12.75">
      <c r="A109" s="336"/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</row>
    <row r="110" spans="1:15" s="156" customFormat="1" ht="12.75">
      <c r="A110" s="336"/>
      <c r="B110" s="336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</row>
    <row r="111" spans="1:15" s="156" customFormat="1" ht="12.75">
      <c r="A111" s="336"/>
      <c r="B111" s="336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</row>
    <row r="112" spans="1:15" s="156" customFormat="1" ht="12.75">
      <c r="A112" s="336"/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</row>
    <row r="113" spans="1:15" s="156" customFormat="1" ht="12.75">
      <c r="A113" s="336"/>
      <c r="B113" s="336"/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</row>
    <row r="114" s="156" customFormat="1" ht="12.75"/>
    <row r="115" s="156" customFormat="1" ht="12.75"/>
    <row r="116" s="156" customFormat="1" ht="12.75"/>
    <row r="117" s="156" customFormat="1" ht="12.75"/>
    <row r="118" s="156" customFormat="1" ht="12.75"/>
    <row r="119" s="156" customFormat="1" ht="12.75"/>
    <row r="120" s="156" customFormat="1" ht="12.75"/>
    <row r="121" s="156" customFormat="1" ht="12.75"/>
    <row r="122" s="156" customFormat="1" ht="12.75"/>
    <row r="123" s="156" customFormat="1" ht="12.75"/>
    <row r="124" s="156" customFormat="1" ht="12.75"/>
    <row r="125" s="156" customFormat="1" ht="12.75"/>
    <row r="126" s="156" customFormat="1" ht="12.75"/>
    <row r="127" s="156" customFormat="1" ht="12.75"/>
    <row r="128" s="156" customFormat="1" ht="12.75"/>
    <row r="129" s="156" customFormat="1" ht="12.75"/>
    <row r="130" s="156" customFormat="1" ht="12.75"/>
    <row r="131" s="156" customFormat="1" ht="12.75"/>
    <row r="132" s="156" customFormat="1" ht="12.75"/>
    <row r="133" s="156" customFormat="1" ht="12.75"/>
    <row r="134" s="156" customFormat="1" ht="12.75"/>
    <row r="135" s="156" customFormat="1" ht="12.75"/>
    <row r="136" s="156" customFormat="1" ht="12.75"/>
    <row r="137" s="156" customFormat="1" ht="12.75"/>
    <row r="138" s="156" customFormat="1" ht="12.75"/>
    <row r="139" s="156" customFormat="1" ht="12.75"/>
    <row r="140" s="156" customFormat="1" ht="12.75"/>
    <row r="141" s="156" customFormat="1" ht="12.75"/>
    <row r="142" s="156" customFormat="1" ht="12.75"/>
    <row r="143" s="156" customFormat="1" ht="12.75"/>
    <row r="144" s="156" customFormat="1" ht="12.75"/>
    <row r="145" s="156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landscape" scale="5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3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9.140625" style="445" customWidth="1"/>
    <col min="2" max="2" width="59.140625" style="445" bestFit="1" customWidth="1"/>
    <col min="3" max="3" width="9.140625" style="445" customWidth="1"/>
    <col min="4" max="4" width="12.8515625" style="445" hidden="1" customWidth="1"/>
    <col min="5" max="5" width="12.8515625" style="445" customWidth="1"/>
    <col min="6" max="6" width="12.8515625" style="445" hidden="1" customWidth="1"/>
    <col min="7" max="7" width="0" style="445" hidden="1" customWidth="1"/>
    <col min="8" max="8" width="13.57421875" style="445" hidden="1" customWidth="1"/>
    <col min="9" max="9" width="9.140625" style="445" customWidth="1"/>
    <col min="10" max="10" width="11.140625" style="445" hidden="1" customWidth="1"/>
    <col min="11" max="11" width="10.8515625" style="445" hidden="1" customWidth="1"/>
    <col min="12" max="12" width="0" style="445" hidden="1" customWidth="1"/>
    <col min="13" max="16384" width="9.140625" style="445" customWidth="1"/>
  </cols>
  <sheetData>
    <row r="1" ht="28.5">
      <c r="B1" s="444" t="s">
        <v>665</v>
      </c>
    </row>
    <row r="2" spans="4:8" ht="15">
      <c r="D2" s="446" t="s">
        <v>666</v>
      </c>
      <c r="E2" s="446" t="s">
        <v>667</v>
      </c>
      <c r="F2" s="446" t="s">
        <v>668</v>
      </c>
      <c r="H2" s="446" t="s">
        <v>669</v>
      </c>
    </row>
    <row r="3" spans="2:11" ht="15">
      <c r="B3" s="447" t="s">
        <v>280</v>
      </c>
      <c r="D3" s="448">
        <v>132012571</v>
      </c>
      <c r="E3" s="448">
        <v>104354290</v>
      </c>
      <c r="F3" s="448">
        <v>180841143</v>
      </c>
      <c r="H3" s="449">
        <f>SUM(D3:G3)</f>
        <v>417208004</v>
      </c>
      <c r="J3" s="450">
        <v>417208004</v>
      </c>
      <c r="K3" s="451">
        <f>H3-J3</f>
        <v>0</v>
      </c>
    </row>
    <row r="4" ht="15">
      <c r="J4" s="450"/>
    </row>
    <row r="5" spans="2:11" ht="15">
      <c r="B5" s="445" t="s">
        <v>75</v>
      </c>
      <c r="D5" s="448">
        <v>2671078</v>
      </c>
      <c r="E5" s="448">
        <v>2530302</v>
      </c>
      <c r="F5" s="448">
        <v>10038003</v>
      </c>
      <c r="H5" s="449">
        <f>SUM(D5:G5)</f>
        <v>15239383</v>
      </c>
      <c r="J5" s="450">
        <v>15239383</v>
      </c>
      <c r="K5" s="451">
        <f>H5-J5</f>
        <v>0</v>
      </c>
    </row>
    <row r="6" ht="15">
      <c r="J6" s="450"/>
    </row>
    <row r="7" spans="2:11" ht="15">
      <c r="B7" s="445" t="s">
        <v>282</v>
      </c>
      <c r="D7" s="448">
        <v>2760228.3</v>
      </c>
      <c r="E7" s="448">
        <v>2042310</v>
      </c>
      <c r="F7" s="448">
        <v>1654859</v>
      </c>
      <c r="H7" s="449">
        <f>SUM(D7:G7)</f>
        <v>6457397.3</v>
      </c>
      <c r="J7" s="450">
        <v>6457397.3</v>
      </c>
      <c r="K7" s="451">
        <f>H7-J7</f>
        <v>0</v>
      </c>
    </row>
    <row r="8" spans="2:11" ht="15">
      <c r="B8" s="445" t="s">
        <v>283</v>
      </c>
      <c r="D8" s="448">
        <v>2760228.3</v>
      </c>
      <c r="E8" s="448">
        <v>2042310</v>
      </c>
      <c r="F8" s="448">
        <v>1654859</v>
      </c>
      <c r="H8" s="449">
        <f>SUM(D8:G8)</f>
        <v>6457397.3</v>
      </c>
      <c r="J8" s="450">
        <v>7009205.3</v>
      </c>
      <c r="K8" s="451">
        <f>H8-J8</f>
        <v>-551808</v>
      </c>
    </row>
    <row r="9" spans="2:10" ht="15">
      <c r="B9" s="445" t="s">
        <v>670</v>
      </c>
      <c r="D9" s="448"/>
      <c r="E9" s="448"/>
      <c r="F9" s="448"/>
      <c r="H9" s="449">
        <f>SUM(D9:G9)</f>
        <v>0</v>
      </c>
      <c r="J9" s="450"/>
    </row>
    <row r="10" ht="15">
      <c r="J10" s="450"/>
    </row>
    <row r="11" spans="2:10" ht="15">
      <c r="B11" s="445" t="s">
        <v>671</v>
      </c>
      <c r="D11" s="452"/>
      <c r="E11" s="452"/>
      <c r="F11" s="452"/>
      <c r="H11" s="449">
        <f>SUM(D11:G11)</f>
        <v>0</v>
      </c>
      <c r="J11" s="450"/>
    </row>
    <row r="12" ht="15">
      <c r="J12" s="450"/>
    </row>
    <row r="13" spans="2:11" ht="15">
      <c r="B13" s="445" t="s">
        <v>334</v>
      </c>
      <c r="D13" s="453">
        <v>8191534.6</v>
      </c>
      <c r="E13" s="453">
        <v>6614922</v>
      </c>
      <c r="F13" s="453">
        <v>13347721</v>
      </c>
      <c r="H13" s="449">
        <f>SUM(D13:G13)</f>
        <v>28154177.6</v>
      </c>
      <c r="J13" s="450">
        <v>28705985.6</v>
      </c>
      <c r="K13" s="451">
        <f>H13-J13</f>
        <v>-551808</v>
      </c>
    </row>
    <row r="14" ht="15">
      <c r="J14" s="450"/>
    </row>
    <row r="15" spans="2:11" ht="15">
      <c r="B15" s="445" t="s">
        <v>4</v>
      </c>
      <c r="D15" s="452">
        <v>7747136</v>
      </c>
      <c r="E15" s="452">
        <v>5536188</v>
      </c>
      <c r="F15" s="452">
        <v>7733745</v>
      </c>
      <c r="H15" s="449">
        <f>SUM(D15:G15)</f>
        <v>21017069</v>
      </c>
      <c r="J15" s="450">
        <v>21017069</v>
      </c>
      <c r="K15" s="451">
        <f>H15-J15</f>
        <v>0</v>
      </c>
    </row>
    <row r="16" ht="15">
      <c r="J16" s="450"/>
    </row>
    <row r="17" spans="2:11" ht="15">
      <c r="B17" s="445" t="s">
        <v>102</v>
      </c>
      <c r="D17" s="452">
        <v>4847662.882709</v>
      </c>
      <c r="E17" s="452">
        <v>4271174</v>
      </c>
      <c r="F17" s="452">
        <v>7241187.9359795</v>
      </c>
      <c r="H17" s="449">
        <f>SUM(D17:G17)</f>
        <v>16360024.8186885</v>
      </c>
      <c r="J17" s="450">
        <v>16458874.882709</v>
      </c>
      <c r="K17" s="451">
        <f>H17-J17</f>
        <v>-98850.06402049959</v>
      </c>
    </row>
    <row r="18" ht="15">
      <c r="J18" s="450"/>
    </row>
    <row r="19" spans="2:11" ht="15">
      <c r="B19" s="445" t="s">
        <v>85</v>
      </c>
      <c r="D19" s="453">
        <v>3801519.793876568</v>
      </c>
      <c r="E19" s="453">
        <v>3069846.878013501</v>
      </c>
      <c r="F19" s="453">
        <v>6194398.005062681</v>
      </c>
      <c r="H19" s="449">
        <f>SUM(D19:G19)</f>
        <v>13065764.67695275</v>
      </c>
      <c r="J19" s="450">
        <v>13321847.22275796</v>
      </c>
      <c r="K19" s="451">
        <f>H19-J19</f>
        <v>-256082.54580521025</v>
      </c>
    </row>
    <row r="20" ht="15">
      <c r="J20" s="450"/>
    </row>
    <row r="21" spans="2:11" ht="15">
      <c r="B21" s="445" t="s">
        <v>36</v>
      </c>
      <c r="D21" s="453">
        <v>2815200.2360226535</v>
      </c>
      <c r="E21" s="453">
        <v>1857656.4189111858</v>
      </c>
      <c r="F21" s="453">
        <v>2952838.8787695095</v>
      </c>
      <c r="H21" s="449">
        <f>SUM(D21:G21)</f>
        <v>7625695.533703349</v>
      </c>
      <c r="J21" s="450">
        <v>7701728.80938866</v>
      </c>
      <c r="K21" s="451">
        <f>H21-J21</f>
        <v>-76033.2756853113</v>
      </c>
    </row>
    <row r="22" ht="15">
      <c r="J22" s="450"/>
    </row>
    <row r="23" ht="15">
      <c r="J23" s="450"/>
    </row>
    <row r="24" spans="2:10" ht="15">
      <c r="B24" s="445" t="s">
        <v>226</v>
      </c>
      <c r="D24" s="454">
        <v>0.375</v>
      </c>
      <c r="E24" s="454">
        <v>0.375</v>
      </c>
      <c r="F24" s="454">
        <v>0.375</v>
      </c>
      <c r="H24" s="455">
        <v>0.37500000748268664</v>
      </c>
      <c r="J24" s="450"/>
    </row>
    <row r="25" ht="15">
      <c r="J25" s="450"/>
    </row>
    <row r="26" spans="4:10" ht="15">
      <c r="D26" s="453">
        <f>D21/(1-D24)</f>
        <v>4504320.377636245</v>
      </c>
      <c r="E26" s="453">
        <f>E21/(1-E24)</f>
        <v>2972250.270257897</v>
      </c>
      <c r="F26" s="453">
        <f>F21/(1-F24)</f>
        <v>4724542.206031215</v>
      </c>
      <c r="H26" s="453">
        <f>H21/(1-H24)</f>
        <v>12201113.000000726</v>
      </c>
      <c r="J26" s="450"/>
    </row>
    <row r="27" ht="15">
      <c r="J27" s="450"/>
    </row>
    <row r="28" ht="15">
      <c r="J28" s="450"/>
    </row>
    <row r="29" ht="15">
      <c r="J29" s="450"/>
    </row>
    <row r="30" spans="2:11" ht="15">
      <c r="B30" s="445" t="s">
        <v>363</v>
      </c>
      <c r="D30" s="453">
        <v>4504320.377636245</v>
      </c>
      <c r="E30" s="453">
        <v>2972250.270257897</v>
      </c>
      <c r="F30" s="453">
        <v>4724542.206031215</v>
      </c>
      <c r="H30" s="449">
        <f>SUM(D30:G30)</f>
        <v>12201112.853925359</v>
      </c>
      <c r="J30" s="450">
        <v>12411195.000147419</v>
      </c>
      <c r="K30" s="451">
        <f>H30-J30</f>
        <v>-210082.14622206055</v>
      </c>
    </row>
    <row r="31" spans="2:11" ht="15">
      <c r="B31" s="445" t="s">
        <v>364</v>
      </c>
      <c r="D31" s="453">
        <v>308617.63201241335</v>
      </c>
      <c r="E31" s="453">
        <v>253478.64693400194</v>
      </c>
      <c r="F31" s="453">
        <v>478013.9441434757</v>
      </c>
      <c r="H31" s="449">
        <f>SUM(D31:G31)</f>
        <v>1040110.223089891</v>
      </c>
      <c r="J31" s="450">
        <v>1036581.9999883905</v>
      </c>
      <c r="K31" s="451">
        <f>H31-J31</f>
        <v>3528.223101500538</v>
      </c>
    </row>
    <row r="32" spans="2:11" ht="15">
      <c r="B32" s="445" t="s">
        <v>342</v>
      </c>
      <c r="D32" s="453">
        <v>381037.713</v>
      </c>
      <c r="E32" s="453">
        <v>298062.87</v>
      </c>
      <c r="F32" s="453">
        <v>527523.429</v>
      </c>
      <c r="H32" s="449">
        <f>SUM(D32:G32)</f>
        <v>1206624.012</v>
      </c>
      <c r="J32" s="450">
        <v>1206624.012</v>
      </c>
      <c r="K32" s="451">
        <f>H32-J32</f>
        <v>0</v>
      </c>
    </row>
    <row r="33" ht="15">
      <c r="J33" s="450"/>
    </row>
    <row r="34" spans="2:11" ht="15">
      <c r="B34" s="445" t="s">
        <v>672</v>
      </c>
      <c r="D34" s="453">
        <v>5193975.722648658</v>
      </c>
      <c r="E34" s="453">
        <v>3523791.7871918995</v>
      </c>
      <c r="F34" s="453">
        <f>SUM(F30:F32)</f>
        <v>5730079.579174692</v>
      </c>
      <c r="H34" s="449">
        <f>SUM(D34:G34)</f>
        <v>14447847.08901525</v>
      </c>
      <c r="J34" s="450">
        <v>14654401.01213581</v>
      </c>
      <c r="K34" s="451">
        <f>H34-J34</f>
        <v>-206553.92312056012</v>
      </c>
    </row>
    <row r="35" ht="15">
      <c r="J35" s="450"/>
    </row>
    <row r="36" ht="15">
      <c r="J36" s="450"/>
    </row>
    <row r="37" ht="15">
      <c r="J37" s="450"/>
    </row>
    <row r="38" ht="15">
      <c r="J38" s="450"/>
    </row>
  </sheetData>
  <sheetProtection/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4:F28"/>
  <sheetViews>
    <sheetView showGridLines="0" zoomScale="90" zoomScaleNormal="90" zoomScalePageLayoutView="0" workbookViewId="0" topLeftCell="A4">
      <selection activeCell="L19" sqref="L19"/>
    </sheetView>
  </sheetViews>
  <sheetFormatPr defaultColWidth="9.140625" defaultRowHeight="12.75"/>
  <cols>
    <col min="1" max="1" width="24.57421875" style="445" customWidth="1"/>
    <col min="2" max="2" width="14.28125" style="445" hidden="1" customWidth="1"/>
    <col min="3" max="3" width="14.28125" style="445" customWidth="1"/>
    <col min="4" max="5" width="14.28125" style="445" hidden="1" customWidth="1"/>
    <col min="6" max="6" width="12.140625" style="445" hidden="1" customWidth="1"/>
    <col min="7" max="16384" width="9.140625" style="445" customWidth="1"/>
  </cols>
  <sheetData>
    <row r="4" ht="26.25">
      <c r="A4" s="456" t="s">
        <v>673</v>
      </c>
    </row>
    <row r="6" spans="1:5" ht="15">
      <c r="A6" s="457" t="s">
        <v>674</v>
      </c>
      <c r="B6" s="458" t="s">
        <v>666</v>
      </c>
      <c r="C6" s="458" t="s">
        <v>667</v>
      </c>
      <c r="D6" s="458" t="s">
        <v>668</v>
      </c>
      <c r="E6" s="458" t="s">
        <v>103</v>
      </c>
    </row>
    <row r="7" spans="1:4" ht="15">
      <c r="A7" s="445" t="s">
        <v>675</v>
      </c>
      <c r="B7" s="445">
        <v>366</v>
      </c>
      <c r="C7" s="445">
        <v>366</v>
      </c>
      <c r="D7" s="445">
        <v>366</v>
      </c>
    </row>
    <row r="8" spans="1:5" ht="15">
      <c r="A8" s="445" t="s">
        <v>676</v>
      </c>
      <c r="B8" s="450">
        <v>4504320.377636245</v>
      </c>
      <c r="C8" s="450">
        <v>2972250.270257897</v>
      </c>
      <c r="D8" s="450">
        <v>4724542.206031215</v>
      </c>
      <c r="E8" s="450">
        <f>SUM(B8:D8)</f>
        <v>12201112.853925359</v>
      </c>
    </row>
    <row r="9" spans="1:5" ht="15">
      <c r="A9" s="445" t="s">
        <v>307</v>
      </c>
      <c r="B9" s="450">
        <v>308617.63201241335</v>
      </c>
      <c r="C9" s="450">
        <v>253478.64693400194</v>
      </c>
      <c r="D9" s="450">
        <v>478013.9441434757</v>
      </c>
      <c r="E9" s="450">
        <f>SUM(B9:D9)</f>
        <v>1040110.223089891</v>
      </c>
    </row>
    <row r="10" spans="1:5" ht="15">
      <c r="A10" s="445" t="s">
        <v>306</v>
      </c>
      <c r="B10" s="450">
        <v>381037.713</v>
      </c>
      <c r="C10" s="450">
        <v>298062.87</v>
      </c>
      <c r="D10" s="450">
        <v>527523.429</v>
      </c>
      <c r="E10" s="450">
        <f>SUM(B10:D10)</f>
        <v>1206624.012</v>
      </c>
    </row>
    <row r="12" spans="1:5" ht="15.75" thickBot="1">
      <c r="A12" s="459" t="s">
        <v>677</v>
      </c>
      <c r="B12" s="460">
        <f>SUM(B8:B11)</f>
        <v>5193975.722648658</v>
      </c>
      <c r="C12" s="460">
        <f>SUM(C8:C11)</f>
        <v>3523791.7871918995</v>
      </c>
      <c r="D12" s="460">
        <f>SUM(D8:D11)</f>
        <v>5730079.579174692</v>
      </c>
      <c r="E12" s="461">
        <f>SUM(E8:E11)</f>
        <v>14447847.08901525</v>
      </c>
    </row>
    <row r="14" spans="1:5" ht="15">
      <c r="A14" s="457" t="s">
        <v>678</v>
      </c>
      <c r="B14" s="462" t="s">
        <v>666</v>
      </c>
      <c r="C14" s="462" t="s">
        <v>667</v>
      </c>
      <c r="D14" s="462" t="s">
        <v>668</v>
      </c>
      <c r="E14" s="458" t="s">
        <v>103</v>
      </c>
    </row>
    <row r="15" spans="1:4" ht="15">
      <c r="A15" s="445" t="s">
        <v>675</v>
      </c>
      <c r="B15" s="445">
        <v>152</v>
      </c>
      <c r="C15" s="445">
        <v>152</v>
      </c>
      <c r="D15" s="445">
        <v>152</v>
      </c>
    </row>
    <row r="16" spans="1:5" ht="15">
      <c r="A16" s="445" t="s">
        <v>676</v>
      </c>
      <c r="B16" s="463">
        <f>B8/B$7*B$15</f>
        <v>1870646.7142095882</v>
      </c>
      <c r="C16" s="463">
        <f>C8/C$7*C$15</f>
        <v>1234377.1614185802</v>
      </c>
      <c r="D16" s="463">
        <f>D8/D$7*D$15</f>
        <v>1962104.959881816</v>
      </c>
      <c r="E16" s="450">
        <f>SUM(B16:D16)</f>
        <v>5067128.835509985</v>
      </c>
    </row>
    <row r="17" spans="1:5" ht="15">
      <c r="A17" s="445" t="s">
        <v>307</v>
      </c>
      <c r="B17" s="463">
        <f aca="true" t="shared" si="0" ref="B17:D18">B9/B$7*B$15</f>
        <v>128169.07121827002</v>
      </c>
      <c r="C17" s="463">
        <f t="shared" si="0"/>
        <v>105269.82058461283</v>
      </c>
      <c r="D17" s="463">
        <f t="shared" si="0"/>
        <v>198519.45221259102</v>
      </c>
      <c r="E17" s="450">
        <f>SUM(B17:D17)</f>
        <v>431958.34401547385</v>
      </c>
    </row>
    <row r="18" spans="1:5" ht="15">
      <c r="A18" s="445" t="s">
        <v>306</v>
      </c>
      <c r="B18" s="463">
        <f t="shared" si="0"/>
        <v>158245.1704262295</v>
      </c>
      <c r="C18" s="463">
        <f t="shared" si="0"/>
        <v>123785.67278688525</v>
      </c>
      <c r="D18" s="463">
        <f t="shared" si="0"/>
        <v>219080.76832786886</v>
      </c>
      <c r="E18" s="450">
        <f>SUM(B18:D18)</f>
        <v>501111.61154098366</v>
      </c>
    </row>
    <row r="19" spans="2:4" ht="15">
      <c r="B19" s="464"/>
      <c r="C19" s="464"/>
      <c r="D19" s="464"/>
    </row>
    <row r="20" spans="1:5" ht="15.75" thickBot="1">
      <c r="A20" s="459" t="s">
        <v>677</v>
      </c>
      <c r="B20" s="465">
        <f>SUM(B16:B19)</f>
        <v>2157060.955854088</v>
      </c>
      <c r="C20" s="465">
        <f>SUM(C16:C19)</f>
        <v>1463432.6547900783</v>
      </c>
      <c r="D20" s="465">
        <f>SUM(D16:D19)</f>
        <v>2379705.1804222763</v>
      </c>
      <c r="E20" s="461">
        <f>SUM(E16:E19)</f>
        <v>6000198.791066442</v>
      </c>
    </row>
    <row r="22" spans="1:5" ht="15">
      <c r="A22" s="457" t="s">
        <v>679</v>
      </c>
      <c r="B22" s="458" t="s">
        <v>666</v>
      </c>
      <c r="C22" s="458" t="s">
        <v>667</v>
      </c>
      <c r="D22" s="458" t="s">
        <v>668</v>
      </c>
      <c r="E22" s="466" t="s">
        <v>669</v>
      </c>
    </row>
    <row r="23" spans="1:4" ht="15">
      <c r="A23" s="445" t="s">
        <v>675</v>
      </c>
      <c r="B23" s="445">
        <f>B7-B15</f>
        <v>214</v>
      </c>
      <c r="C23" s="445">
        <f>C7-C15</f>
        <v>214</v>
      </c>
      <c r="D23" s="445">
        <f>D7-D15</f>
        <v>214</v>
      </c>
    </row>
    <row r="24" spans="1:6" ht="15">
      <c r="A24" s="445" t="s">
        <v>676</v>
      </c>
      <c r="B24" s="450">
        <f>B8/B$7*B$23</f>
        <v>2633673.663426657</v>
      </c>
      <c r="C24" s="450">
        <f>C8/C$7*C$23</f>
        <v>1737873.108839317</v>
      </c>
      <c r="D24" s="450">
        <f>D8/D$7*D$23</f>
        <v>2762437.246149399</v>
      </c>
      <c r="E24" s="463">
        <f>SUM(B24:D24)</f>
        <v>7133984.018415373</v>
      </c>
      <c r="F24" s="467">
        <f>E8-E16-E24</f>
        <v>0</v>
      </c>
    </row>
    <row r="25" spans="1:6" ht="15">
      <c r="A25" s="445" t="s">
        <v>307</v>
      </c>
      <c r="B25" s="450">
        <f aca="true" t="shared" si="1" ref="B25:D26">B9/B$7*B$23</f>
        <v>180448.56079414333</v>
      </c>
      <c r="C25" s="450">
        <f t="shared" si="1"/>
        <v>148208.8263493891</v>
      </c>
      <c r="D25" s="450">
        <f t="shared" si="1"/>
        <v>279494.4919308847</v>
      </c>
      <c r="E25" s="463">
        <f>SUM(B25:D25)</f>
        <v>608151.879074417</v>
      </c>
      <c r="F25" s="467">
        <f>E9-E17-E25</f>
        <v>0</v>
      </c>
    </row>
    <row r="26" spans="1:6" ht="15">
      <c r="A26" s="445" t="s">
        <v>306</v>
      </c>
      <c r="B26" s="450">
        <f t="shared" si="1"/>
        <v>222792.5425737705</v>
      </c>
      <c r="C26" s="450">
        <f t="shared" si="1"/>
        <v>174277.19721311476</v>
      </c>
      <c r="D26" s="450">
        <f t="shared" si="1"/>
        <v>308442.66067213117</v>
      </c>
      <c r="E26" s="463">
        <f>SUM(B26:D26)</f>
        <v>705512.4004590164</v>
      </c>
      <c r="F26" s="467">
        <f>E10-E18-E26</f>
        <v>0</v>
      </c>
    </row>
    <row r="27" ht="15">
      <c r="E27" s="464"/>
    </row>
    <row r="28" spans="1:5" ht="15.75" thickBot="1">
      <c r="A28" s="459" t="s">
        <v>677</v>
      </c>
      <c r="B28" s="461">
        <f>SUM(B24:B27)</f>
        <v>3036914.766794571</v>
      </c>
      <c r="C28" s="461">
        <f>SUM(C24:C27)</f>
        <v>2060359.1324018207</v>
      </c>
      <c r="D28" s="461">
        <f>SUM(D24:D27)</f>
        <v>3350374.3987524146</v>
      </c>
      <c r="E28" s="465">
        <f>SUM(E24:E27)</f>
        <v>8447648.297948806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01.8515625" style="191" bestFit="1" customWidth="1"/>
    <col min="2" max="2" width="4.7109375" style="191" bestFit="1" customWidth="1"/>
    <col min="3" max="3" width="5.00390625" style="191" bestFit="1" customWidth="1"/>
    <col min="4" max="4" width="15.140625" style="191" bestFit="1" customWidth="1"/>
    <col min="5" max="5" width="14.140625" style="191" bestFit="1" customWidth="1"/>
    <col min="6" max="6" width="1.57421875" style="191" bestFit="1" customWidth="1"/>
    <col min="7" max="7" width="10.7109375" style="191" hidden="1" customWidth="1"/>
    <col min="8" max="8" width="14.140625" style="191" hidden="1" customWidth="1"/>
    <col min="9" max="9" width="6.421875" style="191" hidden="1" customWidth="1"/>
    <col min="10" max="12" width="10.7109375" style="191" hidden="1" customWidth="1"/>
    <col min="13" max="16384" width="0" style="191" hidden="1" customWidth="1"/>
  </cols>
  <sheetData>
    <row r="1" spans="1:8" ht="12.75">
      <c r="A1" s="155" t="s">
        <v>454</v>
      </c>
      <c r="B1" s="156"/>
      <c r="C1" s="157"/>
      <c r="D1" s="156"/>
      <c r="E1" s="1" t="s">
        <v>455</v>
      </c>
      <c r="F1" s="156"/>
      <c r="H1" s="192"/>
    </row>
    <row r="2" spans="1:8" s="156" customFormat="1" ht="12.75">
      <c r="A2" s="1" t="s">
        <v>58</v>
      </c>
      <c r="B2" s="157"/>
      <c r="C2" s="157"/>
      <c r="E2" s="158"/>
      <c r="H2" s="157"/>
    </row>
    <row r="3" spans="1:8" s="156" customFormat="1" ht="12.75">
      <c r="A3" s="1" t="str">
        <f>"Utility Name: "&amp;'A1.1 Distributor Information'!D13</f>
        <v>Utility Name: PowerStream Inc. - Richmond Hill</v>
      </c>
      <c r="C3" s="157"/>
      <c r="D3" s="159" t="s">
        <v>440</v>
      </c>
      <c r="E3" s="157"/>
      <c r="F3" s="157"/>
      <c r="G3" s="157"/>
      <c r="H3" s="157"/>
    </row>
    <row r="4" spans="1:8" s="156" customFormat="1" ht="12.75">
      <c r="A4" s="160" t="s">
        <v>482</v>
      </c>
      <c r="C4" s="157"/>
      <c r="D4" s="161" t="s">
        <v>435</v>
      </c>
      <c r="E4" s="193"/>
      <c r="H4" s="157"/>
    </row>
    <row r="5" spans="1:8" s="156" customFormat="1" ht="12.75">
      <c r="A5" s="1"/>
      <c r="C5" s="157"/>
      <c r="D5" s="162" t="s">
        <v>436</v>
      </c>
      <c r="E5" s="163"/>
      <c r="H5" s="157"/>
    </row>
    <row r="6" spans="1:8" s="156" customFormat="1" ht="12.75">
      <c r="A6" s="1" t="s">
        <v>125</v>
      </c>
      <c r="B6" s="194">
        <v>152</v>
      </c>
      <c r="C6" s="157" t="s">
        <v>126</v>
      </c>
      <c r="D6" s="158"/>
      <c r="H6" s="157"/>
    </row>
    <row r="7" spans="1:8" s="156" customFormat="1" ht="13.5" thickBot="1">
      <c r="A7" s="1" t="s">
        <v>249</v>
      </c>
      <c r="B7" s="62">
        <v>366</v>
      </c>
      <c r="C7" s="157" t="s">
        <v>126</v>
      </c>
      <c r="D7" s="157"/>
      <c r="E7" s="157"/>
      <c r="F7" s="157"/>
      <c r="G7" s="157"/>
      <c r="H7" s="157"/>
    </row>
    <row r="8" spans="1:16" s="156" customFormat="1" ht="13.5" thickTop="1">
      <c r="A8" s="164"/>
      <c r="B8" s="165"/>
      <c r="C8" s="166"/>
      <c r="D8" s="166"/>
      <c r="E8" s="164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8" s="156" customFormat="1" ht="12.75">
      <c r="A9" s="168" t="s">
        <v>59</v>
      </c>
      <c r="B9" s="167"/>
      <c r="C9" s="169"/>
      <c r="D9" s="167"/>
      <c r="E9" s="167"/>
      <c r="F9" s="167"/>
      <c r="G9" s="167"/>
      <c r="H9" s="167"/>
    </row>
    <row r="10" spans="1:8" s="156" customFormat="1" ht="12.75">
      <c r="A10" s="167" t="s">
        <v>60</v>
      </c>
      <c r="B10" s="167"/>
      <c r="C10" s="170"/>
      <c r="D10" s="169"/>
      <c r="E10" s="167"/>
      <c r="F10" s="167"/>
      <c r="G10" s="167"/>
      <c r="H10" s="167"/>
    </row>
    <row r="11" spans="1:8" s="156" customFormat="1" ht="12.75">
      <c r="A11" s="167" t="s">
        <v>61</v>
      </c>
      <c r="C11" s="169"/>
      <c r="D11" s="169"/>
      <c r="E11" s="167"/>
      <c r="F11" s="167"/>
      <c r="G11" s="167"/>
      <c r="H11" s="167"/>
    </row>
    <row r="12" spans="1:8" s="156" customFormat="1" ht="13.5" thickBot="1">
      <c r="A12" s="167" t="s">
        <v>62</v>
      </c>
      <c r="C12" s="169" t="s">
        <v>63</v>
      </c>
      <c r="D12" s="195" t="s">
        <v>479</v>
      </c>
      <c r="E12" s="167"/>
      <c r="F12" s="167"/>
      <c r="G12" s="167"/>
      <c r="H12" s="167"/>
    </row>
    <row r="13" spans="1:7" s="156" customFormat="1" ht="6.75" customHeight="1">
      <c r="A13" s="167"/>
      <c r="C13" s="169"/>
      <c r="D13" s="169"/>
      <c r="E13" s="167"/>
      <c r="F13" s="167"/>
      <c r="G13" s="167"/>
    </row>
    <row r="14" spans="1:7" s="156" customFormat="1" ht="12.75">
      <c r="A14" s="167" t="s">
        <v>64</v>
      </c>
      <c r="C14" s="169"/>
      <c r="D14" s="169"/>
      <c r="E14" s="167"/>
      <c r="F14" s="167"/>
      <c r="G14" s="167"/>
    </row>
    <row r="15" spans="1:4" s="156" customFormat="1" ht="13.5" customHeight="1" thickBot="1">
      <c r="A15" s="167" t="s">
        <v>65</v>
      </c>
      <c r="C15" s="157" t="s">
        <v>63</v>
      </c>
      <c r="D15" s="195" t="s">
        <v>480</v>
      </c>
    </row>
    <row r="16" spans="1:4" s="156" customFormat="1" ht="7.5" customHeight="1">
      <c r="A16" s="6"/>
      <c r="C16" s="157"/>
      <c r="D16" s="157"/>
    </row>
    <row r="17" spans="1:4" s="156" customFormat="1" ht="13.5" thickBot="1">
      <c r="A17" s="6" t="s">
        <v>184</v>
      </c>
      <c r="C17" s="157" t="s">
        <v>63</v>
      </c>
      <c r="D17" s="195" t="s">
        <v>480</v>
      </c>
    </row>
    <row r="18" spans="1:4" s="156" customFormat="1" ht="15" customHeight="1">
      <c r="A18" s="171" t="s">
        <v>308</v>
      </c>
      <c r="C18" s="157"/>
      <c r="D18" s="157"/>
    </row>
    <row r="19" spans="1:4" s="156" customFormat="1" ht="15" customHeight="1">
      <c r="A19" s="468" t="s">
        <v>309</v>
      </c>
      <c r="B19" s="157" t="s">
        <v>306</v>
      </c>
      <c r="C19" s="157" t="s">
        <v>63</v>
      </c>
      <c r="D19" s="194" t="s">
        <v>480</v>
      </c>
    </row>
    <row r="20" spans="1:4" s="156" customFormat="1" ht="13.5" thickBot="1">
      <c r="A20" s="469"/>
      <c r="B20" s="157" t="s">
        <v>307</v>
      </c>
      <c r="C20" s="157" t="s">
        <v>63</v>
      </c>
      <c r="D20" s="195" t="s">
        <v>480</v>
      </c>
    </row>
    <row r="21" spans="1:4" s="156" customFormat="1" ht="12.75">
      <c r="A21" s="468" t="s">
        <v>305</v>
      </c>
      <c r="B21" s="157" t="s">
        <v>306</v>
      </c>
      <c r="C21" s="157"/>
      <c r="D21" s="196"/>
    </row>
    <row r="22" spans="1:4" s="156" customFormat="1" ht="12.75">
      <c r="A22" s="468"/>
      <c r="B22" s="157" t="s">
        <v>307</v>
      </c>
      <c r="C22" s="157"/>
      <c r="D22" s="196"/>
    </row>
    <row r="23" spans="1:4" s="156" customFormat="1" ht="7.5" customHeight="1">
      <c r="A23" s="6"/>
      <c r="C23" s="157"/>
      <c r="D23" s="194"/>
    </row>
    <row r="24" spans="1:4" s="156" customFormat="1" ht="12.75">
      <c r="A24" s="6" t="s">
        <v>211</v>
      </c>
      <c r="C24" s="157" t="s">
        <v>212</v>
      </c>
      <c r="D24" s="197">
        <v>38352</v>
      </c>
    </row>
    <row r="25" s="156" customFormat="1" ht="6.75" customHeight="1" thickBot="1">
      <c r="A25" s="172"/>
    </row>
    <row r="26" spans="1:5" s="156" customFormat="1" ht="12.75">
      <c r="A26" s="173" t="s">
        <v>66</v>
      </c>
      <c r="C26" s="157"/>
      <c r="E26" s="174" t="s">
        <v>290</v>
      </c>
    </row>
    <row r="27" spans="1:5" s="156" customFormat="1" ht="12.75">
      <c r="A27" s="175" t="s">
        <v>67</v>
      </c>
      <c r="C27" s="157"/>
      <c r="E27" s="176" t="s">
        <v>291</v>
      </c>
    </row>
    <row r="28" spans="1:3" s="156" customFormat="1" ht="12.75">
      <c r="A28" s="175" t="s">
        <v>68</v>
      </c>
      <c r="C28" s="177"/>
    </row>
    <row r="29" s="156" customFormat="1" ht="12.75">
      <c r="A29" s="178" t="s">
        <v>69</v>
      </c>
    </row>
    <row r="30" s="156" customFormat="1" ht="12.75">
      <c r="A30" s="179"/>
    </row>
    <row r="31" spans="1:8" s="156" customFormat="1" ht="12.75">
      <c r="A31" s="156" t="s">
        <v>280</v>
      </c>
      <c r="D31" s="198">
        <v>104354290</v>
      </c>
      <c r="H31" s="180"/>
    </row>
    <row r="32" s="156" customFormat="1" ht="6" customHeight="1"/>
    <row r="33" spans="1:8" s="156" customFormat="1" ht="12.75">
      <c r="A33" s="156" t="s">
        <v>70</v>
      </c>
      <c r="D33" s="199">
        <v>0.45</v>
      </c>
      <c r="H33" s="181"/>
    </row>
    <row r="34" spans="6:8" s="156" customFormat="1" ht="6" customHeight="1">
      <c r="F34" s="156" t="s">
        <v>101</v>
      </c>
      <c r="H34" s="182"/>
    </row>
    <row r="35" spans="1:10" s="156" customFormat="1" ht="12.75">
      <c r="A35" s="156" t="s">
        <v>71</v>
      </c>
      <c r="D35" s="63">
        <f>1-D33</f>
        <v>0.55</v>
      </c>
      <c r="F35" s="181"/>
      <c r="H35" s="183"/>
      <c r="J35" s="181"/>
    </row>
    <row r="36" s="156" customFormat="1" ht="6" customHeight="1">
      <c r="H36" s="182"/>
    </row>
    <row r="37" spans="1:8" s="156" customFormat="1" ht="12.75">
      <c r="A37" s="156" t="s">
        <v>72</v>
      </c>
      <c r="D37" s="199">
        <v>0.0988</v>
      </c>
      <c r="H37" s="183"/>
    </row>
    <row r="38" s="156" customFormat="1" ht="4.5" customHeight="1">
      <c r="H38" s="182"/>
    </row>
    <row r="39" spans="1:8" s="156" customFormat="1" ht="12.75">
      <c r="A39" s="156" t="s">
        <v>73</v>
      </c>
      <c r="D39" s="199">
        <v>0.07</v>
      </c>
      <c r="H39" s="183"/>
    </row>
    <row r="40" s="156" customFormat="1" ht="6" customHeight="1">
      <c r="H40" s="182"/>
    </row>
    <row r="41" spans="1:8" s="156" customFormat="1" ht="12.75">
      <c r="A41" s="156" t="s">
        <v>74</v>
      </c>
      <c r="D41" s="64">
        <f>D31*((D33*D37)+(D35*D39))</f>
        <v>8657231.898400001</v>
      </c>
      <c r="H41" s="184"/>
    </row>
    <row r="42" spans="4:8" s="156" customFormat="1" ht="6" customHeight="1">
      <c r="D42" s="185"/>
      <c r="H42" s="184"/>
    </row>
    <row r="43" spans="1:11" s="156" customFormat="1" ht="12.75">
      <c r="A43" s="156" t="s">
        <v>75</v>
      </c>
      <c r="D43" s="200">
        <v>2530302</v>
      </c>
      <c r="E43" s="186">
        <f>D43</f>
        <v>2530302</v>
      </c>
      <c r="F43" s="185"/>
      <c r="H43" s="184"/>
      <c r="J43" s="180"/>
      <c r="K43" s="180"/>
    </row>
    <row r="44" spans="4:11" s="156" customFormat="1" ht="6" customHeight="1">
      <c r="D44" s="185"/>
      <c r="H44" s="184"/>
      <c r="J44" s="180"/>
      <c r="K44" s="180"/>
    </row>
    <row r="45" spans="1:11" s="156" customFormat="1" ht="12.75">
      <c r="A45" s="156" t="s">
        <v>76</v>
      </c>
      <c r="D45" s="64">
        <f>D41-D43</f>
        <v>6126929.898400001</v>
      </c>
      <c r="H45" s="184"/>
      <c r="J45" s="180"/>
      <c r="K45" s="180"/>
    </row>
    <row r="46" spans="1:11" s="156" customFormat="1" ht="12.75">
      <c r="A46" s="1" t="s">
        <v>281</v>
      </c>
      <c r="D46" s="184"/>
      <c r="H46" s="184"/>
      <c r="J46" s="180"/>
      <c r="K46" s="180"/>
    </row>
    <row r="47" spans="1:11" s="156" customFormat="1" ht="12.75">
      <c r="A47" s="156" t="s">
        <v>282</v>
      </c>
      <c r="D47" s="130">
        <v>2042310</v>
      </c>
      <c r="E47" s="186">
        <f aca="true" t="shared" si="0" ref="E47:E53">D47</f>
        <v>2042310</v>
      </c>
      <c r="H47" s="184"/>
      <c r="J47" s="180"/>
      <c r="K47" s="180"/>
    </row>
    <row r="48" spans="1:11" s="156" customFormat="1" ht="12.75">
      <c r="A48" s="156" t="s">
        <v>283</v>
      </c>
      <c r="D48" s="130">
        <v>2042310</v>
      </c>
      <c r="E48" s="186">
        <f>D48</f>
        <v>2042310</v>
      </c>
      <c r="F48" s="185"/>
      <c r="H48" s="184"/>
      <c r="J48" s="180"/>
      <c r="K48" s="180"/>
    </row>
    <row r="49" spans="1:11" s="156" customFormat="1" ht="12.75">
      <c r="A49" s="156" t="s">
        <v>284</v>
      </c>
      <c r="D49" s="186"/>
      <c r="E49" s="186">
        <v>0</v>
      </c>
      <c r="F49" s="185"/>
      <c r="H49" s="184"/>
      <c r="J49" s="180"/>
      <c r="K49" s="180"/>
    </row>
    <row r="50" spans="1:11" s="156" customFormat="1" ht="12.75">
      <c r="A50" s="156" t="s">
        <v>285</v>
      </c>
      <c r="D50" s="186"/>
      <c r="E50" s="186">
        <f t="shared" si="0"/>
        <v>0</v>
      </c>
      <c r="H50" s="184"/>
      <c r="J50" s="180"/>
      <c r="K50" s="180"/>
    </row>
    <row r="51" spans="1:11" s="156" customFormat="1" ht="12.75">
      <c r="A51" s="156" t="s">
        <v>433</v>
      </c>
      <c r="D51" s="186"/>
      <c r="E51" s="186">
        <f t="shared" si="0"/>
        <v>0</v>
      </c>
      <c r="H51" s="184"/>
      <c r="J51" s="180"/>
      <c r="K51" s="180"/>
    </row>
    <row r="52" spans="1:11" s="156" customFormat="1" ht="12.75">
      <c r="A52" s="156" t="s">
        <v>456</v>
      </c>
      <c r="D52" s="186"/>
      <c r="E52" s="186">
        <f t="shared" si="0"/>
        <v>0</v>
      </c>
      <c r="H52" s="184"/>
      <c r="J52" s="180"/>
      <c r="K52" s="180"/>
    </row>
    <row r="53" spans="4:11" s="156" customFormat="1" ht="12.75">
      <c r="D53" s="186"/>
      <c r="E53" s="186">
        <f t="shared" si="0"/>
        <v>0</v>
      </c>
      <c r="H53" s="184"/>
      <c r="J53" s="180"/>
      <c r="K53" s="180"/>
    </row>
    <row r="54" spans="1:11" s="156" customFormat="1" ht="12.75">
      <c r="A54" s="1" t="s">
        <v>286</v>
      </c>
      <c r="E54" s="64">
        <f>SUM(E43:E53)</f>
        <v>6614922</v>
      </c>
      <c r="H54" s="184"/>
      <c r="J54" s="180"/>
      <c r="K54" s="180"/>
    </row>
    <row r="55" spans="4:11" s="156" customFormat="1" ht="12.75">
      <c r="D55" s="4"/>
      <c r="H55" s="184"/>
      <c r="J55" s="180"/>
      <c r="K55" s="180"/>
    </row>
    <row r="56" spans="1:11" s="156" customFormat="1" ht="12.75">
      <c r="A56" s="156" t="s">
        <v>77</v>
      </c>
      <c r="B56" s="180"/>
      <c r="C56" s="180"/>
      <c r="D56" s="65">
        <f>D31*D33</f>
        <v>46959430.5</v>
      </c>
      <c r="H56" s="187"/>
      <c r="J56" s="180"/>
      <c r="K56" s="180"/>
    </row>
    <row r="57" spans="1:11" s="156" customFormat="1" ht="12.75">
      <c r="A57" s="188"/>
      <c r="B57" s="180"/>
      <c r="C57" s="180"/>
      <c r="D57" s="180"/>
      <c r="F57" s="180"/>
      <c r="H57" s="187"/>
      <c r="J57" s="180"/>
      <c r="K57" s="180"/>
    </row>
    <row r="58" spans="1:11" s="156" customFormat="1" ht="12.75">
      <c r="A58" s="156" t="s">
        <v>78</v>
      </c>
      <c r="B58" s="180"/>
      <c r="C58" s="180"/>
      <c r="D58" s="65">
        <f>D56*D37</f>
        <v>4639591.7334</v>
      </c>
      <c r="F58" s="180"/>
      <c r="H58" s="187"/>
      <c r="J58" s="180"/>
      <c r="K58" s="180"/>
    </row>
    <row r="59" spans="2:11" s="156" customFormat="1" ht="12.75">
      <c r="B59" s="180"/>
      <c r="C59" s="180"/>
      <c r="D59" s="180"/>
      <c r="F59" s="180"/>
      <c r="H59" s="187"/>
      <c r="J59" s="180"/>
      <c r="K59" s="180"/>
    </row>
    <row r="60" spans="1:11" s="156" customFormat="1" ht="12.75">
      <c r="A60" s="156" t="s">
        <v>79</v>
      </c>
      <c r="B60" s="180"/>
      <c r="C60" s="180"/>
      <c r="D60" s="65">
        <f>D31*D35</f>
        <v>57394859.50000001</v>
      </c>
      <c r="F60" s="180"/>
      <c r="H60" s="187"/>
      <c r="J60" s="180"/>
      <c r="K60" s="180"/>
    </row>
    <row r="61" spans="2:11" s="156" customFormat="1" ht="12.75">
      <c r="B61" s="180"/>
      <c r="C61" s="180"/>
      <c r="D61" s="180"/>
      <c r="F61" s="180"/>
      <c r="H61" s="187"/>
      <c r="J61" s="180"/>
      <c r="K61" s="180"/>
    </row>
    <row r="62" spans="1:11" s="156" customFormat="1" ht="12.75">
      <c r="A62" s="156" t="s">
        <v>304</v>
      </c>
      <c r="B62" s="180"/>
      <c r="C62" s="180"/>
      <c r="D62" s="65">
        <f>D60*D39</f>
        <v>4017640.165000001</v>
      </c>
      <c r="F62" s="180"/>
      <c r="H62" s="187"/>
      <c r="J62" s="180"/>
      <c r="K62" s="180"/>
    </row>
    <row r="63" spans="2:11" s="156" customFormat="1" ht="12.75">
      <c r="B63" s="180"/>
      <c r="C63" s="180"/>
      <c r="D63" s="180"/>
      <c r="F63" s="180"/>
      <c r="H63" s="187"/>
      <c r="J63" s="180"/>
      <c r="K63" s="180"/>
    </row>
    <row r="64" spans="1:11" s="156" customFormat="1" ht="12.75">
      <c r="A64" s="156" t="s">
        <v>287</v>
      </c>
      <c r="B64" s="180"/>
      <c r="C64" s="180"/>
      <c r="D64" s="189">
        <f>IF(D41&gt;0,(((D43+D47)/D41)*D62),0)</f>
        <v>2122053.543876567</v>
      </c>
      <c r="F64" s="180"/>
      <c r="H64" s="187"/>
      <c r="J64" s="180"/>
      <c r="K64" s="180"/>
    </row>
    <row r="65" spans="1:11" s="156" customFormat="1" ht="12.75">
      <c r="A65" s="9" t="s">
        <v>372</v>
      </c>
      <c r="B65" s="180"/>
      <c r="C65" s="180"/>
      <c r="D65" s="187"/>
      <c r="F65" s="180"/>
      <c r="H65" s="187"/>
      <c r="J65" s="180"/>
      <c r="K65" s="180"/>
    </row>
    <row r="66" spans="1:11" s="156" customFormat="1" ht="12.75">
      <c r="A66" s="156" t="s">
        <v>288</v>
      </c>
      <c r="B66" s="180"/>
      <c r="C66" s="180"/>
      <c r="D66" s="189">
        <f>IF(D41&gt;0,(((D43+D47+D48)/D41)*D62),0)</f>
        <v>3069846.878013501</v>
      </c>
      <c r="F66" s="180"/>
      <c r="H66" s="187"/>
      <c r="J66" s="180"/>
      <c r="K66" s="180"/>
    </row>
    <row r="67" spans="1:11" s="156" customFormat="1" ht="12.75">
      <c r="A67" s="9" t="s">
        <v>373</v>
      </c>
      <c r="B67" s="180"/>
      <c r="C67" s="180"/>
      <c r="D67" s="187"/>
      <c r="F67" s="180"/>
      <c r="H67" s="187"/>
      <c r="J67" s="180"/>
      <c r="K67" s="180"/>
    </row>
    <row r="68" spans="1:10" s="156" customFormat="1" ht="12.75">
      <c r="A68" s="6" t="s">
        <v>289</v>
      </c>
      <c r="B68" s="180"/>
      <c r="C68" s="180"/>
      <c r="D68" s="189">
        <f>IF(D41&gt;0,(((D43+D47+D48)/D41)*D62),0)</f>
        <v>3069846.878013501</v>
      </c>
      <c r="F68" s="180"/>
      <c r="H68" s="187"/>
      <c r="J68" s="180"/>
    </row>
    <row r="69" spans="1:10" s="156" customFormat="1" ht="12.75">
      <c r="A69" s="9" t="s">
        <v>374</v>
      </c>
      <c r="B69" s="180"/>
      <c r="C69" s="180"/>
      <c r="D69" s="180"/>
      <c r="F69" s="180"/>
      <c r="H69" s="187"/>
      <c r="J69" s="180"/>
    </row>
    <row r="70" spans="1:10" s="156" customFormat="1" ht="12.75">
      <c r="A70" s="6" t="s">
        <v>441</v>
      </c>
      <c r="B70" s="180"/>
      <c r="C70" s="180"/>
      <c r="D70" s="189">
        <f>D62</f>
        <v>4017640.165000001</v>
      </c>
      <c r="F70" s="180"/>
      <c r="H70" s="182"/>
      <c r="J70" s="180"/>
    </row>
    <row r="71" spans="1:8" s="156" customFormat="1" ht="12.75">
      <c r="A71" s="190"/>
      <c r="B71" s="180"/>
      <c r="C71" s="180"/>
      <c r="D71" s="180"/>
      <c r="H71" s="182"/>
    </row>
    <row r="72" spans="2:8" s="156" customFormat="1" ht="12.75">
      <c r="B72" s="180"/>
      <c r="C72" s="180"/>
      <c r="D72" s="180"/>
      <c r="H72" s="182"/>
    </row>
    <row r="73" spans="2:8" s="156" customFormat="1" ht="12.75">
      <c r="B73" s="180"/>
      <c r="C73" s="180"/>
      <c r="D73" s="180"/>
      <c r="H73" s="182"/>
    </row>
    <row r="74" spans="2:8" s="156" customFormat="1" ht="12.75">
      <c r="B74" s="180"/>
      <c r="C74" s="180"/>
      <c r="D74" s="180"/>
      <c r="H74" s="182"/>
    </row>
    <row r="75" spans="2:8" s="156" customFormat="1" ht="12.75">
      <c r="B75" s="180"/>
      <c r="C75" s="180"/>
      <c r="D75" s="180"/>
      <c r="H75" s="182"/>
    </row>
    <row r="76" s="156" customFormat="1" ht="12.75">
      <c r="H76" s="182"/>
    </row>
    <row r="77" s="156" customFormat="1" ht="12.75"/>
    <row r="78" s="156" customFormat="1" ht="12.75"/>
    <row r="79" s="156" customFormat="1" ht="12.75"/>
    <row r="80" s="156" customFormat="1" ht="12.75"/>
    <row r="81" s="156" customFormat="1" ht="12.75"/>
    <row r="82" s="156" customFormat="1" ht="12.75"/>
    <row r="83" s="156" customFormat="1" ht="12.75"/>
    <row r="84" s="156" customFormat="1" ht="12.75"/>
    <row r="85" s="156" customFormat="1" ht="12.75"/>
    <row r="86" s="156" customFormat="1" ht="12.75"/>
    <row r="87" s="156" customFormat="1" ht="12.75"/>
    <row r="88" s="156" customFormat="1" ht="12.75"/>
    <row r="89" s="156" customFormat="1" ht="12.75"/>
    <row r="90" s="156" customFormat="1" ht="12.75"/>
    <row r="91" s="156" customFormat="1" ht="12.75"/>
    <row r="92" s="156" customFormat="1" ht="12.75"/>
    <row r="93" s="156" customFormat="1" ht="12.75"/>
    <row r="94" s="156" customFormat="1" ht="12.75"/>
    <row r="95" s="156" customFormat="1" ht="12.75"/>
    <row r="96" s="156" customFormat="1" ht="12.75"/>
    <row r="97" s="156" customFormat="1" ht="12.75"/>
    <row r="98" s="156" customFormat="1" ht="12.75"/>
    <row r="99" s="156" customFormat="1" ht="12.75"/>
    <row r="100" s="156" customFormat="1" ht="12.75"/>
    <row r="101" s="156" customFormat="1" ht="12.75"/>
    <row r="102" s="156" customFormat="1" ht="12.75"/>
    <row r="103" s="156" customFormat="1" ht="12.75"/>
    <row r="104" s="156" customFormat="1" ht="12.75"/>
    <row r="105" s="156" customFormat="1" ht="12.75"/>
    <row r="106" s="156" customFormat="1" ht="12.75"/>
    <row r="107" s="156" customFormat="1" ht="12.75"/>
    <row r="108" s="156" customFormat="1" ht="12.75"/>
    <row r="109" s="156" customFormat="1" ht="12.75"/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tabSelected="1" zoomScale="90" zoomScaleNormal="90" zoomScalePageLayoutView="0" workbookViewId="0" topLeftCell="A94">
      <selection activeCell="A124" sqref="A124"/>
    </sheetView>
  </sheetViews>
  <sheetFormatPr defaultColWidth="0" defaultRowHeight="12.75" zeroHeight="1"/>
  <cols>
    <col min="1" max="1" width="61.57421875" style="191" bestFit="1" customWidth="1"/>
    <col min="2" max="2" width="5.421875" style="191" bestFit="1" customWidth="1"/>
    <col min="3" max="3" width="12.00390625" style="191" bestFit="1" customWidth="1"/>
    <col min="4" max="4" width="2.140625" style="191" bestFit="1" customWidth="1"/>
    <col min="5" max="5" width="12.7109375" style="191" customWidth="1"/>
    <col min="6" max="7" width="14.7109375" style="191" bestFit="1" customWidth="1"/>
    <col min="8" max="8" width="15.7109375" style="191" customWidth="1"/>
    <col min="9" max="9" width="22.7109375" style="191" bestFit="1" customWidth="1"/>
    <col min="10" max="10" width="25.8515625" style="191" bestFit="1" customWidth="1"/>
    <col min="11" max="16" width="10.7109375" style="191" hidden="1" customWidth="1"/>
    <col min="17" max="16384" width="0" style="191" hidden="1" customWidth="1"/>
  </cols>
  <sheetData>
    <row r="1" spans="1:10" ht="12.75">
      <c r="A1" s="201" t="str">
        <f>REGINFO!A1</f>
        <v>PILs TAXES - EB-2008-381</v>
      </c>
      <c r="B1" s="202" t="s">
        <v>127</v>
      </c>
      <c r="C1" s="203" t="s">
        <v>33</v>
      </c>
      <c r="D1" s="204"/>
      <c r="E1" s="205" t="s">
        <v>23</v>
      </c>
      <c r="F1" s="206" t="s">
        <v>23</v>
      </c>
      <c r="G1" s="207" t="s">
        <v>458</v>
      </c>
      <c r="H1" s="208"/>
      <c r="I1" s="156"/>
      <c r="J1" s="156"/>
    </row>
    <row r="2" spans="1:8" s="156" customFormat="1" ht="12.75">
      <c r="A2" s="32" t="s">
        <v>457</v>
      </c>
      <c r="B2" s="14"/>
      <c r="C2" s="209" t="s">
        <v>34</v>
      </c>
      <c r="D2" s="210"/>
      <c r="E2" s="18" t="s">
        <v>24</v>
      </c>
      <c r="F2" s="211" t="s">
        <v>24</v>
      </c>
      <c r="G2" s="22" t="s">
        <v>459</v>
      </c>
      <c r="H2" s="212"/>
    </row>
    <row r="3" spans="1:8" s="156" customFormat="1" ht="12.75">
      <c r="A3" s="32" t="s">
        <v>48</v>
      </c>
      <c r="B3" s="15"/>
      <c r="C3" s="23"/>
      <c r="D3" s="210"/>
      <c r="E3" s="20" t="s">
        <v>21</v>
      </c>
      <c r="F3" s="169" t="s">
        <v>21</v>
      </c>
      <c r="G3" s="20"/>
      <c r="H3" s="212"/>
    </row>
    <row r="4" spans="1:8" s="156" customFormat="1" ht="12.75">
      <c r="A4" s="33" t="s">
        <v>40</v>
      </c>
      <c r="B4" s="16"/>
      <c r="C4" s="23"/>
      <c r="D4" s="210"/>
      <c r="E4" s="20" t="s">
        <v>243</v>
      </c>
      <c r="F4" s="169" t="s">
        <v>22</v>
      </c>
      <c r="G4" s="20"/>
      <c r="H4" s="212"/>
    </row>
    <row r="5" spans="1:8" s="156" customFormat="1" ht="12.75">
      <c r="A5" s="32">
        <f>REGINFO!E2</f>
        <v>0</v>
      </c>
      <c r="B5" s="16"/>
      <c r="C5" s="23"/>
      <c r="D5" s="210"/>
      <c r="E5" s="20"/>
      <c r="F5" s="169"/>
      <c r="G5" s="22" t="str">
        <f>REGINFO!E1</f>
        <v>Version 2009.1</v>
      </c>
      <c r="H5" s="212"/>
    </row>
    <row r="6" spans="1:8" s="156" customFormat="1" ht="12.75">
      <c r="A6" s="32" t="str">
        <f>REGINFO!A3</f>
        <v>Utility Name: PowerStream Inc. - Richmond Hill</v>
      </c>
      <c r="B6" s="16"/>
      <c r="D6" s="20"/>
      <c r="E6" s="16"/>
      <c r="G6" s="16"/>
      <c r="H6" s="213"/>
    </row>
    <row r="7" spans="1:8" s="156" customFormat="1" ht="12.75">
      <c r="A7" s="32" t="str">
        <f>REGINFO!A4</f>
        <v>Reporting period:  2004</v>
      </c>
      <c r="B7" s="16"/>
      <c r="D7" s="20"/>
      <c r="E7" s="16"/>
      <c r="G7" s="16"/>
      <c r="H7" s="213"/>
    </row>
    <row r="8" spans="2:12" s="156" customFormat="1" ht="12.75">
      <c r="B8" s="16"/>
      <c r="C8" s="11"/>
      <c r="D8" s="210"/>
      <c r="E8" s="20"/>
      <c r="F8" s="169"/>
      <c r="G8" s="22" t="s">
        <v>86</v>
      </c>
      <c r="H8" s="212"/>
      <c r="J8" s="214" t="s">
        <v>128</v>
      </c>
      <c r="K8" s="214"/>
      <c r="L8" s="214"/>
    </row>
    <row r="9" spans="1:8" s="156" customFormat="1" ht="12.75">
      <c r="A9" s="32" t="s">
        <v>125</v>
      </c>
      <c r="B9" s="215">
        <f>REGINFO!B6</f>
        <v>152</v>
      </c>
      <c r="C9" s="216" t="s">
        <v>126</v>
      </c>
      <c r="D9" s="210"/>
      <c r="E9" s="20"/>
      <c r="F9" s="169"/>
      <c r="G9" s="22" t="s">
        <v>89</v>
      </c>
      <c r="H9" s="212"/>
    </row>
    <row r="10" spans="1:8" s="156" customFormat="1" ht="12.75">
      <c r="A10" s="32" t="s">
        <v>249</v>
      </c>
      <c r="B10" s="215">
        <f>REGINFO!B7</f>
        <v>366</v>
      </c>
      <c r="C10" s="216" t="s">
        <v>126</v>
      </c>
      <c r="D10" s="210"/>
      <c r="E10" s="57"/>
      <c r="F10" s="169"/>
      <c r="G10" s="217" t="s">
        <v>87</v>
      </c>
      <c r="H10" s="212"/>
    </row>
    <row r="11" spans="1:8" s="156" customFormat="1" ht="12.75">
      <c r="A11" s="34"/>
      <c r="B11" s="16"/>
      <c r="C11" s="11"/>
      <c r="D11" s="210"/>
      <c r="E11" s="218"/>
      <c r="F11" s="169"/>
      <c r="G11" s="217" t="s">
        <v>88</v>
      </c>
      <c r="H11" s="212"/>
    </row>
    <row r="12" spans="1:8" s="156" customFormat="1" ht="13.5" thickBot="1">
      <c r="A12" s="34"/>
      <c r="B12" s="16"/>
      <c r="C12" s="23" t="s">
        <v>25</v>
      </c>
      <c r="D12" s="210"/>
      <c r="E12" s="23" t="s">
        <v>25</v>
      </c>
      <c r="F12" s="169"/>
      <c r="G12" s="23" t="s">
        <v>25</v>
      </c>
      <c r="H12" s="212"/>
    </row>
    <row r="13" spans="1:8" s="156" customFormat="1" ht="13.5" thickTop="1">
      <c r="A13" s="32"/>
      <c r="B13" s="17"/>
      <c r="C13" s="219"/>
      <c r="D13" s="220"/>
      <c r="E13" s="24"/>
      <c r="F13" s="166"/>
      <c r="G13" s="56"/>
      <c r="H13" s="221"/>
    </row>
    <row r="14" spans="1:8" s="156" customFormat="1" ht="12.75">
      <c r="A14" s="35" t="s">
        <v>30</v>
      </c>
      <c r="B14" s="14" t="s">
        <v>101</v>
      </c>
      <c r="C14" s="13"/>
      <c r="D14" s="210"/>
      <c r="E14" s="218"/>
      <c r="F14" s="167"/>
      <c r="G14" s="222"/>
      <c r="H14" s="212"/>
    </row>
    <row r="15" spans="2:8" s="156" customFormat="1" ht="12.75">
      <c r="B15" s="15"/>
      <c r="C15" s="13"/>
      <c r="D15" s="210"/>
      <c r="E15" s="218"/>
      <c r="F15" s="167"/>
      <c r="G15" s="222"/>
      <c r="H15" s="212"/>
    </row>
    <row r="16" spans="1:8" s="156" customFormat="1" ht="12.75">
      <c r="A16" s="36" t="s">
        <v>334</v>
      </c>
      <c r="B16" s="18">
        <v>1</v>
      </c>
      <c r="C16" s="68">
        <f>REGINFO!E54</f>
        <v>6614922</v>
      </c>
      <c r="D16" s="210"/>
      <c r="E16" s="70">
        <f>G16-C16</f>
        <v>-2428318</v>
      </c>
      <c r="F16" s="167"/>
      <c r="G16" s="70">
        <f>TAXREC!E50</f>
        <v>4186604</v>
      </c>
      <c r="H16" s="212"/>
    </row>
    <row r="17" spans="1:8" s="156" customFormat="1" ht="12.75">
      <c r="A17" s="33"/>
      <c r="B17" s="18"/>
      <c r="C17" s="223"/>
      <c r="D17" s="210"/>
      <c r="E17" s="26"/>
      <c r="F17" s="167"/>
      <c r="G17" s="26"/>
      <c r="H17" s="212"/>
    </row>
    <row r="18" spans="1:8" s="156" customFormat="1" ht="12.75">
      <c r="A18" s="33" t="s">
        <v>26</v>
      </c>
      <c r="B18" s="18"/>
      <c r="C18" s="223"/>
      <c r="D18" s="210"/>
      <c r="E18" s="26"/>
      <c r="F18" s="167"/>
      <c r="G18" s="26"/>
      <c r="H18" s="212"/>
    </row>
    <row r="19" spans="1:8" s="156" customFormat="1" ht="12.75">
      <c r="A19" s="37" t="s">
        <v>207</v>
      </c>
      <c r="B19" s="19"/>
      <c r="C19" s="13"/>
      <c r="D19" s="224"/>
      <c r="E19" s="26"/>
      <c r="F19" s="225"/>
      <c r="G19" s="26"/>
      <c r="H19" s="212"/>
    </row>
    <row r="20" spans="1:8" s="156" customFormat="1" ht="12.75">
      <c r="A20" s="38" t="s">
        <v>4</v>
      </c>
      <c r="B20" s="20">
        <v>2</v>
      </c>
      <c r="C20" s="483">
        <v>5536188</v>
      </c>
      <c r="D20" s="224"/>
      <c r="E20" s="70">
        <f>G20-C20</f>
        <v>-3067219</v>
      </c>
      <c r="F20" s="225"/>
      <c r="G20" s="70">
        <f>TAXREC!E61</f>
        <v>2468969</v>
      </c>
      <c r="H20" s="212"/>
    </row>
    <row r="21" spans="1:8" s="156" customFormat="1" ht="12.75">
      <c r="A21" s="39" t="s">
        <v>55</v>
      </c>
      <c r="B21" s="20">
        <v>3</v>
      </c>
      <c r="C21" s="483"/>
      <c r="D21" s="224"/>
      <c r="E21" s="70">
        <f>G21-C21</f>
        <v>0</v>
      </c>
      <c r="F21" s="225"/>
      <c r="G21" s="70">
        <f>TAXREC!E62</f>
        <v>0</v>
      </c>
      <c r="H21" s="212"/>
    </row>
    <row r="22" spans="1:8" s="156" customFormat="1" ht="12.75">
      <c r="A22" s="39" t="s">
        <v>257</v>
      </c>
      <c r="B22" s="20">
        <v>4</v>
      </c>
      <c r="C22" s="483"/>
      <c r="D22" s="224"/>
      <c r="E22" s="70">
        <f>G22-C22</f>
        <v>0</v>
      </c>
      <c r="F22" s="225"/>
      <c r="G22" s="70">
        <f>TAXREC!E63</f>
        <v>0</v>
      </c>
      <c r="H22" s="212"/>
    </row>
    <row r="23" spans="1:8" s="156" customFormat="1" ht="12.75">
      <c r="A23" s="39" t="s">
        <v>256</v>
      </c>
      <c r="B23" s="20">
        <v>4</v>
      </c>
      <c r="C23" s="483"/>
      <c r="D23" s="224"/>
      <c r="E23" s="70">
        <f>G23-C23</f>
        <v>618453</v>
      </c>
      <c r="F23" s="225"/>
      <c r="G23" s="70">
        <f>TAXREC!E64</f>
        <v>618453</v>
      </c>
      <c r="H23" s="212"/>
    </row>
    <row r="24" spans="1:8" s="156" customFormat="1" ht="12.75">
      <c r="A24" s="39" t="s">
        <v>258</v>
      </c>
      <c r="B24" s="20">
        <v>5</v>
      </c>
      <c r="C24" s="483"/>
      <c r="D24" s="224"/>
      <c r="E24" s="70">
        <f>G24-C24</f>
        <v>0</v>
      </c>
      <c r="F24" s="225"/>
      <c r="G24" s="70">
        <f>TAXREC!E65</f>
        <v>0</v>
      </c>
      <c r="H24" s="212"/>
    </row>
    <row r="25" spans="1:8" s="156" customFormat="1" ht="12.75">
      <c r="A25" s="39" t="s">
        <v>52</v>
      </c>
      <c r="B25" s="20"/>
      <c r="C25" s="13" t="s">
        <v>101</v>
      </c>
      <c r="D25" s="224"/>
      <c r="E25" s="54"/>
      <c r="F25" s="9"/>
      <c r="G25" s="54"/>
      <c r="H25" s="212"/>
    </row>
    <row r="26" spans="1:8" s="156" customFormat="1" ht="12.75">
      <c r="A26" s="39" t="s">
        <v>155</v>
      </c>
      <c r="B26" s="20">
        <v>6</v>
      </c>
      <c r="C26" s="483"/>
      <c r="D26" s="224"/>
      <c r="E26" s="70">
        <f>G26-C26</f>
        <v>0</v>
      </c>
      <c r="F26" s="225"/>
      <c r="G26" s="70">
        <f>TAXREC!E92</f>
        <v>0</v>
      </c>
      <c r="H26" s="212"/>
    </row>
    <row r="27" spans="1:8" s="156" customFormat="1" ht="12.75">
      <c r="A27" s="39" t="s">
        <v>158</v>
      </c>
      <c r="B27" s="20">
        <v>6</v>
      </c>
      <c r="C27" s="483"/>
      <c r="D27" s="224"/>
      <c r="E27" s="70">
        <f>G27-C27</f>
        <v>72883</v>
      </c>
      <c r="F27" s="225"/>
      <c r="G27" s="70">
        <f>TAXREC!E93</f>
        <v>72883</v>
      </c>
      <c r="H27" s="212"/>
    </row>
    <row r="28" spans="1:8" s="156" customFormat="1" ht="12.75">
      <c r="A28" s="39" t="s">
        <v>157</v>
      </c>
      <c r="B28" s="20">
        <v>6</v>
      </c>
      <c r="C28" s="483"/>
      <c r="D28" s="224"/>
      <c r="E28" s="70">
        <f>G28-C28</f>
        <v>1756907</v>
      </c>
      <c r="F28" s="225"/>
      <c r="G28" s="70">
        <f>TAXREC!E67</f>
        <v>1756907</v>
      </c>
      <c r="H28" s="212"/>
    </row>
    <row r="29" spans="1:8" s="156" customFormat="1" ht="12.75">
      <c r="A29" s="39" t="s">
        <v>156</v>
      </c>
      <c r="B29" s="20">
        <v>6</v>
      </c>
      <c r="C29" s="483"/>
      <c r="D29" s="224"/>
      <c r="E29" s="70">
        <f>G29-C29</f>
        <v>42925</v>
      </c>
      <c r="F29" s="225"/>
      <c r="G29" s="70">
        <f>TAXREC!E68</f>
        <v>42925</v>
      </c>
      <c r="H29" s="212"/>
    </row>
    <row r="30" spans="1:8" s="156" customFormat="1" ht="15.75">
      <c r="A30" s="141" t="s">
        <v>389</v>
      </c>
      <c r="B30" s="20"/>
      <c r="C30" s="68"/>
      <c r="D30" s="224"/>
      <c r="E30" s="70">
        <f>G30-C30</f>
        <v>1578674</v>
      </c>
      <c r="F30" s="225"/>
      <c r="G30" s="70">
        <f>TAXREC!E66</f>
        <v>1578674</v>
      </c>
      <c r="H30" s="212"/>
    </row>
    <row r="31" spans="1:8" s="156" customFormat="1" ht="12.75">
      <c r="A31" s="39"/>
      <c r="B31" s="20"/>
      <c r="C31" s="13"/>
      <c r="D31" s="224"/>
      <c r="E31" s="26"/>
      <c r="F31" s="225"/>
      <c r="G31" s="26"/>
      <c r="H31" s="212"/>
    </row>
    <row r="32" spans="1:8" s="156" customFormat="1" ht="12.75">
      <c r="A32" s="37" t="s">
        <v>335</v>
      </c>
      <c r="B32" s="19"/>
      <c r="C32" s="13"/>
      <c r="D32" s="226"/>
      <c r="E32" s="26"/>
      <c r="F32" s="225"/>
      <c r="G32" s="26"/>
      <c r="H32" s="212"/>
    </row>
    <row r="33" spans="1:8" s="156" customFormat="1" ht="12.75">
      <c r="A33" s="36" t="s">
        <v>102</v>
      </c>
      <c r="B33" s="20">
        <v>7</v>
      </c>
      <c r="C33" s="483">
        <v>4271174</v>
      </c>
      <c r="D33" s="226"/>
      <c r="E33" s="70">
        <f aca="true" t="shared" si="0" ref="E33:E42">G33-C33</f>
        <v>-1142830</v>
      </c>
      <c r="F33" s="225"/>
      <c r="G33" s="70">
        <f>TAXREC!E97+TAXREC!E98</f>
        <v>3128344</v>
      </c>
      <c r="H33" s="212"/>
    </row>
    <row r="34" spans="1:8" s="156" customFormat="1" ht="12.75">
      <c r="A34" s="39" t="s">
        <v>56</v>
      </c>
      <c r="B34" s="20">
        <v>8</v>
      </c>
      <c r="C34" s="483"/>
      <c r="D34" s="226"/>
      <c r="E34" s="70">
        <f t="shared" si="0"/>
        <v>0</v>
      </c>
      <c r="F34" s="225"/>
      <c r="G34" s="70">
        <f>TAXREC!E99</f>
        <v>0</v>
      </c>
      <c r="H34" s="212"/>
    </row>
    <row r="35" spans="1:8" s="156" customFormat="1" ht="12.75">
      <c r="A35" s="39" t="s">
        <v>44</v>
      </c>
      <c r="B35" s="20">
        <v>9</v>
      </c>
      <c r="C35" s="483"/>
      <c r="D35" s="226"/>
      <c r="E35" s="70">
        <f t="shared" si="0"/>
        <v>0</v>
      </c>
      <c r="F35" s="225"/>
      <c r="G35" s="70">
        <f>TAXREC!E100</f>
        <v>0</v>
      </c>
      <c r="H35" s="212"/>
    </row>
    <row r="36" spans="1:8" s="156" customFormat="1" ht="12.75">
      <c r="A36" s="39" t="s">
        <v>259</v>
      </c>
      <c r="B36" s="20">
        <v>10</v>
      </c>
      <c r="C36" s="483"/>
      <c r="D36" s="226"/>
      <c r="E36" s="70">
        <f t="shared" si="0"/>
        <v>0</v>
      </c>
      <c r="F36" s="225"/>
      <c r="G36" s="70">
        <f>TAXREC!E102+TAXREC!E103</f>
        <v>0</v>
      </c>
      <c r="H36" s="212"/>
    </row>
    <row r="37" spans="1:8" s="156" customFormat="1" ht="12.75">
      <c r="A37" s="36" t="s">
        <v>85</v>
      </c>
      <c r="B37" s="18">
        <v>11</v>
      </c>
      <c r="C37" s="68">
        <f>REGINFO!D66</f>
        <v>3069846.878013501</v>
      </c>
      <c r="D37" s="226"/>
      <c r="E37" s="70">
        <f t="shared" si="0"/>
        <v>-1741469.878013501</v>
      </c>
      <c r="F37" s="225"/>
      <c r="G37" s="70">
        <f>TAXREC!E51</f>
        <v>1328377</v>
      </c>
      <c r="H37" s="212"/>
    </row>
    <row r="38" spans="1:8" s="156" customFormat="1" ht="12.75">
      <c r="A38" s="36" t="s">
        <v>255</v>
      </c>
      <c r="B38" s="18">
        <v>4</v>
      </c>
      <c r="C38" s="483"/>
      <c r="D38" s="226"/>
      <c r="E38" s="70">
        <f t="shared" si="0"/>
        <v>0</v>
      </c>
      <c r="F38" s="225"/>
      <c r="G38" s="70">
        <f>TAXREC!E104</f>
        <v>0</v>
      </c>
      <c r="H38" s="212"/>
    </row>
    <row r="39" spans="1:8" s="156" customFormat="1" ht="12.75">
      <c r="A39" s="36" t="s">
        <v>254</v>
      </c>
      <c r="B39" s="18">
        <v>4</v>
      </c>
      <c r="C39" s="483"/>
      <c r="D39" s="226"/>
      <c r="E39" s="70">
        <f t="shared" si="0"/>
        <v>553116</v>
      </c>
      <c r="F39" s="225"/>
      <c r="G39" s="70">
        <f>TAXREC!E105</f>
        <v>553116</v>
      </c>
      <c r="H39" s="212"/>
    </row>
    <row r="40" spans="1:8" s="156" customFormat="1" ht="12.75">
      <c r="A40" s="36" t="s">
        <v>12</v>
      </c>
      <c r="B40" s="18">
        <v>3</v>
      </c>
      <c r="C40" s="483"/>
      <c r="D40" s="226"/>
      <c r="E40" s="70">
        <f t="shared" si="0"/>
        <v>0</v>
      </c>
      <c r="F40" s="225"/>
      <c r="G40" s="70">
        <f>TAXREC!E106</f>
        <v>0</v>
      </c>
      <c r="H40" s="212"/>
    </row>
    <row r="41" spans="1:8" s="156" customFormat="1" ht="12.75">
      <c r="A41" s="36" t="s">
        <v>13</v>
      </c>
      <c r="B41" s="18">
        <v>3</v>
      </c>
      <c r="C41" s="483"/>
      <c r="D41" s="226"/>
      <c r="E41" s="70">
        <f t="shared" si="0"/>
        <v>0</v>
      </c>
      <c r="F41" s="225"/>
      <c r="G41" s="70">
        <f>TAXREC!E107</f>
        <v>0</v>
      </c>
      <c r="H41" s="212"/>
    </row>
    <row r="42" spans="1:8" s="156" customFormat="1" ht="12.75">
      <c r="A42" s="36" t="s">
        <v>183</v>
      </c>
      <c r="B42" s="18">
        <v>11</v>
      </c>
      <c r="C42" s="483"/>
      <c r="D42" s="226"/>
      <c r="E42" s="70">
        <f t="shared" si="0"/>
        <v>0</v>
      </c>
      <c r="F42" s="225"/>
      <c r="G42" s="70">
        <f>TAXREC!E109</f>
        <v>0</v>
      </c>
      <c r="H42" s="212"/>
    </row>
    <row r="43" spans="1:8" s="156" customFormat="1" ht="12.75">
      <c r="A43" s="39" t="s">
        <v>53</v>
      </c>
      <c r="B43" s="20"/>
      <c r="C43" s="13"/>
      <c r="D43" s="226"/>
      <c r="E43" s="26"/>
      <c r="F43" s="225"/>
      <c r="G43" s="26"/>
      <c r="H43" s="212"/>
    </row>
    <row r="44" spans="1:8" s="156" customFormat="1" ht="12.75">
      <c r="A44" s="39" t="s">
        <v>155</v>
      </c>
      <c r="B44" s="20">
        <v>12</v>
      </c>
      <c r="C44" s="483"/>
      <c r="D44" s="226"/>
      <c r="E44" s="70">
        <f>G44-C44</f>
        <v>0</v>
      </c>
      <c r="F44" s="225"/>
      <c r="G44" s="64">
        <f>TAXREC!E130</f>
        <v>0</v>
      </c>
      <c r="H44" s="212"/>
    </row>
    <row r="45" spans="1:8" s="156" customFormat="1" ht="12.75">
      <c r="A45" s="39" t="s">
        <v>152</v>
      </c>
      <c r="B45" s="20">
        <v>12</v>
      </c>
      <c r="C45" s="483"/>
      <c r="D45" s="226"/>
      <c r="E45" s="70">
        <f>G45-C45</f>
        <v>0</v>
      </c>
      <c r="F45" s="225"/>
      <c r="G45" s="64">
        <f>TAXREC!E131</f>
        <v>0</v>
      </c>
      <c r="H45" s="212"/>
    </row>
    <row r="46" spans="1:8" s="156" customFormat="1" ht="12.75">
      <c r="A46" s="39" t="s">
        <v>154</v>
      </c>
      <c r="B46" s="20">
        <v>12</v>
      </c>
      <c r="C46" s="483"/>
      <c r="D46" s="226"/>
      <c r="E46" s="70">
        <f>G46-C46</f>
        <v>1756907</v>
      </c>
      <c r="F46" s="225"/>
      <c r="G46" s="64">
        <f>TAXREC!E110</f>
        <v>1756907</v>
      </c>
      <c r="H46" s="212"/>
    </row>
    <row r="47" spans="1:8" s="156" customFormat="1" ht="12.75">
      <c r="A47" s="39" t="s">
        <v>153</v>
      </c>
      <c r="B47" s="20">
        <v>12</v>
      </c>
      <c r="C47" s="483"/>
      <c r="D47" s="226"/>
      <c r="E47" s="70">
        <f>G47-C47</f>
        <v>37224</v>
      </c>
      <c r="F47" s="225"/>
      <c r="G47" s="64">
        <f>TAXREC!E111</f>
        <v>37224</v>
      </c>
      <c r="H47" s="212"/>
    </row>
    <row r="48" spans="1:8" s="156" customFormat="1" ht="15.75">
      <c r="A48" s="141" t="s">
        <v>389</v>
      </c>
      <c r="B48" s="20"/>
      <c r="C48" s="68"/>
      <c r="D48" s="226"/>
      <c r="E48" s="70">
        <f>G48-C48</f>
        <v>103219</v>
      </c>
      <c r="F48" s="225"/>
      <c r="G48" s="64">
        <f>TAXREC!E108</f>
        <v>103219</v>
      </c>
      <c r="H48" s="212"/>
    </row>
    <row r="49" spans="1:8" s="156" customFormat="1" ht="12.75">
      <c r="A49" s="39"/>
      <c r="B49" s="20"/>
      <c r="C49" s="13"/>
      <c r="D49" s="226"/>
      <c r="E49" s="26"/>
      <c r="F49" s="225"/>
      <c r="G49" s="26"/>
      <c r="H49" s="212"/>
    </row>
    <row r="50" spans="1:8" s="156" customFormat="1" ht="12.75">
      <c r="A50" s="33" t="s">
        <v>321</v>
      </c>
      <c r="B50" s="18"/>
      <c r="C50" s="67">
        <f>C16+SUM(C20:C30)-SUM(C33:C48)</f>
        <v>4810089.121986499</v>
      </c>
      <c r="D50" s="227"/>
      <c r="E50" s="67">
        <f>E16+SUM(E20:E30)-SUM(E33:E48)</f>
        <v>-991861.121986499</v>
      </c>
      <c r="F50" s="228" t="s">
        <v>361</v>
      </c>
      <c r="G50" s="67">
        <f>G16+SUM(G20:G30)-SUM(G33:G48)</f>
        <v>3818228</v>
      </c>
      <c r="H50" s="229"/>
    </row>
    <row r="51" spans="1:9" s="156" customFormat="1" ht="12.75">
      <c r="A51" s="40"/>
      <c r="B51" s="18"/>
      <c r="C51" s="12"/>
      <c r="D51" s="226"/>
      <c r="E51" s="12"/>
      <c r="F51" s="225"/>
      <c r="G51" s="12"/>
      <c r="H51" s="212"/>
      <c r="I51" s="230"/>
    </row>
    <row r="52" spans="1:8" s="156" customFormat="1" ht="12.75">
      <c r="A52" s="39" t="s">
        <v>329</v>
      </c>
      <c r="B52" s="20"/>
      <c r="C52" s="231"/>
      <c r="D52" s="226"/>
      <c r="E52" s="26"/>
      <c r="F52" s="225"/>
      <c r="G52" s="26"/>
      <c r="H52" s="212"/>
    </row>
    <row r="53" spans="1:9" s="156" customFormat="1" ht="12.75">
      <c r="A53" s="39" t="s">
        <v>333</v>
      </c>
      <c r="B53" s="20">
        <v>13</v>
      </c>
      <c r="C53" s="66">
        <f>IF($C$50&gt;'Tax Rates'!$E$11,'Tax Rates'!$F$16,IF($C$50&gt;'Tax Rates'!$C$11,'Tax Rates'!$E$16,'Tax Rates'!$C$16))</f>
        <v>0.3862</v>
      </c>
      <c r="D53" s="227"/>
      <c r="E53" s="71">
        <f>+G53-C53</f>
        <v>-0.025030630334280712</v>
      </c>
      <c r="F53" s="55"/>
      <c r="G53" s="138">
        <f>TAXREC!E151</f>
        <v>0.3611693696657193</v>
      </c>
      <c r="H53" s="212"/>
      <c r="I53" s="232" t="s">
        <v>468</v>
      </c>
    </row>
    <row r="54" spans="1:8" s="156" customFormat="1" ht="12.75">
      <c r="A54" s="39"/>
      <c r="B54" s="20"/>
      <c r="C54" s="13"/>
      <c r="D54" s="226"/>
      <c r="E54" s="26"/>
      <c r="F54" s="225"/>
      <c r="G54" s="26"/>
      <c r="H54" s="212"/>
    </row>
    <row r="55" spans="1:8" s="156" customFormat="1" ht="12.75">
      <c r="A55" s="39" t="s">
        <v>28</v>
      </c>
      <c r="B55" s="20"/>
      <c r="C55" s="68">
        <f>IF(C50&gt;0,C50*C53,0)</f>
        <v>1857656.4189111858</v>
      </c>
      <c r="D55" s="227"/>
      <c r="E55" s="70">
        <f>G55-C55</f>
        <v>-478629.4189111858</v>
      </c>
      <c r="F55" s="228" t="s">
        <v>362</v>
      </c>
      <c r="G55" s="68">
        <f>TAXREC!E144</f>
        <v>1379027</v>
      </c>
      <c r="H55" s="233"/>
    </row>
    <row r="56" spans="1:8" s="156" customFormat="1" ht="12.75">
      <c r="A56" s="39"/>
      <c r="B56" s="20"/>
      <c r="C56" s="13"/>
      <c r="D56" s="226"/>
      <c r="E56" s="26"/>
      <c r="F56" s="55"/>
      <c r="G56" s="26"/>
      <c r="H56" s="212"/>
    </row>
    <row r="57" spans="1:8" s="156" customFormat="1" ht="12.75">
      <c r="A57" s="39"/>
      <c r="B57" s="20"/>
      <c r="C57" s="13"/>
      <c r="D57" s="226"/>
      <c r="E57" s="26"/>
      <c r="F57" s="225"/>
      <c r="G57" s="26"/>
      <c r="H57" s="212"/>
    </row>
    <row r="58" spans="1:8" s="156" customFormat="1" ht="12.75">
      <c r="A58" s="39" t="s">
        <v>35</v>
      </c>
      <c r="B58" s="20">
        <v>14</v>
      </c>
      <c r="C58" s="483"/>
      <c r="D58" s="226"/>
      <c r="E58" s="70">
        <f>+G58-C58</f>
        <v>108</v>
      </c>
      <c r="F58" s="228" t="s">
        <v>362</v>
      </c>
      <c r="G58" s="73">
        <v>108</v>
      </c>
      <c r="H58" s="212"/>
    </row>
    <row r="59" spans="1:8" s="156" customFormat="1" ht="13.5" thickBot="1">
      <c r="A59" s="39"/>
      <c r="B59" s="20"/>
      <c r="C59" s="13"/>
      <c r="D59" s="224"/>
      <c r="E59" s="26"/>
      <c r="F59" s="225"/>
      <c r="G59" s="26"/>
      <c r="H59" s="212"/>
    </row>
    <row r="60" spans="1:8" s="156" customFormat="1" ht="13.5" thickBot="1">
      <c r="A60" s="32" t="s">
        <v>36</v>
      </c>
      <c r="B60" s="25"/>
      <c r="C60" s="69">
        <f>+C55-C58</f>
        <v>1857656.4189111858</v>
      </c>
      <c r="D60" s="234"/>
      <c r="E60" s="72">
        <f>+E55-E58</f>
        <v>-478737.4189111858</v>
      </c>
      <c r="F60" s="228" t="s">
        <v>362</v>
      </c>
      <c r="G60" s="72">
        <f>+G55-G58</f>
        <v>1378919</v>
      </c>
      <c r="H60" s="235"/>
    </row>
    <row r="61" spans="1:8" s="156" customFormat="1" ht="12.75">
      <c r="A61" s="39"/>
      <c r="B61" s="20"/>
      <c r="C61" s="13"/>
      <c r="D61" s="224"/>
      <c r="E61" s="26"/>
      <c r="F61" s="225"/>
      <c r="G61" s="26"/>
      <c r="H61" s="212"/>
    </row>
    <row r="62" spans="1:8" s="156" customFormat="1" ht="12.75">
      <c r="A62" s="39"/>
      <c r="B62" s="16"/>
      <c r="C62" s="13"/>
      <c r="D62" s="224"/>
      <c r="E62" s="26"/>
      <c r="F62" s="225"/>
      <c r="G62" s="26"/>
      <c r="H62" s="212"/>
    </row>
    <row r="63" spans="1:8" s="156" customFormat="1" ht="12.75">
      <c r="A63" s="35" t="s">
        <v>31</v>
      </c>
      <c r="B63" s="21"/>
      <c r="C63" s="13"/>
      <c r="D63" s="224"/>
      <c r="E63" s="26"/>
      <c r="F63" s="225"/>
      <c r="G63" s="26"/>
      <c r="H63" s="212"/>
    </row>
    <row r="64" spans="1:8" s="156" customFormat="1" ht="12.75">
      <c r="A64" s="39"/>
      <c r="B64" s="20"/>
      <c r="C64" s="13"/>
      <c r="D64" s="224"/>
      <c r="E64" s="26"/>
      <c r="F64" s="225"/>
      <c r="G64" s="26"/>
      <c r="H64" s="212"/>
    </row>
    <row r="65" spans="1:8" s="156" customFormat="1" ht="12.75">
      <c r="A65" s="37" t="s">
        <v>29</v>
      </c>
      <c r="B65" s="19"/>
      <c r="C65" s="13"/>
      <c r="D65" s="224"/>
      <c r="E65" s="26"/>
      <c r="F65" s="225"/>
      <c r="G65" s="26"/>
      <c r="H65" s="212"/>
    </row>
    <row r="66" spans="1:9" s="156" customFormat="1" ht="12.75">
      <c r="A66" s="33" t="s">
        <v>17</v>
      </c>
      <c r="B66" s="18">
        <v>15</v>
      </c>
      <c r="C66" s="68">
        <f>Ratebase</f>
        <v>104354290</v>
      </c>
      <c r="D66" s="227"/>
      <c r="E66" s="70">
        <f>G66-C66</f>
        <v>2927057</v>
      </c>
      <c r="F66" s="225"/>
      <c r="G66" s="483">
        <v>107281347</v>
      </c>
      <c r="H66" s="212"/>
      <c r="I66" s="236" t="s">
        <v>469</v>
      </c>
    </row>
    <row r="67" spans="1:10" s="156" customFormat="1" ht="12.75">
      <c r="A67" s="33" t="s">
        <v>354</v>
      </c>
      <c r="B67" s="18">
        <v>16</v>
      </c>
      <c r="C67" s="68">
        <f>IF(C66&gt;0,'Tax Rates'!C21,0)</f>
        <v>5000000</v>
      </c>
      <c r="D67" s="227"/>
      <c r="E67" s="70">
        <f>G67-C67</f>
        <v>0</v>
      </c>
      <c r="F67" s="225"/>
      <c r="G67" s="70">
        <f>'Tax Rates'!C57</f>
        <v>5000000</v>
      </c>
      <c r="H67" s="212"/>
      <c r="I67" s="236" t="s">
        <v>469</v>
      </c>
      <c r="J67" s="237" t="s">
        <v>470</v>
      </c>
    </row>
    <row r="68" spans="1:8" s="156" customFormat="1" ht="12.75">
      <c r="A68" s="33" t="s">
        <v>41</v>
      </c>
      <c r="B68" s="18"/>
      <c r="C68" s="68">
        <f>IF((C66-C67)&gt;0,C66-C67,0)</f>
        <v>99354290</v>
      </c>
      <c r="D68" s="227"/>
      <c r="E68" s="70">
        <f>SUM(E66:E67)</f>
        <v>2927057</v>
      </c>
      <c r="F68" s="55"/>
      <c r="G68" s="68">
        <f>IF(G67&gt;G66,0,G66-G67)</f>
        <v>102281347</v>
      </c>
      <c r="H68" s="229"/>
    </row>
    <row r="69" spans="1:8" s="156" customFormat="1" ht="12.75">
      <c r="A69" s="33"/>
      <c r="B69" s="18"/>
      <c r="C69" s="13"/>
      <c r="D69" s="224"/>
      <c r="E69" s="26"/>
      <c r="F69" s="225"/>
      <c r="G69" s="26"/>
      <c r="H69" s="212"/>
    </row>
    <row r="70" spans="1:8" s="156" customFormat="1" ht="12.75">
      <c r="A70" s="33" t="s">
        <v>355</v>
      </c>
      <c r="B70" s="18">
        <v>17</v>
      </c>
      <c r="C70" s="95">
        <f>'Tax Rates'!C18</f>
        <v>0.003</v>
      </c>
      <c r="D70" s="227"/>
      <c r="E70" s="71">
        <f>+G70-C70</f>
        <v>0</v>
      </c>
      <c r="F70" s="225"/>
      <c r="G70" s="95">
        <v>0.003</v>
      </c>
      <c r="H70" s="212"/>
    </row>
    <row r="71" spans="1:8" s="156" customFormat="1" ht="12.75">
      <c r="A71" s="33"/>
      <c r="B71" s="18"/>
      <c r="C71" s="53"/>
      <c r="D71" s="224"/>
      <c r="E71" s="27"/>
      <c r="F71" s="225"/>
      <c r="G71" s="53"/>
      <c r="H71" s="212"/>
    </row>
    <row r="72" spans="1:8" s="156" customFormat="1" ht="12.75">
      <c r="A72" s="33" t="s">
        <v>684</v>
      </c>
      <c r="B72" s="18"/>
      <c r="C72" s="68">
        <f>IF(C68&gt;0,C68*C70,0)*B9/B10</f>
        <v>123785.67278688525</v>
      </c>
      <c r="D72" s="238"/>
      <c r="E72" s="70">
        <f>+G72-C72</f>
        <v>3995.9552459914703</v>
      </c>
      <c r="F72" s="239" t="s">
        <v>471</v>
      </c>
      <c r="G72" s="68">
        <f>IF(G68&gt;0,G68*G70,0)*REGINFO!$B$6/(REGINFO!$B$7-1)</f>
        <v>127781.62803287672</v>
      </c>
      <c r="H72" s="233"/>
    </row>
    <row r="73" spans="1:8" s="156" customFormat="1" ht="12.75">
      <c r="A73" s="32"/>
      <c r="B73" s="22"/>
      <c r="C73" s="13"/>
      <c r="D73" s="240"/>
      <c r="E73" s="26"/>
      <c r="F73" s="225"/>
      <c r="G73" s="26"/>
      <c r="H73" s="212"/>
    </row>
    <row r="74" spans="1:8" s="156" customFormat="1" ht="12.75">
      <c r="A74" s="37" t="s">
        <v>217</v>
      </c>
      <c r="B74" s="19"/>
      <c r="C74" s="13"/>
      <c r="D74" s="224"/>
      <c r="E74" s="26"/>
      <c r="F74" s="225"/>
      <c r="G74" s="26"/>
      <c r="H74" s="212"/>
    </row>
    <row r="75" spans="1:9" s="156" customFormat="1" ht="12.75">
      <c r="A75" s="33" t="s">
        <v>17</v>
      </c>
      <c r="B75" s="18">
        <v>18</v>
      </c>
      <c r="C75" s="68">
        <f>Ratebase</f>
        <v>104354290</v>
      </c>
      <c r="D75" s="227"/>
      <c r="E75" s="70">
        <f>+G75-C75</f>
        <v>8687566</v>
      </c>
      <c r="F75" s="225"/>
      <c r="G75" s="483">
        <v>113041856</v>
      </c>
      <c r="H75" s="212"/>
      <c r="I75" s="236" t="s">
        <v>469</v>
      </c>
    </row>
    <row r="76" spans="1:9" s="156" customFormat="1" ht="12.75">
      <c r="A76" s="33" t="s">
        <v>354</v>
      </c>
      <c r="B76" s="18">
        <v>19</v>
      </c>
      <c r="C76" s="68">
        <f>IF(C75&gt;0,'Tax Rates'!C22,0)</f>
        <v>10000000</v>
      </c>
      <c r="D76" s="224"/>
      <c r="E76" s="70">
        <f>+G76-C76</f>
        <v>40000000</v>
      </c>
      <c r="F76" s="225"/>
      <c r="G76" s="70">
        <f>'Tax Rates'!C58</f>
        <v>50000000</v>
      </c>
      <c r="H76" s="212"/>
      <c r="I76" s="236" t="s">
        <v>469</v>
      </c>
    </row>
    <row r="77" spans="1:8" s="156" customFormat="1" ht="12.75">
      <c r="A77" s="33" t="s">
        <v>41</v>
      </c>
      <c r="B77" s="18"/>
      <c r="C77" s="68">
        <f>IF((C75-C76)&gt;0,C75-C76,0)</f>
        <v>94354290</v>
      </c>
      <c r="D77" s="241"/>
      <c r="E77" s="70">
        <f>SUM(E75:E76)</f>
        <v>48687566</v>
      </c>
      <c r="F77" s="55"/>
      <c r="G77" s="68">
        <f>IF(G76&gt;G75,0,G75-G76)</f>
        <v>63041856</v>
      </c>
      <c r="H77" s="229"/>
    </row>
    <row r="78" spans="1:8" s="156" customFormat="1" ht="12.75">
      <c r="A78" s="33"/>
      <c r="B78" s="18"/>
      <c r="C78" s="13"/>
      <c r="D78" s="224"/>
      <c r="E78" s="26"/>
      <c r="F78" s="225"/>
      <c r="G78" s="26"/>
      <c r="H78" s="212"/>
    </row>
    <row r="79" spans="1:8" s="156" customFormat="1" ht="12.75">
      <c r="A79" s="33" t="s">
        <v>355</v>
      </c>
      <c r="B79" s="18">
        <v>20</v>
      </c>
      <c r="C79" s="95">
        <f>'Tax Rates'!C19</f>
        <v>0.00225</v>
      </c>
      <c r="D79" s="227"/>
      <c r="E79" s="71">
        <f>G79-C79</f>
        <v>-0.0002499999999999998</v>
      </c>
      <c r="F79" s="225"/>
      <c r="G79" s="71">
        <f>'Tax Rates'!C55</f>
        <v>0.002</v>
      </c>
      <c r="H79" s="212"/>
    </row>
    <row r="80" spans="1:8" s="156" customFormat="1" ht="12.75">
      <c r="A80" s="33"/>
      <c r="B80" s="18"/>
      <c r="C80" s="13"/>
      <c r="D80" s="224"/>
      <c r="E80" s="26"/>
      <c r="F80" s="225"/>
      <c r="G80" s="26"/>
      <c r="H80" s="212"/>
    </row>
    <row r="81" spans="1:8" s="156" customFormat="1" ht="12.75">
      <c r="A81" s="33" t="s">
        <v>310</v>
      </c>
      <c r="B81" s="18"/>
      <c r="C81" s="68">
        <f>IF(C77&gt;0,C77*C79,0)</f>
        <v>212297.1525</v>
      </c>
      <c r="D81" s="227"/>
      <c r="E81" s="70">
        <f>+G81-C81</f>
        <v>-159791.05873561645</v>
      </c>
      <c r="F81" s="225"/>
      <c r="G81" s="68">
        <f>G77*G79*B9/(B10-1)</f>
        <v>52506.09376438356</v>
      </c>
      <c r="H81" s="212"/>
    </row>
    <row r="82" spans="1:8" s="156" customFormat="1" ht="12.75">
      <c r="A82" s="33" t="s">
        <v>311</v>
      </c>
      <c r="B82" s="18">
        <v>21</v>
      </c>
      <c r="C82" s="94">
        <f>IF(C77&gt;0,IF(C60&gt;0,C50*'Tax Rates'!C20,0),0)</f>
        <v>53872.99816624879</v>
      </c>
      <c r="D82" s="227"/>
      <c r="E82" s="70">
        <f>+G82-C82</f>
        <v>-11108.844566248794</v>
      </c>
      <c r="F82" s="225"/>
      <c r="G82" s="94">
        <f>G50*'Tax Rates'!C38</f>
        <v>42764.1536</v>
      </c>
      <c r="H82" s="212"/>
    </row>
    <row r="83" spans="1:8" s="156" customFormat="1" ht="12.75">
      <c r="A83" s="33"/>
      <c r="B83" s="18"/>
      <c r="C83" s="13"/>
      <c r="D83" s="224"/>
      <c r="E83" s="26"/>
      <c r="F83" s="225"/>
      <c r="G83" s="26"/>
      <c r="H83" s="212"/>
    </row>
    <row r="84" spans="1:12" s="156" customFormat="1" ht="12.75">
      <c r="A84" s="33" t="s">
        <v>685</v>
      </c>
      <c r="B84" s="18"/>
      <c r="C84" s="68">
        <f>(C81-C82)*B9/B10</f>
        <v>65793.63786538302</v>
      </c>
      <c r="D84" s="242"/>
      <c r="E84" s="70">
        <f>E81-E82</f>
        <v>-148682.21416936765</v>
      </c>
      <c r="F84" s="243"/>
      <c r="G84" s="68">
        <f>G81-G82</f>
        <v>9741.940164383559</v>
      </c>
      <c r="H84" s="233"/>
      <c r="I84" s="185"/>
      <c r="L84" s="185"/>
    </row>
    <row r="85" spans="1:8" s="156" customFormat="1" ht="12.75">
      <c r="A85" s="33"/>
      <c r="B85" s="18"/>
      <c r="C85" s="13"/>
      <c r="D85" s="244"/>
      <c r="E85" s="28"/>
      <c r="F85" s="225"/>
      <c r="G85" s="28"/>
      <c r="H85" s="245"/>
    </row>
    <row r="86" spans="1:9" s="156" customFormat="1" ht="12.75">
      <c r="A86" s="35" t="s">
        <v>117</v>
      </c>
      <c r="B86" s="21"/>
      <c r="C86" s="13"/>
      <c r="D86" s="244"/>
      <c r="E86" s="16"/>
      <c r="F86" s="167"/>
      <c r="G86" s="16"/>
      <c r="H86" s="212"/>
      <c r="I86" s="185"/>
    </row>
    <row r="87" spans="1:8" s="156" customFormat="1" ht="12.75">
      <c r="A87" s="35"/>
      <c r="B87" s="21"/>
      <c r="C87" s="13"/>
      <c r="D87" s="244"/>
      <c r="E87" s="55"/>
      <c r="F87" s="225"/>
      <c r="G87" s="55"/>
      <c r="H87" s="212"/>
    </row>
    <row r="88" spans="1:8" s="156" customFormat="1" ht="12.75">
      <c r="A88" s="33" t="s">
        <v>226</v>
      </c>
      <c r="B88" s="18"/>
      <c r="C88" s="66">
        <f>IF($C$50&gt;'Tax Rates'!$E$11,'Tax Rates'!$F$16,IF(AND($C$50&gt;='Tax Rates'!$C$11,$C$50&lt;='Tax Rates'!E11),'Tax Rates'!$E$16,'Tax Rates'!$C$16))-1.12%</f>
        <v>0.375</v>
      </c>
      <c r="D88" s="244"/>
      <c r="E88" s="55"/>
      <c r="F88" s="225"/>
      <c r="G88" s="55"/>
      <c r="H88" s="212"/>
    </row>
    <row r="89" spans="1:8" s="156" customFormat="1" ht="12.75">
      <c r="A89" s="32"/>
      <c r="B89" s="22"/>
      <c r="C89" s="13"/>
      <c r="D89" s="244"/>
      <c r="E89" s="55"/>
      <c r="F89" s="225"/>
      <c r="G89" s="55"/>
      <c r="H89" s="212"/>
    </row>
    <row r="90" spans="1:8" s="156" customFormat="1" ht="12.75">
      <c r="A90" s="39" t="s">
        <v>686</v>
      </c>
      <c r="B90" s="20">
        <v>22</v>
      </c>
      <c r="C90" s="68">
        <f>C60/(1-C88)*B9/B10</f>
        <v>1234377.1614185802</v>
      </c>
      <c r="D90" s="169"/>
      <c r="E90" s="26"/>
      <c r="F90" s="246" t="s">
        <v>483</v>
      </c>
      <c r="G90" s="73">
        <f>TAXREC!E156</f>
        <v>1379027</v>
      </c>
      <c r="H90" s="212"/>
    </row>
    <row r="91" spans="1:8" s="156" customFormat="1" ht="12.75">
      <c r="A91" s="39" t="s">
        <v>364</v>
      </c>
      <c r="B91" s="20">
        <v>23</v>
      </c>
      <c r="C91" s="68">
        <f>C84/(1-C88)</f>
        <v>105269.82058461283</v>
      </c>
      <c r="D91" s="169"/>
      <c r="E91" s="26"/>
      <c r="F91" s="246" t="s">
        <v>483</v>
      </c>
      <c r="G91" s="73">
        <f>TAXREC!E158</f>
        <v>9742</v>
      </c>
      <c r="H91" s="212"/>
    </row>
    <row r="92" spans="1:8" s="156" customFormat="1" ht="12.75">
      <c r="A92" s="39" t="s">
        <v>342</v>
      </c>
      <c r="B92" s="20">
        <v>24</v>
      </c>
      <c r="C92" s="68">
        <f>C72</f>
        <v>123785.67278688525</v>
      </c>
      <c r="D92" s="169"/>
      <c r="E92" s="26"/>
      <c r="F92" s="246" t="s">
        <v>483</v>
      </c>
      <c r="G92" s="73">
        <f>TAXREC!E157</f>
        <v>127782</v>
      </c>
      <c r="H92" s="212"/>
    </row>
    <row r="93" spans="1:8" s="156" customFormat="1" ht="12.75">
      <c r="A93" s="39"/>
      <c r="B93" s="20"/>
      <c r="C93" s="13"/>
      <c r="D93" s="244"/>
      <c r="E93" s="26"/>
      <c r="F93" s="225"/>
      <c r="G93" s="26"/>
      <c r="H93" s="212"/>
    </row>
    <row r="94" spans="1:8" s="156" customFormat="1" ht="13.5" thickBot="1">
      <c r="A94" s="39"/>
      <c r="B94" s="20"/>
      <c r="C94" s="13"/>
      <c r="D94" s="244"/>
      <c r="E94" s="26"/>
      <c r="F94" s="225"/>
      <c r="G94" s="26"/>
      <c r="H94" s="212"/>
    </row>
    <row r="95" spans="1:9" s="156" customFormat="1" ht="13.5" thickBot="1">
      <c r="A95" s="37" t="s">
        <v>474</v>
      </c>
      <c r="B95" s="18">
        <v>25</v>
      </c>
      <c r="C95" s="72">
        <f>SUM(C90:C93)</f>
        <v>1463432.6547900783</v>
      </c>
      <c r="D95" s="225"/>
      <c r="E95" s="26"/>
      <c r="F95" s="246" t="s">
        <v>483</v>
      </c>
      <c r="G95" s="127">
        <f>SUM(G90:G94)</f>
        <v>1516551</v>
      </c>
      <c r="H95" s="247"/>
      <c r="I95" s="185"/>
    </row>
    <row r="96" spans="1:8" s="156" customFormat="1" ht="12.75">
      <c r="A96" s="125" t="s">
        <v>301</v>
      </c>
      <c r="B96" s="18"/>
      <c r="C96" s="13"/>
      <c r="D96" s="225"/>
      <c r="E96" s="26"/>
      <c r="F96" s="225"/>
      <c r="G96" s="26"/>
      <c r="H96" s="247"/>
    </row>
    <row r="97" spans="1:8" s="156" customFormat="1" ht="13.5" thickBot="1">
      <c r="A97" s="33"/>
      <c r="B97" s="18"/>
      <c r="C97" s="13"/>
      <c r="D97" s="225"/>
      <c r="E97" s="26"/>
      <c r="F97" s="225"/>
      <c r="G97" s="26"/>
      <c r="H97" s="248"/>
    </row>
    <row r="98" spans="1:8" s="156" customFormat="1" ht="13.5" thickTop="1">
      <c r="A98" s="49"/>
      <c r="B98" s="17"/>
      <c r="C98" s="249"/>
      <c r="D98" s="164"/>
      <c r="E98" s="250"/>
      <c r="F98" s="164"/>
      <c r="G98" s="56"/>
      <c r="H98" s="247"/>
    </row>
    <row r="99" spans="1:8" s="156" customFormat="1" ht="12.75">
      <c r="A99" s="37" t="s">
        <v>298</v>
      </c>
      <c r="B99" s="16"/>
      <c r="C99" s="58"/>
      <c r="D99" s="167"/>
      <c r="E99" s="58"/>
      <c r="F99" s="167"/>
      <c r="G99" s="57"/>
      <c r="H99" s="247"/>
    </row>
    <row r="100" spans="1:8" s="156" customFormat="1" ht="15">
      <c r="A100" s="42" t="s">
        <v>240</v>
      </c>
      <c r="B100" s="16"/>
      <c r="C100" s="58"/>
      <c r="D100" s="167"/>
      <c r="E100" s="217" t="s">
        <v>242</v>
      </c>
      <c r="F100" s="170"/>
      <c r="G100" s="57"/>
      <c r="H100" s="247"/>
    </row>
    <row r="101" spans="1:8" s="156" customFormat="1" ht="12.75">
      <c r="A101" s="37" t="s">
        <v>340</v>
      </c>
      <c r="B101" s="16"/>
      <c r="C101" s="58"/>
      <c r="D101" s="167"/>
      <c r="E101" s="58"/>
      <c r="F101" s="170"/>
      <c r="G101" s="57"/>
      <c r="H101" s="247"/>
    </row>
    <row r="102" spans="1:8" s="156" customFormat="1" ht="12.75">
      <c r="A102" s="39" t="s">
        <v>55</v>
      </c>
      <c r="B102" s="20">
        <v>3</v>
      </c>
      <c r="C102" s="58"/>
      <c r="D102" s="167"/>
      <c r="E102" s="64">
        <f>E21</f>
        <v>0</v>
      </c>
      <c r="F102" s="170"/>
      <c r="G102" s="58"/>
      <c r="H102" s="247"/>
    </row>
    <row r="103" spans="1:8" s="156" customFormat="1" ht="12.75">
      <c r="A103" s="39" t="s">
        <v>10</v>
      </c>
      <c r="B103" s="20">
        <v>4</v>
      </c>
      <c r="C103" s="58"/>
      <c r="D103" s="167"/>
      <c r="E103" s="64">
        <f>E22</f>
        <v>0</v>
      </c>
      <c r="F103" s="170"/>
      <c r="G103" s="58"/>
      <c r="H103" s="247"/>
    </row>
    <row r="104" spans="1:8" s="156" customFormat="1" ht="12.75">
      <c r="A104" s="39" t="s">
        <v>99</v>
      </c>
      <c r="B104" s="20">
        <v>4</v>
      </c>
      <c r="C104" s="58"/>
      <c r="D104" s="167"/>
      <c r="E104" s="64">
        <f>E23</f>
        <v>618453</v>
      </c>
      <c r="F104" s="170"/>
      <c r="G104" s="58"/>
      <c r="H104" s="247"/>
    </row>
    <row r="105" spans="1:8" s="156" customFormat="1" ht="12.75">
      <c r="A105" s="39" t="s">
        <v>43</v>
      </c>
      <c r="B105" s="20">
        <v>5</v>
      </c>
      <c r="C105" s="58"/>
      <c r="D105" s="167"/>
      <c r="E105" s="64">
        <f>E24</f>
        <v>0</v>
      </c>
      <c r="F105" s="170"/>
      <c r="G105" s="58"/>
      <c r="H105" s="247"/>
    </row>
    <row r="106" spans="1:8" s="156" customFormat="1" ht="12.75">
      <c r="A106" s="39" t="s">
        <v>357</v>
      </c>
      <c r="B106" s="20">
        <v>6</v>
      </c>
      <c r="C106" s="58"/>
      <c r="D106" s="167"/>
      <c r="E106" s="64">
        <f>E26</f>
        <v>0</v>
      </c>
      <c r="F106" s="170"/>
      <c r="G106" s="58"/>
      <c r="H106" s="247"/>
    </row>
    <row r="107" spans="1:8" s="156" customFormat="1" ht="12.75">
      <c r="A107" s="39" t="s">
        <v>358</v>
      </c>
      <c r="B107" s="20">
        <v>6</v>
      </c>
      <c r="C107" s="58"/>
      <c r="D107" s="167"/>
      <c r="E107" s="64">
        <f>E28</f>
        <v>1756907</v>
      </c>
      <c r="F107" s="170"/>
      <c r="G107" s="58"/>
      <c r="H107" s="247"/>
    </row>
    <row r="108" spans="1:8" s="156" customFormat="1" ht="12.75">
      <c r="A108" s="37" t="s">
        <v>356</v>
      </c>
      <c r="B108" s="20"/>
      <c r="C108" s="58"/>
      <c r="D108" s="167"/>
      <c r="E108" s="4"/>
      <c r="F108" s="170"/>
      <c r="G108" s="58"/>
      <c r="H108" s="247"/>
    </row>
    <row r="109" spans="1:8" s="156" customFormat="1" ht="12.75">
      <c r="A109" s="39" t="s">
        <v>56</v>
      </c>
      <c r="B109" s="20">
        <v>8</v>
      </c>
      <c r="C109" s="58"/>
      <c r="D109" s="167"/>
      <c r="E109" s="64">
        <f>E34</f>
        <v>0</v>
      </c>
      <c r="F109" s="170"/>
      <c r="G109" s="58"/>
      <c r="H109" s="247"/>
    </row>
    <row r="110" spans="1:8" s="156" customFormat="1" ht="12.75">
      <c r="A110" s="39" t="s">
        <v>44</v>
      </c>
      <c r="B110" s="20">
        <v>9</v>
      </c>
      <c r="C110" s="58"/>
      <c r="D110" s="167"/>
      <c r="E110" s="64">
        <f>E35</f>
        <v>0</v>
      </c>
      <c r="F110" s="170"/>
      <c r="G110" s="58"/>
      <c r="H110" s="247"/>
    </row>
    <row r="111" spans="1:8" s="156" customFormat="1" ht="12.75">
      <c r="A111" s="39" t="s">
        <v>43</v>
      </c>
      <c r="B111" s="20">
        <v>10</v>
      </c>
      <c r="C111" s="58"/>
      <c r="D111" s="167"/>
      <c r="E111" s="64">
        <f>E36</f>
        <v>0</v>
      </c>
      <c r="F111" s="170"/>
      <c r="G111" s="58"/>
      <c r="H111" s="247"/>
    </row>
    <row r="112" spans="1:8" s="156" customFormat="1" ht="12.75">
      <c r="A112" s="36" t="s">
        <v>313</v>
      </c>
      <c r="B112" s="20">
        <v>11</v>
      </c>
      <c r="C112" s="58"/>
      <c r="D112" s="167"/>
      <c r="E112" s="137">
        <f>E206</f>
        <v>0</v>
      </c>
      <c r="F112" s="251"/>
      <c r="G112" s="58"/>
      <c r="H112" s="247"/>
    </row>
    <row r="113" spans="1:8" s="156" customFormat="1" ht="12.75">
      <c r="A113" s="36" t="s">
        <v>15</v>
      </c>
      <c r="B113" s="18">
        <v>4</v>
      </c>
      <c r="C113" s="58"/>
      <c r="D113" s="167"/>
      <c r="E113" s="64">
        <f>E38</f>
        <v>0</v>
      </c>
      <c r="F113" s="170"/>
      <c r="G113" s="58"/>
      <c r="H113" s="247"/>
    </row>
    <row r="114" spans="1:8" s="156" customFormat="1" ht="12.75">
      <c r="A114" s="36" t="s">
        <v>100</v>
      </c>
      <c r="B114" s="18">
        <v>4</v>
      </c>
      <c r="C114" s="58"/>
      <c r="D114" s="167"/>
      <c r="E114" s="64">
        <f>E39</f>
        <v>553116</v>
      </c>
      <c r="F114" s="170"/>
      <c r="G114" s="58"/>
      <c r="H114" s="247"/>
    </row>
    <row r="115" spans="1:8" s="156" customFormat="1" ht="12.75">
      <c r="A115" s="36" t="s">
        <v>12</v>
      </c>
      <c r="B115" s="18">
        <v>3</v>
      </c>
      <c r="C115" s="58"/>
      <c r="D115" s="167"/>
      <c r="E115" s="64">
        <f>E40</f>
        <v>0</v>
      </c>
      <c r="F115" s="170"/>
      <c r="G115" s="58"/>
      <c r="H115" s="247"/>
    </row>
    <row r="116" spans="1:8" s="156" customFormat="1" ht="12.75">
      <c r="A116" s="36" t="s">
        <v>13</v>
      </c>
      <c r="B116" s="18">
        <v>3</v>
      </c>
      <c r="C116" s="58"/>
      <c r="D116" s="167"/>
      <c r="E116" s="64">
        <f>E41</f>
        <v>0</v>
      </c>
      <c r="F116" s="170"/>
      <c r="G116" s="58"/>
      <c r="H116" s="247"/>
    </row>
    <row r="117" spans="1:8" s="156" customFormat="1" ht="12.75">
      <c r="A117" s="39" t="s">
        <v>359</v>
      </c>
      <c r="B117" s="20">
        <v>12</v>
      </c>
      <c r="C117" s="58"/>
      <c r="D117" s="167"/>
      <c r="E117" s="64">
        <f>E44</f>
        <v>0</v>
      </c>
      <c r="F117" s="170"/>
      <c r="G117" s="58"/>
      <c r="H117" s="247"/>
    </row>
    <row r="118" spans="1:8" s="156" customFormat="1" ht="12.75">
      <c r="A118" s="39" t="s">
        <v>360</v>
      </c>
      <c r="B118" s="20">
        <v>12</v>
      </c>
      <c r="C118" s="58"/>
      <c r="D118" s="167"/>
      <c r="E118" s="64">
        <f>E46</f>
        <v>1756907</v>
      </c>
      <c r="F118" s="170"/>
      <c r="G118" s="58"/>
      <c r="H118" s="247"/>
    </row>
    <row r="119" spans="1:8" s="156" customFormat="1" ht="12.75">
      <c r="A119" s="39"/>
      <c r="B119" s="20"/>
      <c r="C119" s="58"/>
      <c r="D119" s="167"/>
      <c r="E119" s="13"/>
      <c r="F119" s="170"/>
      <c r="G119" s="58"/>
      <c r="H119" s="247"/>
    </row>
    <row r="120" spans="1:8" s="156" customFormat="1" ht="12.75">
      <c r="A120" s="33" t="s">
        <v>219</v>
      </c>
      <c r="B120" s="20">
        <v>26</v>
      </c>
      <c r="C120" s="58"/>
      <c r="D120" s="252" t="s">
        <v>188</v>
      </c>
      <c r="E120" s="68">
        <f>SUM(E102:E107)-SUM(E109:E118)</f>
        <v>65337</v>
      </c>
      <c r="F120" s="170"/>
      <c r="G120" s="58"/>
      <c r="H120" s="247"/>
    </row>
    <row r="121" spans="1:8" s="156" customFormat="1" ht="12.75">
      <c r="A121" s="33"/>
      <c r="B121" s="20"/>
      <c r="C121" s="58"/>
      <c r="D121" s="252"/>
      <c r="E121" s="13"/>
      <c r="F121" s="170"/>
      <c r="G121" s="58"/>
      <c r="H121" s="247"/>
    </row>
    <row r="122" spans="1:8" s="156" customFormat="1" ht="12.75">
      <c r="A122" s="143" t="s">
        <v>652</v>
      </c>
      <c r="B122" s="20"/>
      <c r="C122" s="58"/>
      <c r="D122" s="167" t="s">
        <v>229</v>
      </c>
      <c r="E122" s="135">
        <v>0.3612</v>
      </c>
      <c r="F122" s="232"/>
      <c r="G122" s="58" t="s">
        <v>101</v>
      </c>
      <c r="H122" s="247"/>
    </row>
    <row r="123" spans="1:8" s="156" customFormat="1" ht="12.75">
      <c r="A123" s="39"/>
      <c r="B123" s="20"/>
      <c r="C123" s="58"/>
      <c r="D123" s="167"/>
      <c r="E123" s="13"/>
      <c r="F123" s="170"/>
      <c r="G123" s="58" t="s">
        <v>101</v>
      </c>
      <c r="H123" s="247"/>
    </row>
    <row r="124" spans="1:8" s="156" customFormat="1" ht="12.75">
      <c r="A124" s="39" t="s">
        <v>693</v>
      </c>
      <c r="B124" s="20"/>
      <c r="C124" s="58"/>
      <c r="D124" s="167" t="s">
        <v>188</v>
      </c>
      <c r="E124" s="68">
        <f>(E120*E122)</f>
        <v>23599.724400000003</v>
      </c>
      <c r="F124" s="170"/>
      <c r="G124" s="58"/>
      <c r="H124" s="247"/>
    </row>
    <row r="125" spans="1:8" s="156" customFormat="1" ht="12.75">
      <c r="A125" s="39"/>
      <c r="B125" s="20"/>
      <c r="C125" s="58"/>
      <c r="D125" s="167"/>
      <c r="E125" s="13"/>
      <c r="F125" s="170"/>
      <c r="G125" s="58"/>
      <c r="H125" s="247"/>
    </row>
    <row r="126" spans="1:8" s="156" customFormat="1" ht="12.75">
      <c r="A126" s="39" t="s">
        <v>113</v>
      </c>
      <c r="B126" s="20">
        <v>14</v>
      </c>
      <c r="C126" s="58"/>
      <c r="D126" s="167"/>
      <c r="E126" s="68">
        <v>0</v>
      </c>
      <c r="F126" s="170"/>
      <c r="G126" s="58"/>
      <c r="H126" s="247"/>
    </row>
    <row r="127" spans="1:8" s="156" customFormat="1" ht="12.75">
      <c r="A127" s="39"/>
      <c r="B127" s="20"/>
      <c r="C127" s="58"/>
      <c r="D127" s="167"/>
      <c r="E127" s="13"/>
      <c r="F127" s="170"/>
      <c r="G127" s="58"/>
      <c r="H127" s="247"/>
    </row>
    <row r="128" spans="1:8" s="156" customFormat="1" ht="12.75">
      <c r="A128" s="39" t="s">
        <v>116</v>
      </c>
      <c r="B128" s="20"/>
      <c r="C128" s="58"/>
      <c r="D128" s="167"/>
      <c r="E128" s="68">
        <f>E124-E126</f>
        <v>23599.724400000003</v>
      </c>
      <c r="F128" s="170"/>
      <c r="G128" s="58"/>
      <c r="H128" s="247"/>
    </row>
    <row r="129" spans="1:8" s="156" customFormat="1" ht="12.75">
      <c r="A129" s="43"/>
      <c r="B129" s="20"/>
      <c r="C129" s="58"/>
      <c r="D129" s="167"/>
      <c r="E129" s="13"/>
      <c r="F129" s="170"/>
      <c r="G129" s="58"/>
      <c r="H129" s="247"/>
    </row>
    <row r="130" spans="1:8" s="156" customFormat="1" ht="12.75">
      <c r="A130" s="33" t="s">
        <v>195</v>
      </c>
      <c r="B130" s="20"/>
      <c r="C130" s="58"/>
      <c r="D130" s="167"/>
      <c r="E130" s="135">
        <v>0.35</v>
      </c>
      <c r="F130" s="170"/>
      <c r="G130" s="58"/>
      <c r="H130" s="247"/>
    </row>
    <row r="131" spans="1:8" s="156" customFormat="1" ht="12.75">
      <c r="A131" s="32"/>
      <c r="B131" s="20"/>
      <c r="C131" s="58"/>
      <c r="D131" s="167"/>
      <c r="E131" s="13"/>
      <c r="F131" s="170"/>
      <c r="G131" s="58"/>
      <c r="H131" s="247"/>
    </row>
    <row r="132" spans="1:8" s="156" customFormat="1" ht="12.75">
      <c r="A132" s="44" t="s">
        <v>346</v>
      </c>
      <c r="B132" s="23"/>
      <c r="C132" s="58"/>
      <c r="D132" s="167"/>
      <c r="E132" s="67">
        <f>E128/(1-E130)</f>
        <v>36307.26830769231</v>
      </c>
      <c r="F132" s="170"/>
      <c r="G132" s="58"/>
      <c r="H132" s="247"/>
    </row>
    <row r="133" spans="1:8" s="156" customFormat="1" ht="12.75">
      <c r="A133" s="44"/>
      <c r="B133" s="23"/>
      <c r="C133" s="58"/>
      <c r="D133" s="167"/>
      <c r="E133" s="12"/>
      <c r="F133" s="170"/>
      <c r="G133" s="58"/>
      <c r="H133" s="247"/>
    </row>
    <row r="134" spans="1:8" s="156" customFormat="1" ht="30">
      <c r="A134" s="45" t="s">
        <v>349</v>
      </c>
      <c r="B134" s="23"/>
      <c r="C134" s="58"/>
      <c r="D134" s="167"/>
      <c r="E134" s="12"/>
      <c r="F134" s="170"/>
      <c r="G134" s="58"/>
      <c r="H134" s="247"/>
    </row>
    <row r="135" spans="1:8" s="156" customFormat="1" ht="12.75">
      <c r="A135" s="46"/>
      <c r="B135" s="23"/>
      <c r="C135" s="58"/>
      <c r="D135" s="167"/>
      <c r="E135" s="12"/>
      <c r="F135" s="170"/>
      <c r="G135" s="58"/>
      <c r="H135" s="247"/>
    </row>
    <row r="136" spans="1:8" s="156" customFormat="1" ht="25.5">
      <c r="A136" s="47" t="s">
        <v>232</v>
      </c>
      <c r="B136" s="23"/>
      <c r="C136" s="58"/>
      <c r="D136" s="253" t="s">
        <v>188</v>
      </c>
      <c r="E136" s="96">
        <f>C50</f>
        <v>4810089.121986499</v>
      </c>
      <c r="F136" s="170"/>
      <c r="G136" s="58"/>
      <c r="H136" s="247"/>
    </row>
    <row r="137" spans="1:8" s="156" customFormat="1" ht="12.75">
      <c r="A137" s="47"/>
      <c r="B137" s="23"/>
      <c r="C137" s="58"/>
      <c r="D137" s="254"/>
      <c r="E137" s="30"/>
      <c r="F137" s="170"/>
      <c r="G137" s="58"/>
      <c r="H137" s="247"/>
    </row>
    <row r="138" spans="1:8" s="156" customFormat="1" ht="12.75">
      <c r="A138" s="440" t="s">
        <v>653</v>
      </c>
      <c r="B138" s="23"/>
      <c r="C138" s="58"/>
      <c r="D138" s="254" t="s">
        <v>229</v>
      </c>
      <c r="E138" s="135">
        <v>0.3612</v>
      </c>
      <c r="F138" s="255" t="s">
        <v>101</v>
      </c>
      <c r="G138" s="58"/>
      <c r="H138" s="247"/>
    </row>
    <row r="139" spans="1:8" s="156" customFormat="1" ht="12.75">
      <c r="A139" s="47"/>
      <c r="B139" s="23"/>
      <c r="C139" s="58"/>
      <c r="D139" s="254"/>
      <c r="E139" s="29"/>
      <c r="F139" s="170"/>
      <c r="G139" s="58"/>
      <c r="H139" s="247"/>
    </row>
    <row r="140" spans="1:8" s="156" customFormat="1" ht="12.75">
      <c r="A140" s="47" t="s">
        <v>687</v>
      </c>
      <c r="B140" s="23"/>
      <c r="C140" s="58"/>
      <c r="D140" s="253" t="s">
        <v>188</v>
      </c>
      <c r="E140" s="97">
        <f>IF(E136&gt;0,(E136*E138)*B9/B10,0)</f>
        <v>721544.909865988</v>
      </c>
      <c r="F140" s="170"/>
      <c r="G140" s="58"/>
      <c r="H140" s="247"/>
    </row>
    <row r="141" spans="1:8" s="156" customFormat="1" ht="12.75">
      <c r="A141" s="47"/>
      <c r="B141" s="23"/>
      <c r="C141" s="58"/>
      <c r="D141" s="254"/>
      <c r="E141" s="29"/>
      <c r="F141" s="170"/>
      <c r="G141" s="58"/>
      <c r="H141" s="247"/>
    </row>
    <row r="142" spans="1:8" s="156" customFormat="1" ht="12.75">
      <c r="A142" s="47" t="s">
        <v>234</v>
      </c>
      <c r="B142" s="23"/>
      <c r="C142" s="58"/>
      <c r="D142" s="253" t="s">
        <v>187</v>
      </c>
      <c r="E142" s="96">
        <f>G58</f>
        <v>108</v>
      </c>
      <c r="F142" s="170"/>
      <c r="G142" s="58"/>
      <c r="H142" s="247"/>
    </row>
    <row r="143" spans="1:8" s="156" customFormat="1" ht="12.75">
      <c r="A143" s="47"/>
      <c r="B143" s="23"/>
      <c r="C143" s="58"/>
      <c r="D143" s="254"/>
      <c r="E143" s="29"/>
      <c r="F143" s="170"/>
      <c r="G143" s="58"/>
      <c r="H143" s="247"/>
    </row>
    <row r="144" spans="1:8" s="156" customFormat="1" ht="12.75">
      <c r="A144" s="47" t="s">
        <v>228</v>
      </c>
      <c r="B144" s="23"/>
      <c r="C144" s="58"/>
      <c r="D144" s="254" t="s">
        <v>188</v>
      </c>
      <c r="E144" s="96">
        <f>E140-E142</f>
        <v>721436.909865988</v>
      </c>
      <c r="F144" s="170"/>
      <c r="G144" s="58"/>
      <c r="H144" s="247"/>
    </row>
    <row r="145" spans="1:8" s="156" customFormat="1" ht="12.75">
      <c r="A145" s="47"/>
      <c r="B145" s="23"/>
      <c r="C145" s="58"/>
      <c r="D145" s="254"/>
      <c r="E145" s="29"/>
      <c r="F145" s="170"/>
      <c r="G145" s="58"/>
      <c r="H145" s="247"/>
    </row>
    <row r="146" spans="1:8" s="156" customFormat="1" ht="25.5">
      <c r="A146" s="47" t="s">
        <v>688</v>
      </c>
      <c r="B146" s="23"/>
      <c r="C146" s="58"/>
      <c r="D146" s="253" t="s">
        <v>187</v>
      </c>
      <c r="E146" s="96">
        <f>C60*B9/B10</f>
        <v>771485.7258866127</v>
      </c>
      <c r="F146" s="170"/>
      <c r="G146" s="58"/>
      <c r="H146" s="247"/>
    </row>
    <row r="147" spans="1:8" s="156" customFormat="1" ht="12.75">
      <c r="A147" s="47"/>
      <c r="B147" s="23"/>
      <c r="C147" s="58"/>
      <c r="D147" s="254"/>
      <c r="E147" s="29"/>
      <c r="F147" s="170"/>
      <c r="G147" s="58"/>
      <c r="H147" s="247"/>
    </row>
    <row r="148" spans="1:8" s="156" customFormat="1" ht="12.75">
      <c r="A148" s="47" t="s">
        <v>230</v>
      </c>
      <c r="B148" s="23"/>
      <c r="C148" s="58"/>
      <c r="D148" s="253" t="s">
        <v>188</v>
      </c>
      <c r="E148" s="96">
        <f>(E144-E146)/B10*B9</f>
        <v>-20785.300642445236</v>
      </c>
      <c r="F148" s="170"/>
      <c r="G148" s="58"/>
      <c r="H148" s="247"/>
    </row>
    <row r="149" spans="1:8" s="156" customFormat="1" ht="12.75">
      <c r="A149" s="47"/>
      <c r="B149" s="23"/>
      <c r="C149" s="58"/>
      <c r="D149" s="254"/>
      <c r="E149" s="29"/>
      <c r="F149" s="170"/>
      <c r="G149" s="58"/>
      <c r="H149" s="247"/>
    </row>
    <row r="150" spans="1:8" s="156" customFormat="1" ht="12.75">
      <c r="A150" s="120" t="s">
        <v>20</v>
      </c>
      <c r="B150" s="23"/>
      <c r="C150" s="58"/>
      <c r="D150" s="254"/>
      <c r="E150" s="30"/>
      <c r="F150" s="170"/>
      <c r="G150" s="58"/>
      <c r="H150" s="247"/>
    </row>
    <row r="151" spans="1:8" s="156" customFormat="1" ht="12.75">
      <c r="A151" s="47" t="s">
        <v>17</v>
      </c>
      <c r="B151" s="23"/>
      <c r="C151" s="58"/>
      <c r="D151" s="254" t="s">
        <v>188</v>
      </c>
      <c r="E151" s="96">
        <f>C66</f>
        <v>104354290</v>
      </c>
      <c r="F151" s="170"/>
      <c r="G151" s="58"/>
      <c r="H151" s="247"/>
    </row>
    <row r="152" spans="1:8" s="156" customFormat="1" ht="12.75">
      <c r="A152" s="47" t="s">
        <v>352</v>
      </c>
      <c r="B152" s="23"/>
      <c r="C152" s="58"/>
      <c r="D152" s="253" t="s">
        <v>187</v>
      </c>
      <c r="E152" s="98">
        <f>IF(E151&gt;0,'Tax Rates'!C39,0)</f>
        <v>5000000</v>
      </c>
      <c r="F152" s="170"/>
      <c r="G152" s="58"/>
      <c r="H152" s="247"/>
    </row>
    <row r="153" spans="1:8" s="156" customFormat="1" ht="12.75">
      <c r="A153" s="47" t="s">
        <v>231</v>
      </c>
      <c r="B153" s="23"/>
      <c r="C153" s="58"/>
      <c r="D153" s="253" t="s">
        <v>188</v>
      </c>
      <c r="E153" s="96">
        <f>E151-E152</f>
        <v>99354290</v>
      </c>
      <c r="F153" s="170"/>
      <c r="G153" s="58"/>
      <c r="H153" s="247"/>
    </row>
    <row r="154" spans="1:8" s="156" customFormat="1" ht="12.75">
      <c r="A154" s="47"/>
      <c r="B154" s="23"/>
      <c r="C154" s="58"/>
      <c r="D154" s="254"/>
      <c r="E154" s="29"/>
      <c r="F154" s="170"/>
      <c r="G154" s="58"/>
      <c r="H154" s="247"/>
    </row>
    <row r="155" spans="1:8" s="156" customFormat="1" ht="12.75">
      <c r="A155" s="47" t="s">
        <v>353</v>
      </c>
      <c r="B155" s="23"/>
      <c r="C155" s="58"/>
      <c r="D155" s="254" t="s">
        <v>229</v>
      </c>
      <c r="E155" s="99">
        <f>'Tax Rates'!C54</f>
        <v>0.003</v>
      </c>
      <c r="F155" s="170"/>
      <c r="G155" s="58"/>
      <c r="H155" s="247"/>
    </row>
    <row r="156" spans="1:8" s="156" customFormat="1" ht="12.75">
      <c r="A156" s="47"/>
      <c r="B156" s="23"/>
      <c r="C156" s="58"/>
      <c r="D156" s="254"/>
      <c r="E156" s="29"/>
      <c r="F156" s="170"/>
      <c r="G156" s="58"/>
      <c r="H156" s="247"/>
    </row>
    <row r="157" spans="1:8" s="156" customFormat="1" ht="12.75">
      <c r="A157" s="47" t="s">
        <v>689</v>
      </c>
      <c r="B157" s="23"/>
      <c r="C157" s="58"/>
      <c r="D157" s="254" t="s">
        <v>188</v>
      </c>
      <c r="E157" s="96">
        <f>IF(E153&gt;0,E153*E155*B9/B10,0)</f>
        <v>123785.67278688525</v>
      </c>
      <c r="F157" s="170"/>
      <c r="G157" s="58"/>
      <c r="H157" s="247"/>
    </row>
    <row r="158" spans="1:8" s="156" customFormat="1" ht="25.5">
      <c r="A158" s="47" t="s">
        <v>302</v>
      </c>
      <c r="B158" s="23"/>
      <c r="C158" s="58"/>
      <c r="D158" s="253" t="s">
        <v>187</v>
      </c>
      <c r="E158" s="98">
        <f>C72</f>
        <v>123785.67278688525</v>
      </c>
      <c r="F158" s="170"/>
      <c r="G158" s="58"/>
      <c r="H158" s="247"/>
    </row>
    <row r="159" spans="1:8" s="156" customFormat="1" ht="12.75" customHeight="1">
      <c r="A159" s="256" t="s">
        <v>238</v>
      </c>
      <c r="B159" s="23"/>
      <c r="C159" s="58"/>
      <c r="D159" s="253" t="s">
        <v>188</v>
      </c>
      <c r="E159" s="139">
        <f>E157-E158</f>
        <v>0</v>
      </c>
      <c r="F159" s="170"/>
      <c r="G159" s="58"/>
      <c r="H159" s="247"/>
    </row>
    <row r="160" spans="1:8" s="156" customFormat="1" ht="12.75">
      <c r="A160" s="47"/>
      <c r="B160" s="23"/>
      <c r="C160" s="58"/>
      <c r="D160" s="254"/>
      <c r="E160" s="29"/>
      <c r="F160" s="170"/>
      <c r="G160" s="58"/>
      <c r="H160" s="247"/>
    </row>
    <row r="161" spans="1:8" s="156" customFormat="1" ht="12.75">
      <c r="A161" s="120" t="s">
        <v>233</v>
      </c>
      <c r="B161" s="23"/>
      <c r="C161" s="58"/>
      <c r="D161" s="254"/>
      <c r="E161" s="96"/>
      <c r="F161" s="170"/>
      <c r="G161" s="58"/>
      <c r="H161" s="247"/>
    </row>
    <row r="162" spans="1:8" s="156" customFormat="1" ht="12.75">
      <c r="A162" s="47" t="s">
        <v>17</v>
      </c>
      <c r="B162" s="23"/>
      <c r="C162" s="58"/>
      <c r="D162" s="254"/>
      <c r="E162" s="96">
        <f>C75</f>
        <v>104354290</v>
      </c>
      <c r="F162" s="170"/>
      <c r="G162" s="58"/>
      <c r="H162" s="247"/>
    </row>
    <row r="163" spans="1:8" s="156" customFormat="1" ht="12.75">
      <c r="A163" s="47" t="s">
        <v>351</v>
      </c>
      <c r="B163" s="23"/>
      <c r="C163" s="58"/>
      <c r="D163" s="253" t="s">
        <v>187</v>
      </c>
      <c r="E163" s="98">
        <f>IF(E162&gt;0,'Tax Rates'!C40,0)</f>
        <v>50000000</v>
      </c>
      <c r="F163" s="170"/>
      <c r="G163" s="58"/>
      <c r="H163" s="247"/>
    </row>
    <row r="164" spans="1:8" s="156" customFormat="1" ht="12.75">
      <c r="A164" s="47" t="s">
        <v>235</v>
      </c>
      <c r="B164" s="23"/>
      <c r="C164" s="58"/>
      <c r="D164" s="254" t="s">
        <v>188</v>
      </c>
      <c r="E164" s="96">
        <f>E162-E163</f>
        <v>54354290</v>
      </c>
      <c r="F164" s="170"/>
      <c r="G164" s="58"/>
      <c r="H164" s="247"/>
    </row>
    <row r="165" spans="1:8" s="156" customFormat="1" ht="12.75">
      <c r="A165" s="47"/>
      <c r="B165" s="23"/>
      <c r="C165" s="58"/>
      <c r="D165" s="254"/>
      <c r="E165" s="29"/>
      <c r="F165" s="170"/>
      <c r="G165" s="58"/>
      <c r="H165" s="247"/>
    </row>
    <row r="166" spans="1:8" s="156" customFormat="1" ht="12.75">
      <c r="A166" s="47" t="s">
        <v>303</v>
      </c>
      <c r="B166" s="23"/>
      <c r="C166" s="58"/>
      <c r="D166" s="254"/>
      <c r="E166" s="99">
        <f>'Tax Rates'!C55</f>
        <v>0.002</v>
      </c>
      <c r="F166" s="170"/>
      <c r="G166" s="58"/>
      <c r="H166" s="247"/>
    </row>
    <row r="167" spans="1:8" s="156" customFormat="1" ht="12.75">
      <c r="A167" s="47"/>
      <c r="B167" s="23"/>
      <c r="C167" s="58"/>
      <c r="D167" s="254"/>
      <c r="E167" s="29"/>
      <c r="F167" s="170"/>
      <c r="G167" s="58"/>
      <c r="H167" s="247"/>
    </row>
    <row r="168" spans="1:8" s="156" customFormat="1" ht="12.75">
      <c r="A168" s="47" t="s">
        <v>690</v>
      </c>
      <c r="B168" s="23"/>
      <c r="C168" s="58"/>
      <c r="D168" s="254"/>
      <c r="E168" s="96">
        <f>IF(E164&gt;0,E164*E166*B9/B10,0)</f>
        <v>45146.73267759563</v>
      </c>
      <c r="F168" s="170"/>
      <c r="G168" s="58"/>
      <c r="H168" s="247"/>
    </row>
    <row r="169" spans="1:8" s="156" customFormat="1" ht="12.75">
      <c r="A169" s="47" t="s">
        <v>691</v>
      </c>
      <c r="B169" s="23"/>
      <c r="C169" s="58"/>
      <c r="D169" s="253" t="s">
        <v>187</v>
      </c>
      <c r="E169" s="100">
        <f>IF(E164&gt;0,IF(E144&gt;0,E136*'Tax Rates'!C56,0),0)*B9/B10</f>
        <v>22373.485577239935</v>
      </c>
      <c r="F169" s="170"/>
      <c r="G169" s="58"/>
      <c r="H169" s="247"/>
    </row>
    <row r="170" spans="1:8" s="156" customFormat="1" ht="12.75">
      <c r="A170" s="47" t="s">
        <v>236</v>
      </c>
      <c r="B170" s="23"/>
      <c r="C170" s="58"/>
      <c r="D170" s="254" t="s">
        <v>188</v>
      </c>
      <c r="E170" s="96">
        <f>IF(E168-E169&lt;0,0,E168-E169)</f>
        <v>22773.247100355697</v>
      </c>
      <c r="F170" s="170"/>
      <c r="G170" s="58"/>
      <c r="H170" s="247"/>
    </row>
    <row r="171" spans="1:8" s="156" customFormat="1" ht="12.75">
      <c r="A171" s="47"/>
      <c r="B171" s="23"/>
      <c r="C171" s="58"/>
      <c r="D171" s="254"/>
      <c r="E171" s="61"/>
      <c r="F171" s="170"/>
      <c r="G171" s="58"/>
      <c r="H171" s="247"/>
    </row>
    <row r="172" spans="1:8" s="156" customFormat="1" ht="12.75">
      <c r="A172" s="128" t="s">
        <v>341</v>
      </c>
      <c r="B172" s="23"/>
      <c r="C172" s="58"/>
      <c r="D172" s="253" t="s">
        <v>187</v>
      </c>
      <c r="E172" s="98">
        <f>C84</f>
        <v>65793.63786538302</v>
      </c>
      <c r="F172" s="170"/>
      <c r="G172" s="58"/>
      <c r="H172" s="247"/>
    </row>
    <row r="173" spans="1:8" s="156" customFormat="1" ht="12.75">
      <c r="A173" s="36" t="s">
        <v>239</v>
      </c>
      <c r="B173" s="23"/>
      <c r="C173" s="58"/>
      <c r="D173" s="254" t="s">
        <v>188</v>
      </c>
      <c r="E173" s="139">
        <f>E170-E172</f>
        <v>-43020.39076502732</v>
      </c>
      <c r="F173" s="170"/>
      <c r="G173" s="58"/>
      <c r="H173" s="247"/>
    </row>
    <row r="174" spans="1:8" s="156" customFormat="1" ht="12.75">
      <c r="A174" s="36"/>
      <c r="B174" s="23"/>
      <c r="C174" s="58"/>
      <c r="D174" s="254"/>
      <c r="E174" s="29"/>
      <c r="F174" s="170"/>
      <c r="G174" s="58"/>
      <c r="H174" s="247"/>
    </row>
    <row r="175" spans="1:8" s="156" customFormat="1" ht="12.75">
      <c r="A175" s="36" t="s">
        <v>338</v>
      </c>
      <c r="B175" s="23"/>
      <c r="C175" s="58"/>
      <c r="D175" s="254"/>
      <c r="E175" s="135">
        <v>0.35</v>
      </c>
      <c r="F175" s="232"/>
      <c r="G175" s="58"/>
      <c r="H175" s="247"/>
    </row>
    <row r="176" spans="1:8" s="156" customFormat="1" ht="12.75">
      <c r="A176" s="36"/>
      <c r="B176" s="23"/>
      <c r="C176" s="58"/>
      <c r="D176" s="254"/>
      <c r="E176" s="29"/>
      <c r="F176" s="170"/>
      <c r="G176" s="58"/>
      <c r="H176" s="247"/>
    </row>
    <row r="177" spans="1:8" s="156" customFormat="1" ht="12.75">
      <c r="A177" s="44" t="s">
        <v>237</v>
      </c>
      <c r="B177" s="23"/>
      <c r="C177" s="58"/>
      <c r="D177" s="254" t="s">
        <v>186</v>
      </c>
      <c r="E177" s="96">
        <f>E148/(1-E175)</f>
        <v>-31977.3856037619</v>
      </c>
      <c r="F177" s="170"/>
      <c r="G177" s="58"/>
      <c r="H177" s="247"/>
    </row>
    <row r="178" spans="1:8" s="156" customFormat="1" ht="12.75">
      <c r="A178" s="44" t="s">
        <v>32</v>
      </c>
      <c r="B178" s="23"/>
      <c r="C178" s="58"/>
      <c r="D178" s="254" t="s">
        <v>186</v>
      </c>
      <c r="E178" s="96">
        <f>IF(E164&gt;0,E173/(1-E175),-C91)</f>
        <v>-66185.21656158048</v>
      </c>
      <c r="F178" s="170"/>
      <c r="G178" s="58"/>
      <c r="H178" s="247"/>
    </row>
    <row r="179" spans="1:8" s="156" customFormat="1" ht="12.75">
      <c r="A179" s="44" t="s">
        <v>20</v>
      </c>
      <c r="B179" s="23"/>
      <c r="C179" s="58"/>
      <c r="D179" s="254" t="s">
        <v>186</v>
      </c>
      <c r="E179" s="96">
        <f>E159</f>
        <v>0</v>
      </c>
      <c r="F179" s="170"/>
      <c r="G179" s="58"/>
      <c r="H179" s="247"/>
    </row>
    <row r="180" spans="1:8" s="156" customFormat="1" ht="12.75">
      <c r="A180" s="36"/>
      <c r="B180" s="23"/>
      <c r="C180" s="58"/>
      <c r="D180" s="254"/>
      <c r="E180" s="29"/>
      <c r="F180" s="170"/>
      <c r="G180" s="58"/>
      <c r="H180" s="247"/>
    </row>
    <row r="181" spans="1:8" s="156" customFormat="1" ht="12.75">
      <c r="A181" s="44" t="s">
        <v>347</v>
      </c>
      <c r="B181" s="23"/>
      <c r="C181" s="58"/>
      <c r="D181" s="254" t="s">
        <v>188</v>
      </c>
      <c r="E181" s="96">
        <f>SUM(E177:E179)</f>
        <v>-98162.60216534238</v>
      </c>
      <c r="F181" s="170"/>
      <c r="G181" s="58"/>
      <c r="H181" s="247"/>
    </row>
    <row r="182" spans="1:8" s="156" customFormat="1" ht="12.75">
      <c r="A182" s="36"/>
      <c r="B182" s="23"/>
      <c r="C182" s="58"/>
      <c r="D182" s="254"/>
      <c r="E182" s="29"/>
      <c r="F182" s="170"/>
      <c r="G182" s="58"/>
      <c r="H182" s="247"/>
    </row>
    <row r="183" spans="1:8" s="156" customFormat="1" ht="12.75">
      <c r="A183" s="44" t="s">
        <v>339</v>
      </c>
      <c r="B183" s="23"/>
      <c r="C183" s="58"/>
      <c r="D183" s="254" t="s">
        <v>186</v>
      </c>
      <c r="E183" s="96">
        <f>E132</f>
        <v>36307.26830769231</v>
      </c>
      <c r="F183" s="170" t="s">
        <v>101</v>
      </c>
      <c r="G183" s="58"/>
      <c r="H183" s="247"/>
    </row>
    <row r="184" spans="1:8" s="156" customFormat="1" ht="12.75">
      <c r="A184" s="44"/>
      <c r="B184" s="23"/>
      <c r="C184" s="58"/>
      <c r="D184" s="254"/>
      <c r="E184" s="29"/>
      <c r="F184" s="170"/>
      <c r="G184" s="58"/>
      <c r="H184" s="247"/>
    </row>
    <row r="185" spans="1:8" s="156" customFormat="1" ht="15">
      <c r="A185" s="48" t="s">
        <v>348</v>
      </c>
      <c r="B185" s="23"/>
      <c r="C185" s="58"/>
      <c r="D185" s="254" t="s">
        <v>188</v>
      </c>
      <c r="E185" s="96">
        <f>E181+E183</f>
        <v>-61855.33385765007</v>
      </c>
      <c r="F185" s="170"/>
      <c r="G185" s="58"/>
      <c r="H185" s="247"/>
    </row>
    <row r="186" spans="1:8" s="156" customFormat="1" ht="12.75">
      <c r="A186" s="41" t="s">
        <v>241</v>
      </c>
      <c r="B186" s="20"/>
      <c r="C186" s="58"/>
      <c r="D186" s="254"/>
      <c r="E186" s="29"/>
      <c r="F186" s="170"/>
      <c r="G186" s="58"/>
      <c r="H186" s="247"/>
    </row>
    <row r="187" spans="1:8" s="156" customFormat="1" ht="12.75">
      <c r="A187" s="41"/>
      <c r="B187" s="20"/>
      <c r="C187" s="58"/>
      <c r="D187" s="254"/>
      <c r="E187" s="31"/>
      <c r="F187" s="170"/>
      <c r="G187" s="58"/>
      <c r="H187" s="247"/>
    </row>
    <row r="188" spans="1:8" s="156" customFormat="1" ht="13.5" thickBot="1">
      <c r="A188" s="32"/>
      <c r="B188" s="20"/>
      <c r="C188" s="58"/>
      <c r="D188" s="254"/>
      <c r="E188" s="31"/>
      <c r="F188" s="170"/>
      <c r="G188" s="58"/>
      <c r="H188" s="247"/>
    </row>
    <row r="189" spans="1:8" s="156" customFormat="1" ht="13.5" thickTop="1">
      <c r="A189" s="49"/>
      <c r="B189" s="24"/>
      <c r="C189" s="257"/>
      <c r="D189" s="258"/>
      <c r="E189" s="259"/>
      <c r="F189" s="164"/>
      <c r="G189" s="17"/>
      <c r="H189" s="260"/>
    </row>
    <row r="190" spans="1:8" s="156" customFormat="1" ht="12.75">
      <c r="A190" s="44" t="s">
        <v>57</v>
      </c>
      <c r="B190" s="20"/>
      <c r="C190" s="55"/>
      <c r="D190" s="254"/>
      <c r="E190" s="29"/>
      <c r="F190" s="167"/>
      <c r="G190" s="16"/>
      <c r="H190" s="247"/>
    </row>
    <row r="191" spans="1:8" s="156" customFormat="1" ht="12.75">
      <c r="A191" s="35" t="s">
        <v>82</v>
      </c>
      <c r="B191" s="16"/>
      <c r="C191" s="16"/>
      <c r="D191" s="254"/>
      <c r="E191" s="31"/>
      <c r="F191" s="167"/>
      <c r="G191" s="16"/>
      <c r="H191" s="247"/>
    </row>
    <row r="192" spans="1:8" s="156" customFormat="1" ht="12.75">
      <c r="A192" s="35"/>
      <c r="B192" s="16"/>
      <c r="C192" s="16"/>
      <c r="D192" s="254"/>
      <c r="E192" s="31"/>
      <c r="F192" s="167"/>
      <c r="G192" s="16"/>
      <c r="H192" s="247"/>
    </row>
    <row r="193" spans="1:8" s="156" customFormat="1" ht="12.75">
      <c r="A193" s="36" t="s">
        <v>223</v>
      </c>
      <c r="B193" s="20"/>
      <c r="C193" s="58"/>
      <c r="D193" s="261"/>
      <c r="E193" s="101">
        <f>REGINFO!D62</f>
        <v>4017640.165000001</v>
      </c>
      <c r="F193" s="167"/>
      <c r="G193" s="16"/>
      <c r="H193" s="247"/>
    </row>
    <row r="194" spans="1:8" s="156" customFormat="1" ht="12.75">
      <c r="A194" s="36" t="s">
        <v>244</v>
      </c>
      <c r="B194" s="20"/>
      <c r="C194" s="58"/>
      <c r="D194" s="261"/>
      <c r="E194" s="101">
        <f>REGINFO!D66</f>
        <v>3069846.878013501</v>
      </c>
      <c r="F194" s="167"/>
      <c r="G194" s="16"/>
      <c r="H194" s="247"/>
    </row>
    <row r="195" spans="1:8" s="156" customFormat="1" ht="12.75">
      <c r="A195" s="36"/>
      <c r="B195" s="20"/>
      <c r="C195" s="58"/>
      <c r="D195" s="261"/>
      <c r="E195" s="31"/>
      <c r="F195" s="167"/>
      <c r="G195" s="16"/>
      <c r="H195" s="247"/>
    </row>
    <row r="196" spans="1:8" s="156" customFormat="1" ht="12.75">
      <c r="A196" s="36" t="s">
        <v>336</v>
      </c>
      <c r="B196" s="20"/>
      <c r="C196" s="58"/>
      <c r="D196" s="261"/>
      <c r="E196" s="101">
        <f>E193-E194</f>
        <v>947793.2869865</v>
      </c>
      <c r="F196" s="167"/>
      <c r="G196" s="16"/>
      <c r="H196" s="247"/>
    </row>
    <row r="197" spans="1:8" s="156" customFormat="1" ht="12.75">
      <c r="A197" s="36" t="s">
        <v>337</v>
      </c>
      <c r="B197" s="20"/>
      <c r="C197" s="58"/>
      <c r="D197" s="261"/>
      <c r="E197" s="31"/>
      <c r="F197" s="167"/>
      <c r="G197" s="16"/>
      <c r="H197" s="247"/>
    </row>
    <row r="198" spans="1:8" s="156" customFormat="1" ht="12.75">
      <c r="A198" s="36"/>
      <c r="B198" s="20"/>
      <c r="C198" s="58"/>
      <c r="D198" s="261"/>
      <c r="E198" s="31"/>
      <c r="F198" s="167"/>
      <c r="G198" s="16"/>
      <c r="H198" s="247"/>
    </row>
    <row r="199" spans="1:8" s="156" customFormat="1" ht="12.75">
      <c r="A199" s="44" t="s">
        <v>250</v>
      </c>
      <c r="B199" s="20"/>
      <c r="C199" s="58"/>
      <c r="D199" s="261"/>
      <c r="E199" s="31"/>
      <c r="F199" s="167"/>
      <c r="G199" s="142"/>
      <c r="H199" s="247"/>
    </row>
    <row r="200" spans="1:8" s="156" customFormat="1" ht="12.75">
      <c r="A200" s="50" t="s">
        <v>84</v>
      </c>
      <c r="B200" s="20"/>
      <c r="C200" s="58"/>
      <c r="D200" s="261"/>
      <c r="E200" s="31"/>
      <c r="F200" s="167"/>
      <c r="G200" s="142"/>
      <c r="H200" s="247"/>
    </row>
    <row r="201" spans="1:8" s="156" customFormat="1" ht="12.75">
      <c r="A201" s="36" t="s">
        <v>245</v>
      </c>
      <c r="B201" s="20"/>
      <c r="C201" s="58"/>
      <c r="D201" s="261"/>
      <c r="E201" s="101">
        <f>G37+G42</f>
        <v>1328377</v>
      </c>
      <c r="F201" s="167"/>
      <c r="G201" s="142"/>
      <c r="H201" s="247"/>
    </row>
    <row r="202" spans="1:8" s="156" customFormat="1" ht="12.75">
      <c r="A202" s="36" t="s">
        <v>692</v>
      </c>
      <c r="B202" s="20"/>
      <c r="C202" s="58"/>
      <c r="D202" s="261"/>
      <c r="E202" s="101">
        <f>REGINFO!D62*B9/B10</f>
        <v>1668528.1559562846</v>
      </c>
      <c r="F202" s="167"/>
      <c r="G202" s="16"/>
      <c r="H202" s="247"/>
    </row>
    <row r="203" spans="1:8" s="156" customFormat="1" ht="12.75">
      <c r="A203" s="36"/>
      <c r="B203" s="20"/>
      <c r="C203" s="58"/>
      <c r="D203" s="261"/>
      <c r="E203" s="31"/>
      <c r="F203" s="167"/>
      <c r="G203" s="16"/>
      <c r="H203" s="247"/>
    </row>
    <row r="204" spans="1:8" s="156" customFormat="1" ht="12.75">
      <c r="A204" s="36" t="s">
        <v>83</v>
      </c>
      <c r="B204" s="20"/>
      <c r="C204" s="58"/>
      <c r="D204" s="261"/>
      <c r="E204" s="97">
        <f>IF((E201-E202)&gt;0,E201-E202,0)</f>
        <v>0</v>
      </c>
      <c r="F204" s="167"/>
      <c r="G204" s="16"/>
      <c r="H204" s="247"/>
    </row>
    <row r="205" spans="1:8" s="156" customFormat="1" ht="12.75">
      <c r="A205" s="36"/>
      <c r="B205" s="20"/>
      <c r="C205" s="58"/>
      <c r="D205" s="261"/>
      <c r="E205" s="31"/>
      <c r="F205" s="167"/>
      <c r="G205" s="16"/>
      <c r="H205" s="247"/>
    </row>
    <row r="206" spans="1:8" s="156" customFormat="1" ht="12.75">
      <c r="A206" s="44" t="s">
        <v>312</v>
      </c>
      <c r="B206" s="20"/>
      <c r="C206" s="58"/>
      <c r="D206" s="261"/>
      <c r="E206" s="136">
        <f>IF((E201-E202)&gt;0,E201-E202,0)</f>
        <v>0</v>
      </c>
      <c r="F206" s="167"/>
      <c r="G206" s="16"/>
      <c r="H206" s="247"/>
    </row>
    <row r="207" spans="1:8" s="156" customFormat="1" ht="12.75">
      <c r="A207" s="36"/>
      <c r="B207" s="20"/>
      <c r="C207" s="58"/>
      <c r="D207" s="261"/>
      <c r="E207" s="31"/>
      <c r="F207" s="167"/>
      <c r="G207" s="16"/>
      <c r="H207" s="247"/>
    </row>
    <row r="208" spans="1:8" s="156" customFormat="1" ht="13.5" thickBot="1">
      <c r="A208" s="51" t="s">
        <v>224</v>
      </c>
      <c r="B208" s="52"/>
      <c r="C208" s="262"/>
      <c r="D208" s="263"/>
      <c r="E208" s="102">
        <f>+E196-E204</f>
        <v>947793.2869865</v>
      </c>
      <c r="F208" s="264"/>
      <c r="G208" s="59"/>
      <c r="H208" s="265"/>
    </row>
    <row r="209" spans="1:5" s="156" customFormat="1" ht="12.75">
      <c r="A209" s="179"/>
      <c r="B209" s="157"/>
      <c r="C209" s="185"/>
      <c r="D209" s="266"/>
      <c r="E209" s="267"/>
    </row>
    <row r="210" spans="2:6" s="156" customFormat="1" ht="12.75">
      <c r="B210" s="185"/>
      <c r="C210" s="185"/>
      <c r="D210" s="185"/>
      <c r="E210" s="185"/>
      <c r="F210" s="185"/>
    </row>
    <row r="211" spans="2:5" s="156" customFormat="1" ht="12.75">
      <c r="B211" s="157"/>
      <c r="C211" s="185"/>
      <c r="D211" s="185"/>
      <c r="E211" s="129"/>
    </row>
    <row r="212" spans="2:5" s="156" customFormat="1" ht="12.75">
      <c r="B212" s="157"/>
      <c r="C212" s="185"/>
      <c r="D212" s="266"/>
      <c r="E212" s="129"/>
    </row>
    <row r="213" spans="2:5" s="156" customFormat="1" ht="12.75">
      <c r="B213" s="157"/>
      <c r="C213" s="180"/>
      <c r="D213" s="268"/>
      <c r="E213" s="269"/>
    </row>
    <row r="214" spans="2:5" s="156" customFormat="1" ht="12.75">
      <c r="B214" s="157"/>
      <c r="C214" s="225"/>
      <c r="D214" s="268"/>
      <c r="E214" s="270"/>
    </row>
    <row r="215" spans="2:5" s="156" customFormat="1" ht="12.75">
      <c r="B215" s="157"/>
      <c r="C215" s="180"/>
      <c r="D215" s="268"/>
      <c r="E215" s="271"/>
    </row>
    <row r="216" spans="2:5" s="156" customFormat="1" ht="12.75">
      <c r="B216" s="157"/>
      <c r="C216" s="180"/>
      <c r="D216" s="268"/>
      <c r="E216" s="269"/>
    </row>
    <row r="217" spans="2:5" s="156" customFormat="1" ht="12.75">
      <c r="B217" s="157"/>
      <c r="C217" s="180"/>
      <c r="D217" s="268"/>
      <c r="E217" s="271"/>
    </row>
    <row r="218" spans="4:5" s="156" customFormat="1" ht="12.75">
      <c r="D218" s="268"/>
      <c r="E218" s="272"/>
    </row>
    <row r="219" spans="4:5" s="156" customFormat="1" ht="12.75">
      <c r="D219" s="268"/>
      <c r="E219" s="273"/>
    </row>
    <row r="220" spans="4:5" s="156" customFormat="1" ht="12.75">
      <c r="D220" s="268"/>
      <c r="E220" s="273"/>
    </row>
    <row r="221" spans="3:5" s="156" customFormat="1" ht="12.75">
      <c r="C221" s="156" t="s">
        <v>101</v>
      </c>
      <c r="D221" s="268"/>
      <c r="E221" s="273"/>
    </row>
    <row r="222" spans="3:5" s="156" customFormat="1" ht="12.75">
      <c r="C222" s="156" t="s">
        <v>101</v>
      </c>
      <c r="D222" s="268"/>
      <c r="E222" s="273"/>
    </row>
    <row r="223" spans="3:5" s="156" customFormat="1" ht="12.75">
      <c r="C223" s="156" t="s">
        <v>101</v>
      </c>
      <c r="D223" s="268"/>
      <c r="E223" s="273"/>
    </row>
    <row r="224" spans="4:5" s="156" customFormat="1" ht="12.75">
      <c r="D224" s="268"/>
      <c r="E224" s="273"/>
    </row>
    <row r="225" spans="4:5" s="156" customFormat="1" ht="12.75">
      <c r="D225" s="268"/>
      <c r="E225" s="273"/>
    </row>
    <row r="226" spans="4:5" s="156" customFormat="1" ht="12.75">
      <c r="D226" s="268"/>
      <c r="E226" s="273"/>
    </row>
    <row r="227" spans="4:5" s="156" customFormat="1" ht="12.75">
      <c r="D227" s="268"/>
      <c r="E227" s="273"/>
    </row>
    <row r="228" spans="4:5" s="156" customFormat="1" ht="12.75">
      <c r="D228" s="268"/>
      <c r="E228" s="273"/>
    </row>
    <row r="229" spans="4:5" s="156" customFormat="1" ht="12.75">
      <c r="D229" s="268"/>
      <c r="E229" s="273"/>
    </row>
    <row r="230" spans="4:5" s="156" customFormat="1" ht="12.75">
      <c r="D230" s="268"/>
      <c r="E230" s="273"/>
    </row>
    <row r="231" spans="4:5" s="156" customFormat="1" ht="12.75">
      <c r="D231" s="268"/>
      <c r="E231" s="273"/>
    </row>
    <row r="232" spans="4:5" s="156" customFormat="1" ht="12.75">
      <c r="D232" s="268"/>
      <c r="E232" s="273"/>
    </row>
    <row r="233" spans="4:5" s="156" customFormat="1" ht="12.75">
      <c r="D233" s="268"/>
      <c r="E233" s="273"/>
    </row>
    <row r="234" spans="4:5" s="156" customFormat="1" ht="12.75">
      <c r="D234" s="268"/>
      <c r="E234" s="273"/>
    </row>
    <row r="235" spans="4:5" s="156" customFormat="1" ht="12.75">
      <c r="D235" s="268"/>
      <c r="E235" s="273"/>
    </row>
    <row r="236" spans="4:5" s="156" customFormat="1" ht="12.75">
      <c r="D236" s="268"/>
      <c r="E236" s="273"/>
    </row>
    <row r="237" spans="4:5" s="156" customFormat="1" ht="12.75">
      <c r="D237" s="268"/>
      <c r="E237" s="273"/>
    </row>
    <row r="238" spans="4:5" s="156" customFormat="1" ht="12.75">
      <c r="D238" s="268"/>
      <c r="E238" s="273"/>
    </row>
    <row r="239" spans="4:5" s="156" customFormat="1" ht="12.75">
      <c r="D239" s="268"/>
      <c r="E239" s="273"/>
    </row>
    <row r="240" spans="4:5" s="156" customFormat="1" ht="12.75">
      <c r="D240" s="268"/>
      <c r="E240" s="273"/>
    </row>
    <row r="241" spans="4:5" s="156" customFormat="1" ht="12.75">
      <c r="D241" s="268"/>
      <c r="E241" s="273"/>
    </row>
    <row r="242" spans="4:5" s="156" customFormat="1" ht="12.75">
      <c r="D242" s="268"/>
      <c r="E242" s="273"/>
    </row>
    <row r="243" spans="4:5" s="156" customFormat="1" ht="12.75">
      <c r="D243" s="268"/>
      <c r="E243" s="273"/>
    </row>
    <row r="244" spans="4:5" s="156" customFormat="1" ht="12.75">
      <c r="D244" s="268"/>
      <c r="E244" s="273"/>
    </row>
    <row r="245" spans="4:5" s="156" customFormat="1" ht="12.75">
      <c r="D245" s="268"/>
      <c r="E245" s="273"/>
    </row>
    <row r="246" spans="4:5" s="156" customFormat="1" ht="12.75">
      <c r="D246" s="268"/>
      <c r="E246" s="273"/>
    </row>
    <row r="247" spans="4:5" s="156" customFormat="1" ht="12.75">
      <c r="D247" s="268"/>
      <c r="E247" s="273"/>
    </row>
    <row r="248" spans="4:5" s="156" customFormat="1" ht="12.75">
      <c r="D248" s="268"/>
      <c r="E248" s="273"/>
    </row>
    <row r="249" spans="4:5" s="156" customFormat="1" ht="12.75">
      <c r="D249" s="268"/>
      <c r="E249" s="273"/>
    </row>
    <row r="250" spans="4:5" s="156" customFormat="1" ht="12.75">
      <c r="D250" s="268"/>
      <c r="E250" s="273"/>
    </row>
    <row r="251" s="156" customFormat="1" ht="12.75"/>
    <row r="252" s="156" customFormat="1" ht="12.75"/>
    <row r="253" s="156" customFormat="1" ht="12.75"/>
    <row r="254" s="156" customFormat="1" ht="12.75"/>
    <row r="255" s="156" customFormat="1" ht="12.75"/>
    <row r="256" s="156" customFormat="1" ht="12.75"/>
    <row r="257" s="156" customFormat="1" ht="12.75"/>
    <row r="258" s="156" customFormat="1" ht="12.75"/>
    <row r="259" s="156" customFormat="1" ht="12.75"/>
    <row r="260" s="156" customFormat="1" ht="12.75"/>
    <row r="261" s="156" customFormat="1" ht="12.75"/>
    <row r="262" s="156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31">
      <selection activeCell="A1" sqref="A1"/>
    </sheetView>
  </sheetViews>
  <sheetFormatPr defaultColWidth="0" defaultRowHeight="12.75" zeroHeight="1"/>
  <cols>
    <col min="1" max="1" width="60.7109375" style="191" customWidth="1"/>
    <col min="2" max="2" width="5.140625" style="191" bestFit="1" customWidth="1"/>
    <col min="3" max="8" width="15.7109375" style="191" customWidth="1"/>
    <col min="9" max="9" width="11.8515625" style="191" hidden="1" customWidth="1"/>
    <col min="10" max="11" width="11.7109375" style="191" hidden="1" customWidth="1"/>
    <col min="12" max="13" width="10.7109375" style="191" hidden="1" customWidth="1"/>
    <col min="14" max="16384" width="0" style="191" hidden="1" customWidth="1"/>
  </cols>
  <sheetData>
    <row r="1" spans="1:11" ht="12.75">
      <c r="A1" s="155" t="str">
        <f>REGINFO!A1</f>
        <v>PILs TAXES - EB-2008-381</v>
      </c>
      <c r="B1" s="158" t="s">
        <v>42</v>
      </c>
      <c r="C1" s="158" t="s">
        <v>23</v>
      </c>
      <c r="D1" s="157" t="s">
        <v>0</v>
      </c>
      <c r="E1" s="158" t="s">
        <v>1</v>
      </c>
      <c r="F1" s="157"/>
      <c r="G1" s="157"/>
      <c r="H1" s="428"/>
      <c r="I1" s="428"/>
      <c r="J1" s="192"/>
      <c r="K1" s="192"/>
    </row>
    <row r="2" spans="1:11" s="156" customFormat="1" ht="12.75">
      <c r="A2" s="1" t="s">
        <v>47</v>
      </c>
      <c r="B2" s="157"/>
      <c r="C2" s="158" t="s">
        <v>46</v>
      </c>
      <c r="D2" s="157" t="s">
        <v>38</v>
      </c>
      <c r="E2" s="158" t="s">
        <v>3</v>
      </c>
      <c r="F2" s="157"/>
      <c r="G2" s="157"/>
      <c r="H2" s="158"/>
      <c r="I2" s="158"/>
      <c r="J2" s="157"/>
      <c r="K2" s="157"/>
    </row>
    <row r="3" spans="1:11" s="156" customFormat="1" ht="12.75">
      <c r="A3" s="274" t="s">
        <v>39</v>
      </c>
      <c r="B3" s="157"/>
      <c r="C3" s="158" t="s">
        <v>3</v>
      </c>
      <c r="D3" s="157"/>
      <c r="E3" s="158" t="s">
        <v>2</v>
      </c>
      <c r="F3" s="157"/>
      <c r="G3" s="157"/>
      <c r="H3" s="158"/>
      <c r="I3" s="158"/>
      <c r="J3" s="157"/>
      <c r="K3" s="157"/>
    </row>
    <row r="4" spans="1:11" s="156" customFormat="1" ht="12.75">
      <c r="A4" s="1">
        <f>REGINFO!E2</f>
        <v>0</v>
      </c>
      <c r="B4" s="157"/>
      <c r="C4" s="158" t="s">
        <v>2</v>
      </c>
      <c r="D4" s="157"/>
      <c r="E4" s="157"/>
      <c r="F4" s="157"/>
      <c r="G4" s="157"/>
      <c r="H4" s="157"/>
      <c r="I4" s="157"/>
      <c r="J4" s="157"/>
      <c r="K4" s="157"/>
    </row>
    <row r="5" spans="1:11" s="156" customFormat="1" ht="13.5" thickBot="1">
      <c r="A5" s="275"/>
      <c r="B5" s="157"/>
      <c r="C5" s="157"/>
      <c r="D5" s="157"/>
      <c r="E5" s="158" t="str">
        <f>REGINFO!E1</f>
        <v>Version 2009.1</v>
      </c>
      <c r="F5" s="169"/>
      <c r="G5" s="157"/>
      <c r="H5" s="157"/>
      <c r="I5" s="157"/>
      <c r="J5" s="157"/>
      <c r="K5" s="157"/>
    </row>
    <row r="6" spans="1:9" s="156" customFormat="1" ht="13.5" thickTop="1">
      <c r="A6" s="188" t="s">
        <v>177</v>
      </c>
      <c r="B6" s="166"/>
      <c r="C6" s="276"/>
      <c r="D6" s="276"/>
      <c r="E6" s="276"/>
      <c r="F6" s="169"/>
      <c r="G6" s="167"/>
      <c r="H6" s="167"/>
      <c r="I6" s="167"/>
    </row>
    <row r="7" spans="1:9" s="156" customFormat="1" ht="12.75">
      <c r="A7" s="1" t="str">
        <f>REGINFO!A3</f>
        <v>Utility Name: PowerStream Inc. - Richmond Hill</v>
      </c>
      <c r="B7" s="169"/>
      <c r="C7" s="2"/>
      <c r="D7" s="2"/>
      <c r="E7" s="2"/>
      <c r="F7" s="169"/>
      <c r="G7" s="167"/>
      <c r="H7" s="167"/>
      <c r="I7" s="167"/>
    </row>
    <row r="8" spans="1:9" s="156" customFormat="1" ht="12.75">
      <c r="A8" s="1" t="str">
        <f>REGINFO!A4</f>
        <v>Reporting period:  2004</v>
      </c>
      <c r="B8" s="169"/>
      <c r="C8" s="2"/>
      <c r="D8" s="2"/>
      <c r="E8" s="2"/>
      <c r="F8" s="169"/>
      <c r="G8" s="167"/>
      <c r="H8" s="167"/>
      <c r="I8" s="167"/>
    </row>
    <row r="9" spans="1:9" s="156" customFormat="1" ht="12.75">
      <c r="A9" s="1" t="s">
        <v>214</v>
      </c>
      <c r="B9" s="169"/>
      <c r="C9" s="2"/>
      <c r="D9" s="2"/>
      <c r="E9" s="2"/>
      <c r="F9" s="169"/>
      <c r="G9" s="167"/>
      <c r="H9" s="167"/>
      <c r="I9" s="167"/>
    </row>
    <row r="10" spans="1:9" s="156" customFormat="1" ht="12.75">
      <c r="A10" s="1" t="s">
        <v>215</v>
      </c>
      <c r="B10" s="169"/>
      <c r="C10" s="2"/>
      <c r="D10" s="2"/>
      <c r="E10" s="2"/>
      <c r="F10" s="169"/>
      <c r="G10" s="167"/>
      <c r="H10" s="167"/>
      <c r="I10" s="167"/>
    </row>
    <row r="11" spans="1:9" s="156" customFormat="1" ht="13.5" thickBot="1">
      <c r="A11" s="1" t="s">
        <v>121</v>
      </c>
      <c r="B11" s="169"/>
      <c r="C11" s="277">
        <f>REGINFO!B6</f>
        <v>152</v>
      </c>
      <c r="D11" s="170" t="s">
        <v>126</v>
      </c>
      <c r="E11" s="2"/>
      <c r="F11" s="169"/>
      <c r="G11" s="167"/>
      <c r="H11" s="167"/>
      <c r="I11" s="167"/>
    </row>
    <row r="12" spans="1:9" s="156" customFormat="1" ht="12.75">
      <c r="A12" s="1"/>
      <c r="B12" s="169"/>
      <c r="C12" s="169"/>
      <c r="D12" s="170"/>
      <c r="E12" s="2"/>
      <c r="F12" s="169"/>
      <c r="G12" s="167"/>
      <c r="H12" s="167"/>
      <c r="I12" s="167"/>
    </row>
    <row r="13" spans="1:9" s="156" customFormat="1" ht="13.5" thickBot="1">
      <c r="A13" s="179" t="s">
        <v>216</v>
      </c>
      <c r="C13" s="435">
        <f>Ratebase*REGINFO!D33*0.0025</f>
        <v>117398.57625</v>
      </c>
      <c r="D13" s="278" t="s">
        <v>185</v>
      </c>
      <c r="E13" s="2"/>
      <c r="F13" s="169"/>
      <c r="G13" s="167"/>
      <c r="H13" s="167"/>
      <c r="I13" s="167"/>
    </row>
    <row r="14" spans="1:9" s="156" customFormat="1" ht="12.75">
      <c r="A14" s="1" t="s">
        <v>119</v>
      </c>
      <c r="B14" s="169" t="s">
        <v>63</v>
      </c>
      <c r="C14" s="157" t="s">
        <v>479</v>
      </c>
      <c r="D14" s="2"/>
      <c r="E14" s="2"/>
      <c r="F14" s="169"/>
      <c r="G14" s="167"/>
      <c r="H14" s="167"/>
      <c r="I14" s="167"/>
    </row>
    <row r="15" spans="1:9" s="156" customFormat="1" ht="12.75">
      <c r="A15" s="1" t="s">
        <v>120</v>
      </c>
      <c r="B15" s="169" t="s">
        <v>63</v>
      </c>
      <c r="C15" s="157" t="s">
        <v>480</v>
      </c>
      <c r="D15" s="2"/>
      <c r="E15" s="2"/>
      <c r="F15" s="169"/>
      <c r="G15" s="167"/>
      <c r="H15" s="167"/>
      <c r="I15" s="167"/>
    </row>
    <row r="16" spans="1:9" s="156" customFormat="1" ht="12.75">
      <c r="A16" s="279" t="s">
        <v>227</v>
      </c>
      <c r="B16" s="169" t="s">
        <v>63</v>
      </c>
      <c r="C16" s="157" t="s">
        <v>480</v>
      </c>
      <c r="D16" s="2"/>
      <c r="E16" s="2"/>
      <c r="F16" s="169"/>
      <c r="G16" s="167"/>
      <c r="H16" s="167"/>
      <c r="I16" s="167"/>
    </row>
    <row r="17" spans="1:6" s="156" customFormat="1" ht="12.75">
      <c r="A17" s="1" t="s">
        <v>278</v>
      </c>
      <c r="B17" s="169" t="s">
        <v>63</v>
      </c>
      <c r="C17" s="157" t="s">
        <v>480</v>
      </c>
      <c r="E17" s="280"/>
      <c r="F17" s="157"/>
    </row>
    <row r="18" spans="1:6" s="156" customFormat="1" ht="12.75">
      <c r="A18" s="281" t="s">
        <v>251</v>
      </c>
      <c r="B18" s="1"/>
      <c r="C18" s="158"/>
      <c r="E18" s="280"/>
      <c r="F18" s="157"/>
    </row>
    <row r="19" spans="5:6" s="156" customFormat="1" ht="12.75">
      <c r="E19" s="280"/>
      <c r="F19" s="157"/>
    </row>
    <row r="20" spans="1:6" s="156" customFormat="1" ht="12.75">
      <c r="A20" s="167" t="s">
        <v>148</v>
      </c>
      <c r="B20" s="169"/>
      <c r="C20" s="2"/>
      <c r="D20" s="2"/>
      <c r="E20" s="280"/>
      <c r="F20" s="157"/>
    </row>
    <row r="21" spans="1:6" s="156" customFormat="1" ht="12.75">
      <c r="A21" s="188"/>
      <c r="B21" s="169"/>
      <c r="C21" s="2"/>
      <c r="D21" s="2"/>
      <c r="E21" s="280"/>
      <c r="F21" s="157"/>
    </row>
    <row r="22" spans="1:9" s="156" customFormat="1" ht="12.75">
      <c r="A22" s="282" t="s">
        <v>149</v>
      </c>
      <c r="B22" s="283"/>
      <c r="C22" s="284"/>
      <c r="D22" s="285"/>
      <c r="E22" s="285"/>
      <c r="F22" s="244"/>
      <c r="G22" s="244"/>
      <c r="H22" s="225"/>
      <c r="I22" s="225"/>
    </row>
    <row r="23" spans="1:9" s="156" customFormat="1" ht="12.75">
      <c r="A23" s="286" t="s">
        <v>319</v>
      </c>
      <c r="B23" s="287"/>
      <c r="C23" s="288"/>
      <c r="D23" s="289"/>
      <c r="E23" s="285"/>
      <c r="F23" s="244"/>
      <c r="G23" s="244"/>
      <c r="H23" s="225"/>
      <c r="I23" s="225"/>
    </row>
    <row r="24" spans="1:9" s="156" customFormat="1" ht="12.75">
      <c r="A24" s="286" t="s">
        <v>252</v>
      </c>
      <c r="B24" s="287"/>
      <c r="C24" s="288"/>
      <c r="D24" s="289"/>
      <c r="E24" s="285"/>
      <c r="F24" s="244"/>
      <c r="G24" s="244"/>
      <c r="H24" s="225"/>
      <c r="I24" s="225"/>
    </row>
    <row r="25" spans="1:9" s="156" customFormat="1" ht="12.75">
      <c r="A25" s="286" t="s">
        <v>222</v>
      </c>
      <c r="B25" s="287"/>
      <c r="C25" s="288"/>
      <c r="D25" s="289"/>
      <c r="E25" s="285"/>
      <c r="F25" s="244"/>
      <c r="G25" s="244"/>
      <c r="H25" s="225"/>
      <c r="I25" s="225"/>
    </row>
    <row r="26" spans="1:9" s="156" customFormat="1" ht="12.75">
      <c r="A26" s="290"/>
      <c r="B26" s="283"/>
      <c r="C26" s="284"/>
      <c r="D26" s="285"/>
      <c r="E26" s="285"/>
      <c r="F26" s="244"/>
      <c r="G26" s="244"/>
      <c r="H26" s="225"/>
      <c r="I26" s="225"/>
    </row>
    <row r="27" spans="1:9" s="156" customFormat="1" ht="12.75">
      <c r="A27" s="286" t="s">
        <v>317</v>
      </c>
      <c r="B27" s="287"/>
      <c r="C27" s="288"/>
      <c r="D27" s="289"/>
      <c r="E27" s="285"/>
      <c r="F27" s="244"/>
      <c r="G27" s="244"/>
      <c r="H27" s="225"/>
      <c r="I27" s="225"/>
    </row>
    <row r="28" spans="1:9" s="156" customFormat="1" ht="12.75">
      <c r="A28" s="286" t="s">
        <v>318</v>
      </c>
      <c r="B28" s="287"/>
      <c r="C28" s="288"/>
      <c r="D28" s="289"/>
      <c r="E28" s="285"/>
      <c r="F28" s="244"/>
      <c r="G28" s="244"/>
      <c r="H28" s="225"/>
      <c r="I28" s="225"/>
    </row>
    <row r="29" spans="1:9" s="156" customFormat="1" ht="12.75">
      <c r="A29" s="291"/>
      <c r="B29" s="283"/>
      <c r="C29" s="284"/>
      <c r="D29" s="285"/>
      <c r="E29" s="285"/>
      <c r="F29" s="244"/>
      <c r="G29" s="244"/>
      <c r="H29" s="225"/>
      <c r="I29" s="225"/>
    </row>
    <row r="30" spans="1:9" s="156" customFormat="1" ht="12.75">
      <c r="A30" s="1" t="s">
        <v>178</v>
      </c>
      <c r="B30" s="283"/>
      <c r="C30" s="284"/>
      <c r="D30" s="285"/>
      <c r="E30" s="285"/>
      <c r="F30" s="244"/>
      <c r="G30" s="244"/>
      <c r="H30" s="225"/>
      <c r="I30" s="225"/>
    </row>
    <row r="31" spans="1:9" s="156" customFormat="1" ht="12.75">
      <c r="A31" s="292" t="s">
        <v>267</v>
      </c>
      <c r="B31" s="283" t="s">
        <v>186</v>
      </c>
      <c r="C31" s="314"/>
      <c r="D31" s="314"/>
      <c r="E31" s="86">
        <f>C31-D31</f>
        <v>0</v>
      </c>
      <c r="F31" s="244"/>
      <c r="G31" s="244"/>
      <c r="H31" s="225"/>
      <c r="I31" s="225"/>
    </row>
    <row r="32" spans="1:9" s="156" customFormat="1" ht="12.75">
      <c r="A32" s="274" t="s">
        <v>220</v>
      </c>
      <c r="B32" s="283" t="s">
        <v>186</v>
      </c>
      <c r="C32" s="314"/>
      <c r="D32" s="314"/>
      <c r="E32" s="86">
        <f>C32-D32</f>
        <v>0</v>
      </c>
      <c r="F32" s="244"/>
      <c r="G32" s="244"/>
      <c r="H32" s="225"/>
      <c r="I32" s="225"/>
    </row>
    <row r="33" spans="1:9" s="156" customFormat="1" ht="12.75">
      <c r="A33" s="274" t="s">
        <v>210</v>
      </c>
      <c r="B33" s="283" t="s">
        <v>186</v>
      </c>
      <c r="C33" s="314"/>
      <c r="D33" s="314"/>
      <c r="E33" s="86">
        <f>C33-D33</f>
        <v>0</v>
      </c>
      <c r="F33" s="244"/>
      <c r="G33" s="244"/>
      <c r="H33" s="225"/>
      <c r="I33" s="225"/>
    </row>
    <row r="34" spans="1:9" s="156" customFormat="1" ht="12.75">
      <c r="A34" s="274" t="s">
        <v>225</v>
      </c>
      <c r="B34" s="283" t="s">
        <v>186</v>
      </c>
      <c r="C34" s="314"/>
      <c r="D34" s="314"/>
      <c r="E34" s="86">
        <f>C34-D34</f>
        <v>0</v>
      </c>
      <c r="F34" s="244"/>
      <c r="G34" s="244"/>
      <c r="H34" s="225"/>
      <c r="I34" s="225"/>
    </row>
    <row r="35" spans="1:9" s="156" customFormat="1" ht="13.5" thickBot="1">
      <c r="A35" s="422"/>
      <c r="B35" s="283" t="s">
        <v>186</v>
      </c>
      <c r="C35" s="314"/>
      <c r="D35" s="314"/>
      <c r="E35" s="86">
        <f>C35-D35</f>
        <v>0</v>
      </c>
      <c r="F35" s="244"/>
      <c r="G35" s="294"/>
      <c r="H35" s="225"/>
      <c r="I35" s="225"/>
    </row>
    <row r="36" spans="1:9" s="156" customFormat="1" ht="12.75">
      <c r="A36" s="295" t="s">
        <v>180</v>
      </c>
      <c r="B36" s="283"/>
      <c r="C36" s="10"/>
      <c r="D36" s="10"/>
      <c r="E36" s="60"/>
      <c r="F36" s="244"/>
      <c r="G36" s="244"/>
      <c r="H36" s="225"/>
      <c r="I36" s="225"/>
    </row>
    <row r="37" spans="1:9" s="156" customFormat="1" ht="12.75">
      <c r="A37" s="172"/>
      <c r="B37" s="283"/>
      <c r="C37" s="10"/>
      <c r="D37" s="10"/>
      <c r="E37" s="10"/>
      <c r="F37" s="244"/>
      <c r="G37" s="244"/>
      <c r="H37" s="225"/>
      <c r="I37" s="225"/>
    </row>
    <row r="38" spans="1:9" s="156" customFormat="1" ht="12.75">
      <c r="A38" s="1" t="s">
        <v>279</v>
      </c>
      <c r="B38" s="283"/>
      <c r="C38" s="10"/>
      <c r="D38" s="10"/>
      <c r="E38" s="10"/>
      <c r="F38" s="244"/>
      <c r="G38" s="244"/>
      <c r="H38" s="225"/>
      <c r="I38" s="225"/>
    </row>
    <row r="39" spans="1:9" s="156" customFormat="1" ht="12.75">
      <c r="A39" s="296" t="s">
        <v>208</v>
      </c>
      <c r="B39" s="283" t="s">
        <v>187</v>
      </c>
      <c r="C39" s="314"/>
      <c r="D39" s="314"/>
      <c r="E39" s="86">
        <f>C39-D39</f>
        <v>0</v>
      </c>
      <c r="F39" s="244"/>
      <c r="G39" s="244"/>
      <c r="H39" s="225"/>
      <c r="I39" s="225"/>
    </row>
    <row r="40" spans="1:9" s="156" customFormat="1" ht="12.75">
      <c r="A40" s="296" t="s">
        <v>209</v>
      </c>
      <c r="B40" s="283" t="s">
        <v>187</v>
      </c>
      <c r="C40" s="314">
        <f>-5327196-C51</f>
        <v>-6655573</v>
      </c>
      <c r="D40" s="314"/>
      <c r="E40" s="86">
        <f aca="true" t="shared" si="0" ref="E40:E48">C40-D40</f>
        <v>-6655573</v>
      </c>
      <c r="F40" s="244"/>
      <c r="G40" s="244"/>
      <c r="H40" s="225"/>
      <c r="I40" s="225"/>
    </row>
    <row r="41" spans="1:9" s="156" customFormat="1" ht="12.75">
      <c r="A41" s="274" t="s">
        <v>268</v>
      </c>
      <c r="B41" s="283" t="s">
        <v>187</v>
      </c>
      <c r="C41" s="314"/>
      <c r="D41" s="314"/>
      <c r="E41" s="86">
        <f t="shared" si="0"/>
        <v>0</v>
      </c>
      <c r="F41" s="244"/>
      <c r="G41" s="244"/>
      <c r="H41" s="225"/>
      <c r="I41" s="225"/>
    </row>
    <row r="42" spans="1:9" s="156" customFormat="1" ht="12.75">
      <c r="A42" s="274" t="s">
        <v>269</v>
      </c>
      <c r="B42" s="283" t="s">
        <v>187</v>
      </c>
      <c r="C42" s="314"/>
      <c r="D42" s="314"/>
      <c r="E42" s="86">
        <f t="shared" si="0"/>
        <v>0</v>
      </c>
      <c r="F42" s="244"/>
      <c r="G42" s="244"/>
      <c r="H42" s="225"/>
      <c r="I42" s="225"/>
    </row>
    <row r="43" spans="1:9" s="156" customFormat="1" ht="12.75">
      <c r="A43" s="274" t="s">
        <v>270</v>
      </c>
      <c r="B43" s="283" t="s">
        <v>187</v>
      </c>
      <c r="C43" s="314">
        <f>2468969</f>
        <v>2468969</v>
      </c>
      <c r="D43" s="314"/>
      <c r="E43" s="86">
        <f t="shared" si="0"/>
        <v>2468969</v>
      </c>
      <c r="F43" s="244"/>
      <c r="G43" s="244"/>
      <c r="H43" s="225"/>
      <c r="I43" s="225"/>
    </row>
    <row r="44" spans="1:9" s="156" customFormat="1" ht="12.75">
      <c r="A44" s="274" t="s">
        <v>271</v>
      </c>
      <c r="B44" s="283" t="s">
        <v>187</v>
      </c>
      <c r="C44" s="314"/>
      <c r="D44" s="314"/>
      <c r="E44" s="86">
        <f t="shared" si="0"/>
        <v>0</v>
      </c>
      <c r="F44" s="244"/>
      <c r="G44" s="244"/>
      <c r="H44" s="225"/>
      <c r="I44" s="225"/>
    </row>
    <row r="45" spans="1:11" s="156" customFormat="1" ht="12.75">
      <c r="A45" s="423"/>
      <c r="B45" s="283" t="s">
        <v>187</v>
      </c>
      <c r="C45" s="314"/>
      <c r="D45" s="314"/>
      <c r="E45" s="86">
        <f t="shared" si="0"/>
        <v>0</v>
      </c>
      <c r="F45" s="244"/>
      <c r="G45" s="244"/>
      <c r="H45" s="9"/>
      <c r="I45" s="9"/>
      <c r="J45" s="187"/>
      <c r="K45" s="187"/>
    </row>
    <row r="46" spans="1:11" s="156" customFormat="1" ht="12.75">
      <c r="A46" s="423"/>
      <c r="B46" s="283" t="s">
        <v>187</v>
      </c>
      <c r="C46" s="314"/>
      <c r="D46" s="314"/>
      <c r="E46" s="86">
        <f t="shared" si="0"/>
        <v>0</v>
      </c>
      <c r="F46" s="244"/>
      <c r="G46" s="297"/>
      <c r="H46" s="9"/>
      <c r="I46" s="9"/>
      <c r="J46" s="187"/>
      <c r="K46" s="187"/>
    </row>
    <row r="47" spans="1:11" s="156" customFormat="1" ht="12.75">
      <c r="A47" s="424"/>
      <c r="B47" s="283" t="s">
        <v>187</v>
      </c>
      <c r="C47" s="314"/>
      <c r="D47" s="314"/>
      <c r="E47" s="86">
        <f t="shared" si="0"/>
        <v>0</v>
      </c>
      <c r="F47" s="244"/>
      <c r="G47" s="244"/>
      <c r="H47" s="9"/>
      <c r="I47" s="9"/>
      <c r="J47" s="187"/>
      <c r="K47" s="187"/>
    </row>
    <row r="48" spans="1:11" s="156" customFormat="1" ht="13.5" thickBot="1">
      <c r="A48" s="424"/>
      <c r="B48" s="283" t="s">
        <v>187</v>
      </c>
      <c r="C48" s="314"/>
      <c r="D48" s="314"/>
      <c r="E48" s="86">
        <f t="shared" si="0"/>
        <v>0</v>
      </c>
      <c r="F48" s="244"/>
      <c r="G48" s="244"/>
      <c r="H48" s="9"/>
      <c r="I48" s="9"/>
      <c r="J48" s="187"/>
      <c r="K48" s="187"/>
    </row>
    <row r="49" spans="1:9" s="156" customFormat="1" ht="12.75">
      <c r="A49" s="295"/>
      <c r="B49" s="283"/>
      <c r="C49" s="10"/>
      <c r="D49" s="3"/>
      <c r="E49" s="3"/>
      <c r="F49" s="244"/>
      <c r="G49" s="244"/>
      <c r="H49" s="225"/>
      <c r="I49" s="225"/>
    </row>
    <row r="50" spans="1:9" s="156" customFormat="1" ht="12.75">
      <c r="A50" s="1" t="s">
        <v>81</v>
      </c>
      <c r="B50" s="283" t="s">
        <v>188</v>
      </c>
      <c r="C50" s="83">
        <f>SUM(C31:C36)-SUM(C39:C49)</f>
        <v>4186604</v>
      </c>
      <c r="D50" s="83">
        <f>SUM(D31:D36)-SUM(D39:D49)</f>
        <v>0</v>
      </c>
      <c r="E50" s="83">
        <f>SUM(E31:E35)-SUM(E39:E48)</f>
        <v>4186604</v>
      </c>
      <c r="F50" s="244"/>
      <c r="G50" s="244"/>
      <c r="H50" s="225"/>
      <c r="I50" s="225"/>
    </row>
    <row r="51" spans="1:9" s="156" customFormat="1" ht="12.75">
      <c r="A51" s="274" t="s">
        <v>90</v>
      </c>
      <c r="B51" s="283" t="s">
        <v>187</v>
      </c>
      <c r="C51" s="314">
        <v>1328377</v>
      </c>
      <c r="D51" s="314"/>
      <c r="E51" s="84">
        <f>+C51-D51</f>
        <v>1328377</v>
      </c>
      <c r="F51" s="244"/>
      <c r="G51" s="244"/>
      <c r="H51" s="225"/>
      <c r="I51" s="225"/>
    </row>
    <row r="52" spans="1:6" s="156" customFormat="1" ht="12.75">
      <c r="A52" s="156" t="s">
        <v>181</v>
      </c>
      <c r="B52" s="157" t="s">
        <v>187</v>
      </c>
      <c r="C52" s="314">
        <v>1295007</v>
      </c>
      <c r="D52" s="314"/>
      <c r="E52" s="85">
        <f>+C52-D52</f>
        <v>1295007</v>
      </c>
      <c r="F52" s="157"/>
    </row>
    <row r="53" spans="1:6" s="156" customFormat="1" ht="12.75">
      <c r="A53" s="1" t="s">
        <v>130</v>
      </c>
      <c r="B53" s="157" t="s">
        <v>188</v>
      </c>
      <c r="C53" s="83">
        <f>C50-C51-C52</f>
        <v>1563220</v>
      </c>
      <c r="D53" s="83">
        <f>D50-D51-D52</f>
        <v>0</v>
      </c>
      <c r="E53" s="83">
        <f>E50-E51-E52</f>
        <v>1563220</v>
      </c>
      <c r="F53" s="443">
        <v>1563220</v>
      </c>
    </row>
    <row r="54" spans="1:6" s="156" customFormat="1" ht="24">
      <c r="A54" s="298" t="s">
        <v>213</v>
      </c>
      <c r="B54" s="157"/>
      <c r="C54" s="299"/>
      <c r="D54" s="299"/>
      <c r="E54" s="299"/>
      <c r="F54" s="157"/>
    </row>
    <row r="55" spans="1:6" s="156" customFormat="1" ht="12.75">
      <c r="A55" s="300"/>
      <c r="B55" s="157"/>
      <c r="C55" s="299"/>
      <c r="D55" s="299"/>
      <c r="E55" s="299"/>
      <c r="F55" s="157"/>
    </row>
    <row r="56" spans="1:6" s="156" customFormat="1" ht="12.75">
      <c r="A56" s="188" t="s">
        <v>176</v>
      </c>
      <c r="B56" s="157"/>
      <c r="C56" s="299"/>
      <c r="D56" s="299"/>
      <c r="E56" s="299"/>
      <c r="F56" s="157"/>
    </row>
    <row r="57" spans="1:6" s="156" customFormat="1" ht="12.75">
      <c r="A57" s="291" t="s">
        <v>164</v>
      </c>
      <c r="B57" s="157"/>
      <c r="C57" s="299"/>
      <c r="D57" s="299"/>
      <c r="E57" s="299"/>
      <c r="F57" s="157"/>
    </row>
    <row r="58" spans="1:6" s="156" customFormat="1" ht="12.75">
      <c r="A58" s="1" t="s">
        <v>165</v>
      </c>
      <c r="B58" s="157"/>
      <c r="C58" s="301"/>
      <c r="D58" s="301"/>
      <c r="E58" s="301"/>
      <c r="F58" s="157"/>
    </row>
    <row r="59" spans="1:6" s="156" customFormat="1" ht="12.75">
      <c r="A59" s="274" t="s">
        <v>97</v>
      </c>
      <c r="B59" s="157" t="s">
        <v>186</v>
      </c>
      <c r="C59" s="75">
        <f>C52</f>
        <v>1295007</v>
      </c>
      <c r="D59" s="75">
        <f>D52</f>
        <v>0</v>
      </c>
      <c r="E59" s="75">
        <f>+C59-D59</f>
        <v>1295007</v>
      </c>
      <c r="F59" s="157"/>
    </row>
    <row r="60" spans="1:6" s="156" customFormat="1" ht="12.75">
      <c r="A60" s="274" t="s">
        <v>320</v>
      </c>
      <c r="B60" s="157" t="s">
        <v>186</v>
      </c>
      <c r="C60" s="314"/>
      <c r="D60" s="314"/>
      <c r="E60" s="75">
        <f>+C60-D60</f>
        <v>0</v>
      </c>
      <c r="F60" s="157"/>
    </row>
    <row r="61" spans="1:7" s="156" customFormat="1" ht="12.75">
      <c r="A61" s="156" t="s">
        <v>4</v>
      </c>
      <c r="B61" s="157" t="s">
        <v>186</v>
      </c>
      <c r="C61" s="75">
        <f>C43</f>
        <v>2468969</v>
      </c>
      <c r="D61" s="75">
        <f>D43</f>
        <v>0</v>
      </c>
      <c r="E61" s="75">
        <f>+C61-D61</f>
        <v>2468969</v>
      </c>
      <c r="F61" s="157"/>
      <c r="G61" s="302"/>
    </row>
    <row r="62" spans="1:6" s="156" customFormat="1" ht="12.75">
      <c r="A62" s="156" t="s">
        <v>6</v>
      </c>
      <c r="B62" s="157" t="s">
        <v>186</v>
      </c>
      <c r="C62" s="314"/>
      <c r="D62" s="75">
        <v>0</v>
      </c>
      <c r="E62" s="75">
        <f>+C62-D62</f>
        <v>0</v>
      </c>
      <c r="F62" s="157"/>
    </row>
    <row r="63" spans="1:6" s="156" customFormat="1" ht="12.75">
      <c r="A63" s="303" t="s">
        <v>272</v>
      </c>
      <c r="B63" s="157" t="s">
        <v>186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57"/>
    </row>
    <row r="64" spans="1:6" s="156" customFormat="1" ht="12.75">
      <c r="A64" s="274" t="s">
        <v>51</v>
      </c>
      <c r="B64" s="157" t="s">
        <v>186</v>
      </c>
      <c r="C64" s="105">
        <f>'Tax Reserves'!C64</f>
        <v>618453</v>
      </c>
      <c r="D64" s="106">
        <f>'Tax Reserves'!D64</f>
        <v>0</v>
      </c>
      <c r="E64" s="75">
        <f>+C64-D64</f>
        <v>618453</v>
      </c>
      <c r="F64" s="157"/>
    </row>
    <row r="65" spans="1:6" s="156" customFormat="1" ht="12.75">
      <c r="A65" s="156" t="s">
        <v>437</v>
      </c>
      <c r="B65" s="157" t="s">
        <v>186</v>
      </c>
      <c r="C65" s="314"/>
      <c r="D65" s="314"/>
      <c r="E65" s="75">
        <f>+C65-D65</f>
        <v>0</v>
      </c>
      <c r="F65" s="157"/>
    </row>
    <row r="66" spans="1:6" s="156" customFormat="1" ht="15">
      <c r="A66" s="134" t="s">
        <v>389</v>
      </c>
      <c r="B66" s="157"/>
      <c r="C66" s="75">
        <f>'TAXREC 3 No True-up'!C47</f>
        <v>1578674</v>
      </c>
      <c r="D66" s="75">
        <f>'TAXREC 3 No True-up'!D47</f>
        <v>0</v>
      </c>
      <c r="E66" s="75">
        <f>+C66-D66</f>
        <v>1578674</v>
      </c>
      <c r="F66" s="157"/>
    </row>
    <row r="67" spans="1:6" s="156" customFormat="1" ht="12.75">
      <c r="A67" s="156" t="s">
        <v>159</v>
      </c>
      <c r="B67" s="157" t="s">
        <v>186</v>
      </c>
      <c r="C67" s="64">
        <f>'TAXREC 2'!C79</f>
        <v>1756907</v>
      </c>
      <c r="D67" s="64">
        <f>'TAXREC 2'!D79</f>
        <v>0</v>
      </c>
      <c r="E67" s="75">
        <f>+C67-D67</f>
        <v>1756907</v>
      </c>
      <c r="F67" s="157"/>
    </row>
    <row r="68" spans="1:11" s="156" customFormat="1" ht="12.75">
      <c r="A68" s="156" t="s">
        <v>160</v>
      </c>
      <c r="B68" s="157" t="s">
        <v>186</v>
      </c>
      <c r="C68" s="64">
        <f>'TAXREC 2'!C80</f>
        <v>42925</v>
      </c>
      <c r="D68" s="64">
        <f>'TAXREC 2'!D80</f>
        <v>0</v>
      </c>
      <c r="E68" s="75">
        <f>+C68-D68</f>
        <v>42925</v>
      </c>
      <c r="F68" s="157"/>
      <c r="G68" s="6"/>
      <c r="H68" s="6"/>
      <c r="I68" s="283"/>
      <c r="J68" s="283"/>
      <c r="K68" s="304"/>
    </row>
    <row r="69" spans="3:11" s="156" customFormat="1" ht="12.75">
      <c r="C69" s="185"/>
      <c r="D69" s="185"/>
      <c r="E69" s="93"/>
      <c r="F69" s="157"/>
      <c r="G69" s="6"/>
      <c r="H69" s="6"/>
      <c r="I69" s="283"/>
      <c r="J69" s="283"/>
      <c r="K69" s="304"/>
    </row>
    <row r="70" spans="1:11" s="156" customFormat="1" ht="12.75">
      <c r="A70" s="293" t="s">
        <v>105</v>
      </c>
      <c r="B70" s="157"/>
      <c r="C70" s="75">
        <f>SUM(C59:C68)</f>
        <v>7760935</v>
      </c>
      <c r="D70" s="75">
        <f>SUM(D59:D68)</f>
        <v>0</v>
      </c>
      <c r="E70" s="75">
        <f>SUM(E59:E68)</f>
        <v>7760935</v>
      </c>
      <c r="F70" s="157"/>
      <c r="G70" s="6"/>
      <c r="H70" s="6"/>
      <c r="I70" s="283"/>
      <c r="J70" s="6"/>
      <c r="K70" s="304"/>
    </row>
    <row r="71" spans="1:11" s="156" customFormat="1" ht="12.75">
      <c r="A71" s="293"/>
      <c r="B71" s="157"/>
      <c r="C71" s="10"/>
      <c r="D71" s="10"/>
      <c r="E71" s="10"/>
      <c r="F71" s="157"/>
      <c r="G71" s="6"/>
      <c r="H71" s="6"/>
      <c r="I71" s="283"/>
      <c r="J71" s="6"/>
      <c r="K71" s="283"/>
    </row>
    <row r="72" spans="1:11" s="156" customFormat="1" ht="12.75">
      <c r="A72" s="293" t="s">
        <v>206</v>
      </c>
      <c r="B72" s="157"/>
      <c r="C72" s="180"/>
      <c r="D72" s="180"/>
      <c r="E72" s="180"/>
      <c r="F72" s="157"/>
      <c r="G72" s="6"/>
      <c r="H72" s="6"/>
      <c r="I72" s="283"/>
      <c r="J72" s="283"/>
      <c r="K72" s="283"/>
    </row>
    <row r="73" spans="1:11" s="156" customFormat="1" ht="12.75">
      <c r="A73" s="156" t="s">
        <v>5</v>
      </c>
      <c r="B73" s="157" t="s">
        <v>186</v>
      </c>
      <c r="C73" s="314"/>
      <c r="D73" s="314"/>
      <c r="E73" s="75">
        <f aca="true" t="shared" si="1" ref="E73:E79">+C73-D73</f>
        <v>0</v>
      </c>
      <c r="F73" s="157"/>
      <c r="G73" s="5"/>
      <c r="H73" s="6"/>
      <c r="I73" s="7"/>
      <c r="J73" s="7"/>
      <c r="K73" s="7"/>
    </row>
    <row r="74" spans="1:11" s="156" customFormat="1" ht="12.75">
      <c r="A74" s="156" t="s">
        <v>147</v>
      </c>
      <c r="B74" s="157" t="s">
        <v>186</v>
      </c>
      <c r="C74" s="314"/>
      <c r="D74" s="314"/>
      <c r="E74" s="75">
        <f t="shared" si="1"/>
        <v>0</v>
      </c>
      <c r="F74" s="157"/>
      <c r="G74" s="5"/>
      <c r="H74" s="6"/>
      <c r="I74" s="7"/>
      <c r="J74" s="6"/>
      <c r="K74" s="6"/>
    </row>
    <row r="75" spans="1:11" s="156" customFormat="1" ht="12.75">
      <c r="A75" s="156" t="s">
        <v>7</v>
      </c>
      <c r="B75" s="157" t="s">
        <v>186</v>
      </c>
      <c r="C75" s="314"/>
      <c r="D75" s="314"/>
      <c r="E75" s="75">
        <f t="shared" si="1"/>
        <v>0</v>
      </c>
      <c r="F75" s="157"/>
      <c r="G75" s="5"/>
      <c r="H75" s="6"/>
      <c r="I75" s="7"/>
      <c r="J75" s="6"/>
      <c r="K75" s="6"/>
    </row>
    <row r="76" spans="1:11" s="156" customFormat="1" ht="12.75">
      <c r="A76" s="434" t="s">
        <v>680</v>
      </c>
      <c r="B76" s="157" t="s">
        <v>186</v>
      </c>
      <c r="C76" s="314">
        <v>57625</v>
      </c>
      <c r="D76" s="314"/>
      <c r="E76" s="140">
        <f t="shared" si="1"/>
        <v>57625</v>
      </c>
      <c r="F76" s="157"/>
      <c r="G76" s="5"/>
      <c r="H76" s="6"/>
      <c r="I76" s="7"/>
      <c r="J76" s="6"/>
      <c r="K76" s="6"/>
    </row>
    <row r="77" spans="1:11" s="156" customFormat="1" ht="12.75">
      <c r="A77" s="426" t="s">
        <v>681</v>
      </c>
      <c r="B77" s="157" t="s">
        <v>186</v>
      </c>
      <c r="C77" s="314">
        <v>15258</v>
      </c>
      <c r="D77" s="314"/>
      <c r="E77" s="75">
        <f t="shared" si="1"/>
        <v>15258</v>
      </c>
      <c r="F77" s="157"/>
      <c r="G77" s="5"/>
      <c r="H77" s="6"/>
      <c r="I77" s="7"/>
      <c r="J77" s="6"/>
      <c r="K77" s="6"/>
    </row>
    <row r="78" spans="1:11" s="156" customFormat="1" ht="12.75">
      <c r="A78" s="425"/>
      <c r="B78" s="157" t="s">
        <v>186</v>
      </c>
      <c r="C78" s="314"/>
      <c r="D78" s="314"/>
      <c r="E78" s="75">
        <f t="shared" si="1"/>
        <v>0</v>
      </c>
      <c r="F78" s="157"/>
      <c r="G78" s="5"/>
      <c r="H78" s="6"/>
      <c r="I78" s="7"/>
      <c r="J78" s="6"/>
      <c r="K78" s="6"/>
    </row>
    <row r="79" spans="1:11" s="156" customFormat="1" ht="12.75">
      <c r="A79" s="427"/>
      <c r="B79" s="157" t="s">
        <v>186</v>
      </c>
      <c r="C79" s="314"/>
      <c r="D79" s="314"/>
      <c r="E79" s="75">
        <f t="shared" si="1"/>
        <v>0</v>
      </c>
      <c r="F79" s="157"/>
      <c r="G79" s="5"/>
      <c r="H79" s="6"/>
      <c r="I79" s="7"/>
      <c r="J79" s="6"/>
      <c r="K79" s="6"/>
    </row>
    <row r="80" spans="1:11" s="156" customFormat="1" ht="12.75">
      <c r="A80" s="306" t="s">
        <v>49</v>
      </c>
      <c r="B80" s="157" t="s">
        <v>188</v>
      </c>
      <c r="C80" s="64">
        <f>SUM(C73:C79)</f>
        <v>72883</v>
      </c>
      <c r="D80" s="64">
        <f>SUM(D73:D79)</f>
        <v>0</v>
      </c>
      <c r="E80" s="64">
        <f>SUM(E73:E79)</f>
        <v>72883</v>
      </c>
      <c r="F80" s="157"/>
      <c r="G80" s="8"/>
      <c r="H80" s="6"/>
      <c r="I80" s="7"/>
      <c r="J80" s="7"/>
      <c r="K80" s="6"/>
    </row>
    <row r="81" spans="1:11" s="156" customFormat="1" ht="12.75">
      <c r="A81" s="293"/>
      <c r="C81" s="185"/>
      <c r="D81" s="185"/>
      <c r="E81" s="185"/>
      <c r="F81" s="157"/>
      <c r="G81" s="6"/>
      <c r="H81" s="6"/>
      <c r="I81" s="4"/>
      <c r="J81" s="4"/>
      <c r="K81" s="4"/>
    </row>
    <row r="82" spans="1:11" s="156" customFormat="1" ht="12.75">
      <c r="A82" s="274" t="s">
        <v>18</v>
      </c>
      <c r="B82" s="157" t="s">
        <v>188</v>
      </c>
      <c r="C82" s="64">
        <f>C70+C80</f>
        <v>7833818</v>
      </c>
      <c r="D82" s="64">
        <f>D70+D80</f>
        <v>0</v>
      </c>
      <c r="E82" s="64">
        <f>E70+E80</f>
        <v>7833818</v>
      </c>
      <c r="F82" s="157"/>
      <c r="G82" s="4"/>
      <c r="H82" s="6"/>
      <c r="I82" s="6"/>
      <c r="J82" s="6"/>
      <c r="K82" s="6"/>
    </row>
    <row r="83" spans="1:11" s="156" customFormat="1" ht="12.75">
      <c r="A83" s="274"/>
      <c r="B83" s="157"/>
      <c r="C83" s="4"/>
      <c r="D83" s="4"/>
      <c r="E83" s="4"/>
      <c r="F83" s="157"/>
      <c r="G83" s="6"/>
      <c r="H83" s="6"/>
      <c r="I83" s="6"/>
      <c r="J83" s="6"/>
      <c r="K83" s="6"/>
    </row>
    <row r="84" spans="1:11" s="156" customFormat="1" ht="12.75">
      <c r="A84" s="76" t="s">
        <v>174</v>
      </c>
      <c r="B84" s="6"/>
      <c r="C84" s="283"/>
      <c r="D84" s="283"/>
      <c r="E84" s="283"/>
      <c r="F84" s="157"/>
      <c r="G84" s="4"/>
      <c r="H84" s="6"/>
      <c r="I84" s="6"/>
      <c r="J84" s="6"/>
      <c r="K84" s="6"/>
    </row>
    <row r="85" spans="1:11" s="156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57"/>
      <c r="G85" s="6"/>
      <c r="H85" s="6"/>
      <c r="I85" s="6"/>
      <c r="J85" s="6"/>
      <c r="K85" s="6"/>
    </row>
    <row r="86" spans="1:11" s="156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57"/>
      <c r="G86" s="6"/>
      <c r="H86" s="6"/>
      <c r="I86" s="6"/>
      <c r="J86" s="6"/>
      <c r="K86" s="6"/>
    </row>
    <row r="87" spans="1:11" s="156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57"/>
      <c r="G87" s="6"/>
      <c r="H87" s="6"/>
      <c r="I87" s="6"/>
      <c r="J87" s="6"/>
      <c r="K87" s="6"/>
    </row>
    <row r="88" spans="1:11" s="156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57"/>
      <c r="G88" s="6"/>
      <c r="H88" s="6"/>
      <c r="I88" s="6"/>
      <c r="J88" s="6"/>
      <c r="K88" s="6"/>
    </row>
    <row r="89" spans="1:11" s="156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57"/>
      <c r="G89" s="6"/>
      <c r="H89" s="6"/>
      <c r="I89" s="6"/>
      <c r="J89" s="6"/>
      <c r="K89" s="6"/>
    </row>
    <row r="90" spans="1:11" s="156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57"/>
      <c r="G90" s="6"/>
      <c r="H90" s="6"/>
      <c r="I90" s="6"/>
      <c r="J90" s="6"/>
      <c r="K90" s="6"/>
    </row>
    <row r="91" spans="1:11" s="156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57"/>
      <c r="G91" s="6"/>
      <c r="H91" s="6"/>
      <c r="I91" s="6"/>
      <c r="J91" s="6"/>
      <c r="K91" s="6"/>
    </row>
    <row r="92" spans="1:11" s="156" customFormat="1" ht="12.75">
      <c r="A92" s="88" t="s">
        <v>150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57"/>
      <c r="G92" s="6"/>
      <c r="H92" s="6"/>
      <c r="I92" s="6"/>
      <c r="J92" s="6"/>
      <c r="K92" s="6"/>
    </row>
    <row r="93" spans="1:11" s="156" customFormat="1" ht="12.75">
      <c r="A93" s="76" t="s">
        <v>426</v>
      </c>
      <c r="B93" s="76"/>
      <c r="C93" s="64">
        <f>C80-C92</f>
        <v>72883</v>
      </c>
      <c r="D93" s="64">
        <f>D80-D92</f>
        <v>0</v>
      </c>
      <c r="E93" s="64">
        <f>E80-E92</f>
        <v>72883</v>
      </c>
      <c r="F93" s="157"/>
      <c r="G93" s="6"/>
      <c r="H93" s="6"/>
      <c r="I93" s="6"/>
      <c r="J93" s="6"/>
      <c r="K93" s="6"/>
    </row>
    <row r="94" spans="1:11" s="156" customFormat="1" ht="12.75">
      <c r="A94" s="76" t="s">
        <v>196</v>
      </c>
      <c r="B94" s="76"/>
      <c r="C94" s="64">
        <f>C92+C93</f>
        <v>72883</v>
      </c>
      <c r="D94" s="64">
        <f>D92+D93</f>
        <v>0</v>
      </c>
      <c r="E94" s="64">
        <f>E92+E93</f>
        <v>72883</v>
      </c>
      <c r="F94" s="157"/>
      <c r="G94" s="6"/>
      <c r="H94" s="6"/>
      <c r="I94" s="6"/>
      <c r="J94" s="6"/>
      <c r="K94" s="6"/>
    </row>
    <row r="95" spans="1:11" s="156" customFormat="1" ht="12.75">
      <c r="A95" s="1"/>
      <c r="B95" s="157"/>
      <c r="C95" s="180"/>
      <c r="D95" s="180"/>
      <c r="E95" s="180"/>
      <c r="F95" s="157"/>
      <c r="G95" s="6"/>
      <c r="H95" s="6"/>
      <c r="I95" s="6"/>
      <c r="J95" s="6"/>
      <c r="K95" s="6"/>
    </row>
    <row r="96" spans="1:11" s="156" customFormat="1" ht="12.75">
      <c r="A96" s="172" t="s">
        <v>54</v>
      </c>
      <c r="B96" s="157"/>
      <c r="C96" s="180"/>
      <c r="D96" s="180"/>
      <c r="E96" s="180"/>
      <c r="F96" s="157"/>
      <c r="G96" s="6"/>
      <c r="H96" s="6"/>
      <c r="I96" s="6"/>
      <c r="J96" s="6"/>
      <c r="K96" s="6"/>
    </row>
    <row r="97" spans="1:11" s="156" customFormat="1" ht="12.75">
      <c r="A97" s="156" t="s">
        <v>27</v>
      </c>
      <c r="B97" s="157" t="s">
        <v>187</v>
      </c>
      <c r="C97" s="314">
        <v>3056938</v>
      </c>
      <c r="D97" s="314"/>
      <c r="E97" s="75">
        <f>+C97-D97</f>
        <v>3056938</v>
      </c>
      <c r="F97" s="157"/>
      <c r="G97" s="6"/>
      <c r="H97" s="6"/>
      <c r="I97" s="6"/>
      <c r="J97" s="6"/>
      <c r="K97" s="6"/>
    </row>
    <row r="98" spans="1:11" s="156" customFormat="1" ht="12.75">
      <c r="A98" s="156" t="s">
        <v>14</v>
      </c>
      <c r="B98" s="157" t="s">
        <v>187</v>
      </c>
      <c r="C98" s="314">
        <v>71406</v>
      </c>
      <c r="D98" s="314"/>
      <c r="E98" s="75">
        <f>+C98-D98</f>
        <v>71406</v>
      </c>
      <c r="F98" s="157"/>
      <c r="G98" s="6"/>
      <c r="H98" s="6"/>
      <c r="I98" s="6"/>
      <c r="J98" s="6"/>
      <c r="K98" s="6"/>
    </row>
    <row r="99" spans="1:11" s="156" customFormat="1" ht="12.75">
      <c r="A99" s="156" t="s">
        <v>11</v>
      </c>
      <c r="B99" s="157" t="s">
        <v>187</v>
      </c>
      <c r="C99" s="314"/>
      <c r="D99" s="314"/>
      <c r="E99" s="75">
        <f>+C99-D99</f>
        <v>0</v>
      </c>
      <c r="F99" s="157"/>
      <c r="G99" s="6"/>
      <c r="H99" s="6"/>
      <c r="I99" s="6"/>
      <c r="J99" s="6"/>
      <c r="K99" s="6"/>
    </row>
    <row r="100" spans="1:11" s="156" customFormat="1" ht="12.75">
      <c r="A100" s="156" t="s">
        <v>37</v>
      </c>
      <c r="B100" s="157" t="s">
        <v>187</v>
      </c>
      <c r="C100" s="314"/>
      <c r="D100" s="314"/>
      <c r="E100" s="75">
        <f>+C100-D100</f>
        <v>0</v>
      </c>
      <c r="F100" s="157"/>
      <c r="G100" s="6"/>
      <c r="H100" s="6"/>
      <c r="I100" s="6"/>
      <c r="J100" s="6"/>
      <c r="K100" s="6"/>
    </row>
    <row r="101" spans="1:11" s="156" customFormat="1" ht="12.75">
      <c r="A101" s="293" t="s">
        <v>91</v>
      </c>
      <c r="B101" s="157" t="s">
        <v>187</v>
      </c>
      <c r="C101" s="314"/>
      <c r="D101" s="314"/>
      <c r="E101" s="75">
        <f>+C101-D101</f>
        <v>0</v>
      </c>
      <c r="F101" s="157"/>
      <c r="G101" s="6"/>
      <c r="H101" s="6"/>
      <c r="I101" s="6"/>
      <c r="J101" s="6"/>
      <c r="K101" s="6"/>
    </row>
    <row r="102" spans="1:11" s="156" customFormat="1" ht="12.75">
      <c r="A102" s="293" t="s">
        <v>92</v>
      </c>
      <c r="B102" s="157" t="s">
        <v>187</v>
      </c>
      <c r="C102" s="314"/>
      <c r="D102" s="314"/>
      <c r="E102" s="75">
        <f aca="true" t="shared" si="5" ref="E102:E109">+C102-D102</f>
        <v>0</v>
      </c>
      <c r="F102" s="157"/>
      <c r="G102" s="6"/>
      <c r="H102" s="6"/>
      <c r="I102" s="6"/>
      <c r="J102" s="6"/>
      <c r="K102" s="6"/>
    </row>
    <row r="103" spans="1:11" s="156" customFormat="1" ht="12.75">
      <c r="A103" s="293" t="s">
        <v>93</v>
      </c>
      <c r="B103" s="157" t="s">
        <v>187</v>
      </c>
      <c r="C103" s="314"/>
      <c r="D103" s="314"/>
      <c r="E103" s="85">
        <f t="shared" si="5"/>
        <v>0</v>
      </c>
      <c r="F103" s="157"/>
      <c r="G103" s="6"/>
      <c r="H103" s="6"/>
      <c r="I103" s="6"/>
      <c r="J103" s="6"/>
      <c r="K103" s="6"/>
    </row>
    <row r="104" spans="1:11" s="156" customFormat="1" ht="12.75">
      <c r="A104" s="293" t="s">
        <v>255</v>
      </c>
      <c r="B104" s="157" t="s">
        <v>187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57"/>
      <c r="G104" s="6"/>
      <c r="H104" s="6"/>
      <c r="I104" s="6"/>
      <c r="J104" s="6"/>
      <c r="K104" s="6"/>
    </row>
    <row r="105" spans="1:11" s="156" customFormat="1" ht="12.75">
      <c r="A105" s="293" t="s">
        <v>273</v>
      </c>
      <c r="B105" s="157" t="s">
        <v>187</v>
      </c>
      <c r="C105" s="107">
        <f>'Tax Reserves'!C51</f>
        <v>553116</v>
      </c>
      <c r="D105" s="107">
        <f>'Tax Reserves'!D51</f>
        <v>0</v>
      </c>
      <c r="E105" s="84">
        <f t="shared" si="5"/>
        <v>553116</v>
      </c>
      <c r="F105" s="157"/>
      <c r="G105" s="6"/>
      <c r="H105" s="6"/>
      <c r="I105" s="6"/>
      <c r="J105" s="6"/>
      <c r="K105" s="6"/>
    </row>
    <row r="106" spans="1:11" s="156" customFormat="1" ht="12.75">
      <c r="A106" s="293" t="s">
        <v>12</v>
      </c>
      <c r="B106" s="157" t="s">
        <v>187</v>
      </c>
      <c r="C106" s="314"/>
      <c r="D106" s="314"/>
      <c r="E106" s="75">
        <f t="shared" si="5"/>
        <v>0</v>
      </c>
      <c r="F106" s="157"/>
      <c r="G106" s="6"/>
      <c r="H106" s="6"/>
      <c r="I106" s="6"/>
      <c r="J106" s="6"/>
      <c r="K106" s="6"/>
    </row>
    <row r="107" spans="1:11" s="156" customFormat="1" ht="12.75">
      <c r="A107" s="293" t="s">
        <v>13</v>
      </c>
      <c r="B107" s="157" t="s">
        <v>187</v>
      </c>
      <c r="C107" s="314"/>
      <c r="D107" s="314"/>
      <c r="E107" s="75">
        <f t="shared" si="5"/>
        <v>0</v>
      </c>
      <c r="F107" s="157"/>
      <c r="G107" s="6"/>
      <c r="H107" s="6"/>
      <c r="I107" s="6"/>
      <c r="J107" s="6"/>
      <c r="K107" s="6"/>
    </row>
    <row r="108" spans="1:11" s="156" customFormat="1" ht="15">
      <c r="A108" s="134" t="s">
        <v>389</v>
      </c>
      <c r="B108" s="157"/>
      <c r="C108" s="64">
        <f>'TAXREC 3 No True-up'!C73</f>
        <v>103219</v>
      </c>
      <c r="D108" s="64">
        <f>'TAXREC 3 No True-up'!D73</f>
        <v>0</v>
      </c>
      <c r="E108" s="75">
        <f t="shared" si="5"/>
        <v>103219</v>
      </c>
      <c r="F108" s="157"/>
      <c r="G108" s="6"/>
      <c r="H108" s="6"/>
      <c r="I108" s="6"/>
      <c r="J108" s="6"/>
      <c r="K108" s="6"/>
    </row>
    <row r="109" spans="1:11" s="156" customFormat="1" ht="12.75">
      <c r="A109" s="303" t="s">
        <v>182</v>
      </c>
      <c r="B109" s="157" t="s">
        <v>187</v>
      </c>
      <c r="C109" s="314"/>
      <c r="D109" s="314"/>
      <c r="E109" s="85">
        <f t="shared" si="5"/>
        <v>0</v>
      </c>
      <c r="F109" s="157"/>
      <c r="G109" s="6"/>
      <c r="H109" s="6"/>
      <c r="I109" s="6"/>
      <c r="J109" s="6"/>
      <c r="K109" s="6"/>
    </row>
    <row r="110" spans="1:11" s="156" customFormat="1" ht="12.75">
      <c r="A110" s="156" t="s">
        <v>161</v>
      </c>
      <c r="B110" s="157" t="s">
        <v>187</v>
      </c>
      <c r="C110" s="64">
        <f>'TAXREC 2'!C122</f>
        <v>1756907</v>
      </c>
      <c r="D110" s="64">
        <f>'TAXREC 2'!D122</f>
        <v>0</v>
      </c>
      <c r="E110" s="64">
        <f>'TAXREC 2'!E122</f>
        <v>1756907</v>
      </c>
      <c r="F110" s="157"/>
      <c r="G110" s="6"/>
      <c r="H110" s="6"/>
      <c r="I110" s="6"/>
      <c r="J110" s="6"/>
      <c r="K110" s="6"/>
    </row>
    <row r="111" spans="1:11" s="156" customFormat="1" ht="12.75">
      <c r="A111" s="156" t="s">
        <v>162</v>
      </c>
      <c r="B111" s="157" t="s">
        <v>187</v>
      </c>
      <c r="C111" s="64">
        <f>'TAXREC 2'!C123</f>
        <v>37224</v>
      </c>
      <c r="D111" s="64">
        <f>'TAXREC 2'!D123</f>
        <v>0</v>
      </c>
      <c r="E111" s="64">
        <f>'TAXREC 2'!E123</f>
        <v>37224</v>
      </c>
      <c r="F111" s="157"/>
      <c r="G111" s="6"/>
      <c r="H111" s="6"/>
      <c r="I111" s="283"/>
      <c r="J111" s="283"/>
      <c r="K111" s="304"/>
    </row>
    <row r="112" spans="1:11" s="156" customFormat="1" ht="12.75">
      <c r="A112" s="274"/>
      <c r="B112" s="157"/>
      <c r="C112" s="185"/>
      <c r="D112" s="185"/>
      <c r="E112" s="92"/>
      <c r="F112" s="157"/>
      <c r="G112" s="6"/>
      <c r="H112" s="6"/>
      <c r="I112" s="283"/>
      <c r="J112" s="6"/>
      <c r="K112" s="304"/>
    </row>
    <row r="113" spans="1:11" s="156" customFormat="1" ht="12.75">
      <c r="A113" s="274" t="s">
        <v>163</v>
      </c>
      <c r="B113" s="157" t="s">
        <v>188</v>
      </c>
      <c r="C113" s="64">
        <f>SUM(C97:C111)</f>
        <v>5578810</v>
      </c>
      <c r="D113" s="64">
        <f>SUM(D97:D111)</f>
        <v>0</v>
      </c>
      <c r="E113" s="64">
        <f>SUM(E97:E111)</f>
        <v>5578810</v>
      </c>
      <c r="F113" s="157"/>
      <c r="G113" s="6"/>
      <c r="H113" s="6"/>
      <c r="I113" s="283"/>
      <c r="J113" s="6"/>
      <c r="K113" s="283"/>
    </row>
    <row r="114" spans="1:11" s="156" customFormat="1" ht="12.75">
      <c r="A114" s="293" t="s">
        <v>205</v>
      </c>
      <c r="B114" s="157"/>
      <c r="C114" s="180"/>
      <c r="D114" s="180"/>
      <c r="E114" s="180"/>
      <c r="F114" s="157"/>
      <c r="G114" s="6"/>
      <c r="H114" s="6"/>
      <c r="I114" s="283"/>
      <c r="J114" s="283"/>
      <c r="K114" s="283"/>
    </row>
    <row r="115" spans="1:11" s="156" customFormat="1" ht="12.75">
      <c r="A115" s="1" t="s">
        <v>16</v>
      </c>
      <c r="B115" s="157" t="s">
        <v>187</v>
      </c>
      <c r="C115" s="314"/>
      <c r="D115" s="314"/>
      <c r="E115" s="75">
        <f>+C115-D115</f>
        <v>0</v>
      </c>
      <c r="F115" s="157"/>
      <c r="G115" s="5"/>
      <c r="H115" s="6"/>
      <c r="I115" s="7"/>
      <c r="J115" s="7"/>
      <c r="K115" s="7"/>
    </row>
    <row r="116" spans="1:11" s="156" customFormat="1" ht="12.75">
      <c r="A116" s="305" t="s">
        <v>221</v>
      </c>
      <c r="B116" s="157" t="s">
        <v>187</v>
      </c>
      <c r="C116" s="314"/>
      <c r="D116" s="314"/>
      <c r="E116" s="75">
        <f>+C116-D116</f>
        <v>0</v>
      </c>
      <c r="F116" s="157"/>
      <c r="G116" s="5"/>
      <c r="H116" s="6"/>
      <c r="I116" s="6"/>
      <c r="J116" s="6"/>
      <c r="K116" s="6"/>
    </row>
    <row r="117" spans="1:11" s="156" customFormat="1" ht="12.75">
      <c r="A117" s="426"/>
      <c r="B117" s="157" t="s">
        <v>187</v>
      </c>
      <c r="C117" s="314"/>
      <c r="D117" s="314"/>
      <c r="E117" s="75">
        <f>+C117-D117</f>
        <v>0</v>
      </c>
      <c r="F117" s="157"/>
      <c r="G117" s="5"/>
      <c r="H117" s="6"/>
      <c r="I117" s="6"/>
      <c r="J117" s="6"/>
      <c r="K117" s="6"/>
    </row>
    <row r="118" spans="1:11" s="156" customFormat="1" ht="12.75">
      <c r="A118" s="426"/>
      <c r="B118" s="157"/>
      <c r="C118" s="314"/>
      <c r="D118" s="314"/>
      <c r="E118" s="75">
        <f>+C118-D118</f>
        <v>0</v>
      </c>
      <c r="F118" s="157"/>
      <c r="G118" s="5"/>
      <c r="H118" s="6"/>
      <c r="I118" s="6"/>
      <c r="J118" s="6"/>
      <c r="K118" s="6"/>
    </row>
    <row r="119" spans="1:11" s="156" customFormat="1" ht="12.75">
      <c r="A119" s="427"/>
      <c r="B119" s="157" t="s">
        <v>187</v>
      </c>
      <c r="C119" s="314"/>
      <c r="D119" s="314"/>
      <c r="E119" s="75">
        <f>+C119-D119</f>
        <v>0</v>
      </c>
      <c r="F119" s="157"/>
      <c r="G119" s="5"/>
      <c r="H119" s="6"/>
      <c r="I119" s="6"/>
      <c r="J119" s="6"/>
      <c r="K119" s="6"/>
    </row>
    <row r="120" spans="1:11" s="156" customFormat="1" ht="12.75">
      <c r="A120" s="293" t="s">
        <v>50</v>
      </c>
      <c r="B120" s="157" t="s">
        <v>188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57"/>
      <c r="G120" s="8"/>
      <c r="H120" s="6"/>
      <c r="K120" s="6"/>
    </row>
    <row r="121" spans="2:11" s="156" customFormat="1" ht="12.75">
      <c r="B121" s="157"/>
      <c r="C121" s="185"/>
      <c r="D121" s="185"/>
      <c r="E121" s="185"/>
      <c r="F121" s="157"/>
      <c r="G121" s="6"/>
      <c r="H121" s="6"/>
      <c r="K121" s="4"/>
    </row>
    <row r="122" spans="1:11" s="156" customFormat="1" ht="12.75">
      <c r="A122" s="274" t="s">
        <v>19</v>
      </c>
      <c r="B122" s="157" t="s">
        <v>188</v>
      </c>
      <c r="C122" s="64">
        <f>C113+C120</f>
        <v>5578810</v>
      </c>
      <c r="D122" s="64">
        <f>D113+D120</f>
        <v>0</v>
      </c>
      <c r="E122" s="64">
        <f>+E113+E120</f>
        <v>5578810</v>
      </c>
      <c r="F122" s="157"/>
      <c r="G122" s="307"/>
      <c r="H122" s="6"/>
      <c r="K122" s="6"/>
    </row>
    <row r="123" spans="2:11" s="156" customFormat="1" ht="12.75">
      <c r="B123" s="157"/>
      <c r="C123" s="185"/>
      <c r="D123" s="185"/>
      <c r="E123" s="185"/>
      <c r="F123" s="157"/>
      <c r="G123" s="307"/>
      <c r="H123" s="6"/>
      <c r="K123" s="6"/>
    </row>
    <row r="124" spans="1:11" s="156" customFormat="1" ht="12.75">
      <c r="A124" s="308" t="s">
        <v>175</v>
      </c>
      <c r="C124" s="157"/>
      <c r="D124" s="157"/>
      <c r="E124" s="157"/>
      <c r="F124" s="157"/>
      <c r="G124" s="307"/>
      <c r="H124" s="6"/>
      <c r="K124" s="6"/>
    </row>
    <row r="125" spans="1:11" s="156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57"/>
      <c r="G125" s="307"/>
      <c r="H125" s="6"/>
      <c r="K125" s="6"/>
    </row>
    <row r="126" spans="1:11" s="156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57"/>
      <c r="G126" s="6"/>
      <c r="H126" s="6"/>
      <c r="K126" s="6"/>
    </row>
    <row r="127" spans="1:11" s="156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57"/>
      <c r="G127" s="6"/>
      <c r="H127" s="6"/>
      <c r="K127" s="6"/>
    </row>
    <row r="128" spans="1:11" s="156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57"/>
      <c r="G128" s="6"/>
      <c r="H128" s="6"/>
      <c r="K128" s="6"/>
    </row>
    <row r="129" spans="1:11" s="156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57"/>
      <c r="G129" s="6"/>
      <c r="H129" s="6"/>
      <c r="K129" s="6"/>
    </row>
    <row r="130" spans="1:11" s="156" customFormat="1" ht="12.75">
      <c r="A130" s="88" t="s">
        <v>198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57"/>
      <c r="G130" s="6"/>
      <c r="H130" s="6"/>
      <c r="K130" s="6"/>
    </row>
    <row r="131" spans="1:11" s="156" customFormat="1" ht="12.75">
      <c r="A131" s="76" t="s">
        <v>199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57"/>
      <c r="G131" s="6"/>
      <c r="H131" s="6"/>
      <c r="K131" s="6"/>
    </row>
    <row r="132" spans="1:11" s="156" customFormat="1" ht="12.75">
      <c r="A132" s="76" t="s">
        <v>197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57"/>
      <c r="G132" s="4"/>
      <c r="H132" s="6"/>
      <c r="K132" s="6"/>
    </row>
    <row r="133" spans="2:11" s="156" customFormat="1" ht="12.75">
      <c r="B133" s="157"/>
      <c r="C133" s="185"/>
      <c r="D133" s="185"/>
      <c r="E133" s="185"/>
      <c r="F133" s="157"/>
      <c r="G133" s="6"/>
      <c r="H133" s="6"/>
      <c r="K133" s="6"/>
    </row>
    <row r="134" spans="1:11" s="156" customFormat="1" ht="12.75">
      <c r="A134" s="309" t="s">
        <v>80</v>
      </c>
      <c r="B134" s="157" t="s">
        <v>188</v>
      </c>
      <c r="C134" s="64">
        <f>+C53+C82-C122</f>
        <v>3818228</v>
      </c>
      <c r="D134" s="64">
        <f>D53+D82-D122</f>
        <v>0</v>
      </c>
      <c r="E134" s="64">
        <f>E53+E82-E122</f>
        <v>3818228</v>
      </c>
      <c r="F134" s="157"/>
      <c r="G134" s="4"/>
      <c r="H134" s="6"/>
      <c r="K134" s="6"/>
    </row>
    <row r="135" spans="1:11" s="156" customFormat="1" ht="12.75">
      <c r="A135" s="172" t="s">
        <v>45</v>
      </c>
      <c r="B135" s="157"/>
      <c r="D135" s="4"/>
      <c r="E135" s="4"/>
      <c r="F135" s="157"/>
      <c r="G135" s="6"/>
      <c r="H135" s="6"/>
      <c r="K135" s="6"/>
    </row>
    <row r="136" spans="1:11" s="156" customFormat="1" ht="12.75">
      <c r="A136" s="172" t="s">
        <v>369</v>
      </c>
      <c r="B136" s="157" t="s">
        <v>187</v>
      </c>
      <c r="C136" s="314"/>
      <c r="D136" s="314"/>
      <c r="E136" s="68">
        <f>C136-D136</f>
        <v>0</v>
      </c>
      <c r="F136" s="157"/>
      <c r="G136" s="6"/>
      <c r="H136" s="6"/>
      <c r="K136" s="6"/>
    </row>
    <row r="137" spans="1:11" s="156" customFormat="1" ht="12.75">
      <c r="A137" s="296" t="s">
        <v>370</v>
      </c>
      <c r="B137" s="157" t="s">
        <v>187</v>
      </c>
      <c r="C137" s="314"/>
      <c r="D137" s="314"/>
      <c r="E137" s="122">
        <f>C137-D137</f>
        <v>0</v>
      </c>
      <c r="F137" s="157"/>
      <c r="G137" s="6"/>
      <c r="H137" s="6"/>
      <c r="K137" s="6"/>
    </row>
    <row r="138" spans="1:11" s="156" customFormat="1" ht="12.75">
      <c r="A138" s="296"/>
      <c r="B138" s="157"/>
      <c r="C138" s="314"/>
      <c r="D138" s="314"/>
      <c r="E138" s="122">
        <f>C138-D138</f>
        <v>0</v>
      </c>
      <c r="F138" s="157"/>
      <c r="G138" s="6"/>
      <c r="H138" s="6"/>
      <c r="I138" s="6"/>
      <c r="J138" s="6"/>
      <c r="K138" s="6"/>
    </row>
    <row r="139" spans="1:11" s="156" customFormat="1" ht="12.75">
      <c r="A139" s="296" t="s">
        <v>96</v>
      </c>
      <c r="B139" s="157" t="s">
        <v>188</v>
      </c>
      <c r="C139" s="65">
        <f>C134-C136-C137-C138</f>
        <v>3818228</v>
      </c>
      <c r="D139" s="65">
        <f>D134-D136-D137-D138</f>
        <v>0</v>
      </c>
      <c r="E139" s="65">
        <f>E134-E136-E137-E138</f>
        <v>3818228</v>
      </c>
      <c r="F139" s="157"/>
      <c r="H139" s="6"/>
      <c r="I139" s="6"/>
      <c r="J139" s="6"/>
      <c r="K139" s="6"/>
    </row>
    <row r="140" spans="1:11" s="156" customFormat="1" ht="12.75">
      <c r="A140" s="296"/>
      <c r="B140" s="157"/>
      <c r="C140" s="9"/>
      <c r="D140" s="9"/>
      <c r="E140" s="9"/>
      <c r="F140" s="157"/>
      <c r="G140" s="6"/>
      <c r="H140" s="6"/>
      <c r="I140" s="6"/>
      <c r="J140" s="6"/>
      <c r="K140" s="6"/>
    </row>
    <row r="141" spans="1:11" s="156" customFormat="1" ht="12.75">
      <c r="A141" s="310" t="s">
        <v>299</v>
      </c>
      <c r="B141" s="157"/>
      <c r="C141" s="180"/>
      <c r="D141" s="180"/>
      <c r="E141" s="180"/>
      <c r="F141" s="157"/>
      <c r="H141" s="6"/>
      <c r="I141" s="6"/>
      <c r="J141" s="6"/>
      <c r="K141" s="6"/>
    </row>
    <row r="142" spans="1:11" s="156" customFormat="1" ht="12.75">
      <c r="A142" s="296" t="s">
        <v>316</v>
      </c>
      <c r="B142" s="157" t="s">
        <v>186</v>
      </c>
      <c r="C142" s="314">
        <v>844583</v>
      </c>
      <c r="D142" s="314"/>
      <c r="E142" s="65">
        <f>C142-D142</f>
        <v>844583</v>
      </c>
      <c r="F142" s="157"/>
      <c r="H142" s="6"/>
      <c r="I142" s="6"/>
      <c r="J142" s="6"/>
      <c r="K142" s="6"/>
    </row>
    <row r="143" spans="1:11" s="156" customFormat="1" ht="12.75">
      <c r="A143" s="296" t="s">
        <v>315</v>
      </c>
      <c r="B143" s="157" t="s">
        <v>186</v>
      </c>
      <c r="C143" s="314">
        <v>534444</v>
      </c>
      <c r="D143" s="314"/>
      <c r="E143" s="90">
        <f>C143-D143</f>
        <v>534444</v>
      </c>
      <c r="F143" s="157"/>
      <c r="H143" s="6"/>
      <c r="I143" s="6"/>
      <c r="J143" s="6"/>
      <c r="K143" s="6"/>
    </row>
    <row r="144" spans="1:11" s="156" customFormat="1" ht="12.75">
      <c r="A144" s="296" t="s">
        <v>172</v>
      </c>
      <c r="B144" s="157" t="s">
        <v>188</v>
      </c>
      <c r="C144" s="65">
        <f>C142+C143</f>
        <v>1379027</v>
      </c>
      <c r="D144" s="65">
        <f>D142+D143</f>
        <v>0</v>
      </c>
      <c r="E144" s="65">
        <f>E142+E143</f>
        <v>1379027</v>
      </c>
      <c r="F144" s="157"/>
      <c r="H144" s="6"/>
      <c r="I144" s="6"/>
      <c r="J144" s="6"/>
      <c r="K144" s="6"/>
    </row>
    <row r="145" spans="1:11" s="156" customFormat="1" ht="12.75">
      <c r="A145" s="296" t="s">
        <v>327</v>
      </c>
      <c r="B145" s="157" t="s">
        <v>187</v>
      </c>
      <c r="C145" s="314"/>
      <c r="D145" s="314"/>
      <c r="E145" s="91">
        <f>C145-D145</f>
        <v>0</v>
      </c>
      <c r="F145" s="157"/>
      <c r="G145" s="6"/>
      <c r="H145" s="6"/>
      <c r="I145" s="6"/>
      <c r="J145" s="6"/>
      <c r="K145" s="6"/>
    </row>
    <row r="146" spans="1:11" s="156" customFormat="1" ht="12.75">
      <c r="A146" s="310" t="s">
        <v>98</v>
      </c>
      <c r="B146" s="157" t="s">
        <v>188</v>
      </c>
      <c r="C146" s="65">
        <f>C144-C145</f>
        <v>1379027</v>
      </c>
      <c r="D146" s="65">
        <f>D144-D145</f>
        <v>0</v>
      </c>
      <c r="E146" s="65">
        <f>E144-E145</f>
        <v>1379027</v>
      </c>
      <c r="F146" s="157"/>
      <c r="G146" s="6"/>
      <c r="H146" s="6"/>
      <c r="I146" s="6"/>
      <c r="J146" s="6"/>
      <c r="K146" s="6"/>
    </row>
    <row r="147" spans="2:11" s="156" customFormat="1" ht="12.75">
      <c r="B147" s="157"/>
      <c r="C147" s="180"/>
      <c r="D147" s="180"/>
      <c r="E147" s="180"/>
      <c r="F147" s="157"/>
      <c r="G147" s="6"/>
      <c r="H147" s="6"/>
      <c r="I147" s="6"/>
      <c r="J147" s="6"/>
      <c r="K147" s="6"/>
    </row>
    <row r="148" spans="1:11" s="156" customFormat="1" ht="12.75">
      <c r="A148" s="310" t="s">
        <v>299</v>
      </c>
      <c r="B148" s="157"/>
      <c r="C148" s="180"/>
      <c r="D148" s="180"/>
      <c r="E148" s="180"/>
      <c r="F148" s="157"/>
      <c r="G148" s="6"/>
      <c r="H148" s="6"/>
      <c r="I148" s="6"/>
      <c r="J148" s="6"/>
      <c r="K148" s="6"/>
    </row>
    <row r="149" spans="1:11" s="156" customFormat="1" ht="12.75">
      <c r="A149" s="296" t="s">
        <v>322</v>
      </c>
      <c r="B149" s="157"/>
      <c r="C149" s="63">
        <f>IF(ISERROR(C142/C139),0,C142/C139)</f>
        <v>0.22119763408575915</v>
      </c>
      <c r="D149" s="180"/>
      <c r="E149" s="63">
        <f>C149</f>
        <v>0.22119763408575915</v>
      </c>
      <c r="F149" s="157"/>
      <c r="G149" s="283" t="s">
        <v>463</v>
      </c>
      <c r="H149" s="6"/>
      <c r="I149" s="6"/>
      <c r="J149" s="6"/>
      <c r="K149" s="6"/>
    </row>
    <row r="150" spans="1:11" s="156" customFormat="1" ht="12.75">
      <c r="A150" s="296" t="s">
        <v>323</v>
      </c>
      <c r="B150" s="157"/>
      <c r="C150" s="63">
        <f>IF(ISERROR(C143/C139),0,C143/C139)</f>
        <v>0.13997173557996012</v>
      </c>
      <c r="D150" s="180"/>
      <c r="E150" s="63">
        <f>C150</f>
        <v>0.13997173557996012</v>
      </c>
      <c r="F150" s="157"/>
      <c r="G150" s="283" t="s">
        <v>464</v>
      </c>
      <c r="H150" s="6"/>
      <c r="I150" s="6"/>
      <c r="J150" s="6"/>
      <c r="K150" s="6"/>
    </row>
    <row r="151" spans="1:11" s="156" customFormat="1" ht="12.75">
      <c r="A151" s="156" t="s">
        <v>324</v>
      </c>
      <c r="B151" s="157"/>
      <c r="C151" s="63">
        <f>SUM(C149:C150)</f>
        <v>0.3611693696657193</v>
      </c>
      <c r="D151" s="311" t="s">
        <v>475</v>
      </c>
      <c r="E151" s="63">
        <f>SUM(E149:E150)</f>
        <v>0.3611693696657193</v>
      </c>
      <c r="F151" s="157"/>
      <c r="G151" s="6"/>
      <c r="H151" s="6"/>
      <c r="I151" s="6"/>
      <c r="J151" s="6"/>
      <c r="K151" s="6"/>
    </row>
    <row r="152" spans="2:11" s="156" customFormat="1" ht="12.75">
      <c r="B152" s="157"/>
      <c r="C152" s="180"/>
      <c r="D152" s="180"/>
      <c r="E152" s="180"/>
      <c r="F152" s="157"/>
      <c r="G152" s="6"/>
      <c r="H152" s="6"/>
      <c r="I152" s="6"/>
      <c r="J152" s="6"/>
      <c r="K152" s="6"/>
    </row>
    <row r="153" spans="1:2" s="156" customFormat="1" ht="12.75">
      <c r="A153" s="188" t="s">
        <v>350</v>
      </c>
      <c r="B153" s="157"/>
    </row>
    <row r="154" spans="1:2" s="156" customFormat="1" ht="12.75">
      <c r="A154" s="188"/>
      <c r="B154" s="157"/>
    </row>
    <row r="155" spans="1:2" s="156" customFormat="1" ht="12.75">
      <c r="A155" s="1" t="s">
        <v>473</v>
      </c>
      <c r="B155" s="157"/>
    </row>
    <row r="156" spans="1:5" s="156" customFormat="1" ht="12.75">
      <c r="A156" s="156" t="s">
        <v>218</v>
      </c>
      <c r="B156" s="312" t="s">
        <v>186</v>
      </c>
      <c r="C156" s="64">
        <f>C146</f>
        <v>1379027</v>
      </c>
      <c r="D156" s="64">
        <f>D146</f>
        <v>0</v>
      </c>
      <c r="E156" s="64">
        <f>E146</f>
        <v>1379027</v>
      </c>
    </row>
    <row r="157" spans="1:5" s="156" customFormat="1" ht="12.75">
      <c r="A157" s="156" t="s">
        <v>20</v>
      </c>
      <c r="B157" s="312" t="s">
        <v>186</v>
      </c>
      <c r="C157" s="314">
        <v>127782</v>
      </c>
      <c r="D157" s="64"/>
      <c r="E157" s="64">
        <f>C157+D157</f>
        <v>127782</v>
      </c>
    </row>
    <row r="158" spans="1:5" s="156" customFormat="1" ht="12.75">
      <c r="A158" s="156" t="s">
        <v>217</v>
      </c>
      <c r="B158" s="312" t="s">
        <v>186</v>
      </c>
      <c r="C158" s="314">
        <v>9742</v>
      </c>
      <c r="D158" s="64"/>
      <c r="E158" s="64">
        <f>C158+D158</f>
        <v>9742</v>
      </c>
    </row>
    <row r="159" s="156" customFormat="1" ht="12.75">
      <c r="B159" s="157"/>
    </row>
    <row r="160" spans="1:5" s="156" customFormat="1" ht="12.75">
      <c r="A160" s="1" t="s">
        <v>296</v>
      </c>
      <c r="B160" s="313" t="s">
        <v>188</v>
      </c>
      <c r="C160" s="64">
        <f>C156+C157+C158</f>
        <v>1516551</v>
      </c>
      <c r="D160" s="64">
        <f>D156+D157+D158</f>
        <v>0</v>
      </c>
      <c r="E160" s="64">
        <f>E156+E157+E158</f>
        <v>1516551</v>
      </c>
    </row>
    <row r="161" s="156" customFormat="1" ht="12.75">
      <c r="C161" s="268"/>
    </row>
    <row r="162" s="156" customFormat="1" ht="12.75">
      <c r="C162" s="157"/>
    </row>
    <row r="163" s="156" customFormat="1" ht="12.75">
      <c r="E163" s="185"/>
    </row>
    <row r="164" s="156" customFormat="1" ht="12.75"/>
    <row r="165" s="156" customFormat="1" ht="12.75"/>
    <row r="166" s="156" customFormat="1" ht="12.75"/>
    <row r="167" s="156" customFormat="1" ht="12.75"/>
    <row r="168" s="156" customFormat="1" ht="12.75"/>
    <row r="169" s="156" customFormat="1" ht="12.75"/>
    <row r="170" s="156" customFormat="1" ht="12.75"/>
    <row r="171" s="156" customFormat="1" ht="12.75"/>
    <row r="172" s="156" customFormat="1" ht="12.75"/>
    <row r="173" s="156" customFormat="1" ht="12.75"/>
    <row r="174" s="156" customFormat="1" ht="12.75"/>
    <row r="175" s="156" customFormat="1" ht="12.75"/>
    <row r="176" s="156" customFormat="1" ht="12.75"/>
    <row r="177" s="156" customFormat="1" ht="12.75"/>
    <row r="178" s="156" customFormat="1" ht="12.75"/>
    <row r="179" s="156" customFormat="1" ht="12.75"/>
    <row r="180" s="156" customFormat="1" ht="12.75"/>
    <row r="181" s="156" customFormat="1" ht="12.75"/>
    <row r="182" s="156" customFormat="1" ht="12.75"/>
    <row r="183" s="156" customFormat="1" ht="12.75"/>
    <row r="184" s="156" customFormat="1" ht="12.75"/>
    <row r="185" s="156" customFormat="1" ht="12.75"/>
    <row r="186" s="156" customFormat="1" ht="12.75"/>
    <row r="187" s="156" customFormat="1" ht="12.75"/>
    <row r="188" s="156" customFormat="1" ht="12.75"/>
    <row r="189" s="156" customFormat="1" ht="12.75"/>
    <row r="190" s="156" customFormat="1" ht="12.75"/>
    <row r="191" s="156" customFormat="1" ht="12.75"/>
    <row r="192" s="156" customFormat="1" ht="12.75"/>
    <row r="193" s="156" customFormat="1" ht="12.75"/>
    <row r="194" s="156" customFormat="1" ht="12.75"/>
    <row r="195" s="156" customFormat="1" ht="12.75"/>
    <row r="196" s="156" customFormat="1" ht="12.75"/>
    <row r="197" s="156" customFormat="1" ht="12.75"/>
    <row r="198" s="156" customFormat="1" ht="12.75"/>
    <row r="199" s="156" customFormat="1" ht="12.75"/>
  </sheetData>
  <sheetProtection password="CC12" sheet="1" objects="1" scenarios="1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&amp;R&amp;A</oddFooter>
  </headerFooter>
  <rowBreaks count="1" manualBreakCount="1">
    <brk id="9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zoomScalePageLayoutView="0" workbookViewId="0" topLeftCell="A40">
      <selection activeCell="E48" sqref="E48"/>
    </sheetView>
  </sheetViews>
  <sheetFormatPr defaultColWidth="0" defaultRowHeight="12.75" zeroHeight="1"/>
  <cols>
    <col min="1" max="1" width="45.00390625" style="191" bestFit="1" customWidth="1"/>
    <col min="2" max="2" width="5.00390625" style="191" bestFit="1" customWidth="1"/>
    <col min="3" max="3" width="9.00390625" style="191" bestFit="1" customWidth="1"/>
    <col min="4" max="4" width="11.140625" style="191" bestFit="1" customWidth="1"/>
    <col min="5" max="5" width="14.140625" style="191" bestFit="1" customWidth="1"/>
    <col min="6" max="6" width="15.7109375" style="191" customWidth="1"/>
    <col min="7" max="16384" width="0" style="191" hidden="1" customWidth="1"/>
  </cols>
  <sheetData>
    <row r="1" spans="1:6" ht="12.75">
      <c r="A1" s="155" t="str">
        <f>REGINFO!A1</f>
        <v>PILs TAXES - EB-2008-381</v>
      </c>
      <c r="B1" s="157" t="s">
        <v>42</v>
      </c>
      <c r="C1" s="157" t="s">
        <v>23</v>
      </c>
      <c r="D1" s="157" t="s">
        <v>0</v>
      </c>
      <c r="E1" s="158" t="s">
        <v>1</v>
      </c>
      <c r="F1" s="192"/>
    </row>
    <row r="2" spans="1:6" s="156" customFormat="1" ht="12.75">
      <c r="A2" s="1" t="s">
        <v>294</v>
      </c>
      <c r="C2" s="157" t="s">
        <v>46</v>
      </c>
      <c r="D2" s="157" t="s">
        <v>38</v>
      </c>
      <c r="E2" s="158" t="s">
        <v>3</v>
      </c>
      <c r="F2" s="157"/>
    </row>
    <row r="3" spans="1:6" s="156" customFormat="1" ht="12.75">
      <c r="A3" s="156" t="s">
        <v>295</v>
      </c>
      <c r="C3" s="157" t="s">
        <v>3</v>
      </c>
      <c r="E3" s="158" t="s">
        <v>2</v>
      </c>
      <c r="F3" s="157"/>
    </row>
    <row r="4" spans="1:6" s="156" customFormat="1" ht="12.75">
      <c r="A4" s="274" t="s">
        <v>39</v>
      </c>
      <c r="B4" s="157"/>
      <c r="C4" s="157" t="s">
        <v>2</v>
      </c>
      <c r="E4" s="157"/>
      <c r="F4" s="157"/>
    </row>
    <row r="5" spans="1:6" s="156" customFormat="1" ht="13.5" thickBot="1">
      <c r="A5" s="1">
        <f>REGINFO!E2</f>
        <v>0</v>
      </c>
      <c r="B5" s="157"/>
      <c r="C5" s="157"/>
      <c r="D5" s="157"/>
      <c r="E5" s="316" t="str">
        <f>REGINFO!E1</f>
        <v>Version 2009.1</v>
      </c>
      <c r="F5" s="157"/>
    </row>
    <row r="6" spans="1:6" s="156" customFormat="1" ht="13.5" thickTop="1">
      <c r="A6" s="164"/>
      <c r="B6" s="166"/>
      <c r="C6" s="276"/>
      <c r="D6" s="276"/>
      <c r="E6" s="276"/>
      <c r="F6" s="166"/>
    </row>
    <row r="7" spans="1:6" s="156" customFormat="1" ht="12.75">
      <c r="A7" s="1" t="str">
        <f>REGINFO!A3</f>
        <v>Utility Name: PowerStream Inc. - Richmond Hill</v>
      </c>
      <c r="B7" s="169"/>
      <c r="C7" s="2"/>
      <c r="D7" s="2"/>
      <c r="E7" s="2"/>
      <c r="F7" s="169"/>
    </row>
    <row r="8" spans="1:6" s="156" customFormat="1" ht="12.75">
      <c r="A8" s="1" t="str">
        <f>REGINFO!A4</f>
        <v>Reporting period:  2004</v>
      </c>
      <c r="B8" s="169"/>
      <c r="C8" s="2"/>
      <c r="D8" s="2"/>
      <c r="E8" s="2"/>
      <c r="F8" s="169"/>
    </row>
    <row r="9" s="156" customFormat="1" ht="12.75"/>
    <row r="10" s="156" customFormat="1" ht="12.75">
      <c r="A10" s="1" t="s">
        <v>129</v>
      </c>
    </row>
    <row r="11" s="156" customFormat="1" ht="12.75">
      <c r="A11" s="1"/>
    </row>
    <row r="12" spans="1:5" s="156" customFormat="1" ht="12.75">
      <c r="A12" s="317" t="s">
        <v>266</v>
      </c>
      <c r="B12" s="318"/>
      <c r="C12" s="319"/>
      <c r="D12" s="319"/>
      <c r="E12" s="318"/>
    </row>
    <row r="13" spans="1:5" s="156" customFormat="1" ht="12.75">
      <c r="A13" s="429"/>
      <c r="B13" s="318"/>
      <c r="C13" s="315"/>
      <c r="D13" s="315"/>
      <c r="E13" s="64">
        <f>C13-D13</f>
        <v>0</v>
      </c>
    </row>
    <row r="14" spans="1:5" s="156" customFormat="1" ht="12.75">
      <c r="A14" s="318" t="s">
        <v>274</v>
      </c>
      <c r="B14" s="318"/>
      <c r="C14" s="315"/>
      <c r="D14" s="315"/>
      <c r="E14" s="64">
        <f aca="true" t="shared" si="0" ref="E14:E21">C14-D14</f>
        <v>0</v>
      </c>
    </row>
    <row r="15" spans="1:5" s="156" customFormat="1" ht="12.75">
      <c r="A15" s="318" t="s">
        <v>275</v>
      </c>
      <c r="B15" s="318"/>
      <c r="C15" s="315"/>
      <c r="D15" s="315"/>
      <c r="E15" s="64">
        <f t="shared" si="0"/>
        <v>0</v>
      </c>
    </row>
    <row r="16" spans="1:5" s="156" customFormat="1" ht="12.75">
      <c r="A16" s="318" t="s">
        <v>276</v>
      </c>
      <c r="B16" s="318"/>
      <c r="C16" s="315"/>
      <c r="D16" s="315"/>
      <c r="E16" s="64">
        <f t="shared" si="0"/>
        <v>0</v>
      </c>
    </row>
    <row r="17" spans="1:5" s="156" customFormat="1" ht="12.75">
      <c r="A17" s="318" t="s">
        <v>277</v>
      </c>
      <c r="B17" s="318"/>
      <c r="C17" s="315"/>
      <c r="D17" s="315"/>
      <c r="E17" s="64">
        <f t="shared" si="0"/>
        <v>0</v>
      </c>
    </row>
    <row r="18" spans="1:5" s="156" customFormat="1" ht="12.75">
      <c r="A18" s="429" t="s">
        <v>442</v>
      </c>
      <c r="B18" s="318"/>
      <c r="C18" s="315"/>
      <c r="D18" s="315"/>
      <c r="E18" s="64">
        <f t="shared" si="0"/>
        <v>0</v>
      </c>
    </row>
    <row r="19" spans="1:5" s="156" customFormat="1" ht="12.75">
      <c r="A19" s="429" t="s">
        <v>442</v>
      </c>
      <c r="B19" s="318"/>
      <c r="C19" s="315"/>
      <c r="D19" s="315"/>
      <c r="E19" s="64">
        <f t="shared" si="0"/>
        <v>0</v>
      </c>
    </row>
    <row r="20" spans="1:5" s="156" customFormat="1" ht="12.75">
      <c r="A20" s="429"/>
      <c r="B20" s="318"/>
      <c r="C20" s="315"/>
      <c r="D20" s="315"/>
      <c r="E20" s="64">
        <f t="shared" si="0"/>
        <v>0</v>
      </c>
    </row>
    <row r="21" spans="1:5" s="156" customFormat="1" ht="12.75">
      <c r="A21" s="429"/>
      <c r="B21" s="318"/>
      <c r="C21" s="315"/>
      <c r="D21" s="315"/>
      <c r="E21" s="82">
        <f t="shared" si="0"/>
        <v>0</v>
      </c>
    </row>
    <row r="22" spans="1:5" s="156" customFormat="1" ht="12.75">
      <c r="A22" s="1" t="s">
        <v>179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56" customFormat="1" ht="12.75">
      <c r="A23" s="1"/>
      <c r="C23" s="185"/>
      <c r="D23" s="185"/>
      <c r="E23" s="185"/>
    </row>
    <row r="24" spans="1:5" s="156" customFormat="1" ht="12.75">
      <c r="A24" s="317" t="s">
        <v>265</v>
      </c>
      <c r="B24" s="318"/>
      <c r="C24" s="320"/>
      <c r="D24" s="320"/>
      <c r="E24" s="320"/>
    </row>
    <row r="25" spans="1:5" s="156" customFormat="1" ht="12.75">
      <c r="A25" s="429"/>
      <c r="B25" s="318"/>
      <c r="C25" s="315"/>
      <c r="D25" s="315"/>
      <c r="E25" s="64">
        <f>C25-D25</f>
        <v>0</v>
      </c>
    </row>
    <row r="26" spans="1:5" s="156" customFormat="1" ht="12.75">
      <c r="A26" s="318" t="s">
        <v>274</v>
      </c>
      <c r="B26" s="318"/>
      <c r="C26" s="315"/>
      <c r="D26" s="315"/>
      <c r="E26" s="64">
        <f aca="true" t="shared" si="1" ref="E26:E33">C26-D26</f>
        <v>0</v>
      </c>
    </row>
    <row r="27" spans="1:5" s="156" customFormat="1" ht="12.75">
      <c r="A27" s="318" t="s">
        <v>275</v>
      </c>
      <c r="B27" s="318"/>
      <c r="C27" s="315"/>
      <c r="D27" s="315"/>
      <c r="E27" s="64">
        <f t="shared" si="1"/>
        <v>0</v>
      </c>
    </row>
    <row r="28" spans="1:5" s="156" customFormat="1" ht="12.75">
      <c r="A28" s="318" t="s">
        <v>276</v>
      </c>
      <c r="B28" s="318"/>
      <c r="C28" s="315"/>
      <c r="D28" s="315"/>
      <c r="E28" s="64">
        <f t="shared" si="1"/>
        <v>0</v>
      </c>
    </row>
    <row r="29" spans="1:5" s="156" customFormat="1" ht="12.75">
      <c r="A29" s="318" t="s">
        <v>277</v>
      </c>
      <c r="B29" s="318"/>
      <c r="C29" s="315"/>
      <c r="D29" s="315"/>
      <c r="E29" s="64">
        <f t="shared" si="1"/>
        <v>0</v>
      </c>
    </row>
    <row r="30" spans="1:5" s="156" customFormat="1" ht="12.75">
      <c r="A30" s="429" t="s">
        <v>442</v>
      </c>
      <c r="B30" s="318"/>
      <c r="C30" s="315"/>
      <c r="D30" s="315"/>
      <c r="E30" s="64">
        <f t="shared" si="1"/>
        <v>0</v>
      </c>
    </row>
    <row r="31" spans="1:5" s="156" customFormat="1" ht="12.75">
      <c r="A31" s="429" t="s">
        <v>442</v>
      </c>
      <c r="B31" s="318"/>
      <c r="C31" s="315"/>
      <c r="D31" s="315"/>
      <c r="E31" s="64">
        <f t="shared" si="1"/>
        <v>0</v>
      </c>
    </row>
    <row r="32" spans="1:5" s="156" customFormat="1" ht="12.75">
      <c r="A32" s="429"/>
      <c r="B32" s="318"/>
      <c r="C32" s="315"/>
      <c r="D32" s="315"/>
      <c r="E32" s="64">
        <f t="shared" si="1"/>
        <v>0</v>
      </c>
    </row>
    <row r="33" spans="1:5" s="156" customFormat="1" ht="13.5" thickBot="1">
      <c r="A33" s="430"/>
      <c r="B33" s="318"/>
      <c r="C33" s="315"/>
      <c r="D33" s="315"/>
      <c r="E33" s="64">
        <f t="shared" si="1"/>
        <v>0</v>
      </c>
    </row>
    <row r="34" spans="1:5" s="156" customFormat="1" ht="12.75">
      <c r="A34" s="321" t="s">
        <v>131</v>
      </c>
      <c r="C34" s="185"/>
      <c r="D34" s="185"/>
      <c r="E34" s="82"/>
    </row>
    <row r="35" spans="1:5" s="156" customFormat="1" ht="12.75">
      <c r="A35" s="1" t="s">
        <v>179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56" customFormat="1" ht="12.75">
      <c r="A36" s="1"/>
      <c r="C36" s="185"/>
      <c r="D36" s="185"/>
      <c r="E36" s="185"/>
    </row>
    <row r="37" spans="1:5" s="156" customFormat="1" ht="12.75">
      <c r="A37" s="1"/>
      <c r="C37" s="185"/>
      <c r="D37" s="185"/>
      <c r="E37" s="185"/>
    </row>
    <row r="38" spans="1:5" s="156" customFormat="1" ht="12.75">
      <c r="A38" s="1" t="s">
        <v>264</v>
      </c>
      <c r="C38" s="185"/>
      <c r="D38" s="185"/>
      <c r="E38" s="185"/>
    </row>
    <row r="39" spans="3:5" s="156" customFormat="1" ht="12.75">
      <c r="C39" s="185"/>
      <c r="D39" s="185"/>
      <c r="E39" s="185"/>
    </row>
    <row r="40" spans="1:5" s="156" customFormat="1" ht="12.75">
      <c r="A40" s="317" t="s">
        <v>266</v>
      </c>
      <c r="B40" s="318"/>
      <c r="C40" s="320"/>
      <c r="D40" s="320"/>
      <c r="E40" s="320"/>
    </row>
    <row r="41" spans="1:5" s="156" customFormat="1" ht="12.75">
      <c r="A41" s="429"/>
      <c r="B41" s="318"/>
      <c r="C41" s="315"/>
      <c r="D41" s="315"/>
      <c r="E41" s="64">
        <f>C41-D41</f>
        <v>0</v>
      </c>
    </row>
    <row r="42" spans="1:5" s="156" customFormat="1" ht="12.75">
      <c r="A42" s="429"/>
      <c r="B42" s="318"/>
      <c r="C42" s="315"/>
      <c r="D42" s="315"/>
      <c r="E42" s="64">
        <f aca="true" t="shared" si="2" ref="E42:E50">C42-D42</f>
        <v>0</v>
      </c>
    </row>
    <row r="43" spans="1:5" s="156" customFormat="1" ht="12.75">
      <c r="A43" s="318" t="s">
        <v>260</v>
      </c>
      <c r="B43" s="318"/>
      <c r="C43" s="315"/>
      <c r="D43" s="315"/>
      <c r="E43" s="64">
        <f t="shared" si="2"/>
        <v>0</v>
      </c>
    </row>
    <row r="44" spans="1:5" s="156" customFormat="1" ht="12.75">
      <c r="A44" s="318" t="s">
        <v>261</v>
      </c>
      <c r="B44" s="318"/>
      <c r="C44" s="315"/>
      <c r="D44" s="315"/>
      <c r="E44" s="64">
        <f t="shared" si="2"/>
        <v>0</v>
      </c>
    </row>
    <row r="45" spans="1:5" s="156" customFormat="1" ht="12.75">
      <c r="A45" s="318" t="s">
        <v>262</v>
      </c>
      <c r="B45" s="318"/>
      <c r="C45" s="315"/>
      <c r="D45" s="315"/>
      <c r="E45" s="64">
        <f t="shared" si="2"/>
        <v>0</v>
      </c>
    </row>
    <row r="46" spans="1:5" s="156" customFormat="1" ht="12.75">
      <c r="A46" s="318" t="s">
        <v>263</v>
      </c>
      <c r="B46" s="318"/>
      <c r="C46" s="315"/>
      <c r="D46" s="315"/>
      <c r="E46" s="64">
        <f t="shared" si="2"/>
        <v>0</v>
      </c>
    </row>
    <row r="47" spans="1:5" s="156" customFormat="1" ht="12.75">
      <c r="A47" s="322" t="s">
        <v>481</v>
      </c>
      <c r="B47" s="318"/>
      <c r="C47" s="315">
        <v>553116</v>
      </c>
      <c r="D47" s="315"/>
      <c r="E47" s="64">
        <f t="shared" si="2"/>
        <v>553116</v>
      </c>
    </row>
    <row r="48" spans="1:5" s="156" customFormat="1" ht="12.75">
      <c r="A48" s="429" t="s">
        <v>442</v>
      </c>
      <c r="B48" s="318"/>
      <c r="C48" s="315"/>
      <c r="D48" s="315"/>
      <c r="E48" s="64">
        <f t="shared" si="2"/>
        <v>0</v>
      </c>
    </row>
    <row r="49" spans="1:5" s="156" customFormat="1" ht="12.75">
      <c r="A49" s="429" t="s">
        <v>442</v>
      </c>
      <c r="B49" s="318"/>
      <c r="C49" s="315"/>
      <c r="D49" s="315"/>
      <c r="E49" s="64">
        <f t="shared" si="2"/>
        <v>0</v>
      </c>
    </row>
    <row r="50" spans="1:5" s="156" customFormat="1" ht="12.75">
      <c r="A50" s="429"/>
      <c r="B50" s="318"/>
      <c r="C50" s="315"/>
      <c r="D50" s="315"/>
      <c r="E50" s="82">
        <f t="shared" si="2"/>
        <v>0</v>
      </c>
    </row>
    <row r="51" spans="1:5" s="156" customFormat="1" ht="12.75">
      <c r="A51" s="1" t="s">
        <v>179</v>
      </c>
      <c r="C51" s="64">
        <f>SUM(C41:C50)</f>
        <v>553116</v>
      </c>
      <c r="D51" s="64">
        <f>SUM(D41:D50)</f>
        <v>0</v>
      </c>
      <c r="E51" s="64">
        <f>SUM(E41:E50)</f>
        <v>553116</v>
      </c>
    </row>
    <row r="52" spans="3:5" s="156" customFormat="1" ht="12.75">
      <c r="C52" s="185"/>
      <c r="D52" s="185"/>
      <c r="E52" s="185"/>
    </row>
    <row r="53" spans="1:5" s="156" customFormat="1" ht="12.75">
      <c r="A53" s="317" t="s">
        <v>265</v>
      </c>
      <c r="B53" s="318"/>
      <c r="C53" s="320"/>
      <c r="D53" s="320"/>
      <c r="E53" s="320"/>
    </row>
    <row r="54" spans="1:5" s="156" customFormat="1" ht="12.75">
      <c r="A54" s="429"/>
      <c r="B54" s="318"/>
      <c r="C54" s="315"/>
      <c r="D54" s="315"/>
      <c r="E54" s="64">
        <f>C54-D54</f>
        <v>0</v>
      </c>
    </row>
    <row r="55" spans="1:5" s="156" customFormat="1" ht="12.75">
      <c r="A55" s="429"/>
      <c r="B55" s="318"/>
      <c r="C55" s="315"/>
      <c r="D55" s="315"/>
      <c r="E55" s="64">
        <f aca="true" t="shared" si="3" ref="E55:E62">C55-D55</f>
        <v>0</v>
      </c>
    </row>
    <row r="56" spans="1:5" s="156" customFormat="1" ht="12.75">
      <c r="A56" s="318" t="s">
        <v>260</v>
      </c>
      <c r="B56" s="318"/>
      <c r="C56" s="315"/>
      <c r="D56" s="315"/>
      <c r="E56" s="64">
        <f t="shared" si="3"/>
        <v>0</v>
      </c>
    </row>
    <row r="57" spans="1:5" s="156" customFormat="1" ht="12.75">
      <c r="A57" s="318" t="s">
        <v>261</v>
      </c>
      <c r="B57" s="318"/>
      <c r="C57" s="315"/>
      <c r="D57" s="315"/>
      <c r="E57" s="64">
        <f t="shared" si="3"/>
        <v>0</v>
      </c>
    </row>
    <row r="58" spans="1:5" s="156" customFormat="1" ht="12.75">
      <c r="A58" s="318" t="s">
        <v>262</v>
      </c>
      <c r="B58" s="318"/>
      <c r="C58" s="315"/>
      <c r="D58" s="315"/>
      <c r="E58" s="64">
        <f t="shared" si="3"/>
        <v>0</v>
      </c>
    </row>
    <row r="59" spans="1:5" s="156" customFormat="1" ht="12.75">
      <c r="A59" s="318" t="s">
        <v>263</v>
      </c>
      <c r="B59" s="318"/>
      <c r="C59" s="315"/>
      <c r="D59" s="315"/>
      <c r="E59" s="64">
        <f t="shared" si="3"/>
        <v>0</v>
      </c>
    </row>
    <row r="60" spans="1:5" s="156" customFormat="1" ht="12.75">
      <c r="A60" s="431" t="s">
        <v>481</v>
      </c>
      <c r="B60" s="318"/>
      <c r="C60" s="315">
        <v>618453</v>
      </c>
      <c r="D60" s="315"/>
      <c r="E60" s="64">
        <f t="shared" si="3"/>
        <v>618453</v>
      </c>
    </row>
    <row r="61" spans="1:5" s="156" customFormat="1" ht="12.75">
      <c r="A61" s="431"/>
      <c r="B61" s="318"/>
      <c r="C61" s="315"/>
      <c r="D61" s="315"/>
      <c r="E61" s="64">
        <f t="shared" si="3"/>
        <v>0</v>
      </c>
    </row>
    <row r="62" spans="1:5" s="156" customFormat="1" ht="13.5" thickBot="1">
      <c r="A62" s="430"/>
      <c r="B62" s="318"/>
      <c r="C62" s="315"/>
      <c r="D62" s="315"/>
      <c r="E62" s="64">
        <f t="shared" si="3"/>
        <v>0</v>
      </c>
    </row>
    <row r="63" spans="1:5" s="156" customFormat="1" ht="12.75">
      <c r="A63" s="321" t="s">
        <v>131</v>
      </c>
      <c r="C63" s="185"/>
      <c r="D63" s="185"/>
      <c r="E63" s="82"/>
    </row>
    <row r="64" spans="1:5" s="156" customFormat="1" ht="12.75">
      <c r="A64" s="1" t="s">
        <v>179</v>
      </c>
      <c r="C64" s="64">
        <f>SUM(C54:C62)</f>
        <v>618453</v>
      </c>
      <c r="D64" s="64">
        <f>SUM(D54:D62)</f>
        <v>0</v>
      </c>
      <c r="E64" s="64">
        <f>SUM(E54:E62)</f>
        <v>618453</v>
      </c>
    </row>
    <row r="65" s="156" customFormat="1" ht="12.75"/>
    <row r="66" s="156" customFormat="1" ht="12.75"/>
    <row r="67" s="156" customFormat="1" ht="12.75"/>
    <row r="68" s="156" customFormat="1" ht="12.75"/>
    <row r="69" s="156" customFormat="1" ht="12.75"/>
    <row r="70" s="156" customFormat="1" ht="12.75"/>
    <row r="71" s="156" customFormat="1" ht="12.75"/>
    <row r="72" s="156" customFormat="1" ht="12.75"/>
    <row r="73" s="156" customFormat="1" ht="12.75"/>
    <row r="74" s="156" customFormat="1" ht="12.75"/>
    <row r="75" s="156" customFormat="1" ht="12.75"/>
    <row r="76" s="156" customFormat="1" ht="12.75"/>
    <row r="77" s="156" customFormat="1" ht="12.75"/>
    <row r="78" s="156" customFormat="1" ht="12.75"/>
    <row r="79" s="156" customFormat="1" ht="12.75"/>
    <row r="80" s="156" customFormat="1" ht="12.75"/>
    <row r="81" s="156" customFormat="1" ht="12.75"/>
    <row r="82" s="156" customFormat="1" ht="12.75"/>
    <row r="83" s="156" customFormat="1" ht="12.75"/>
    <row r="84" s="156" customFormat="1" ht="12.75"/>
    <row r="85" s="156" customFormat="1" ht="12.75"/>
    <row r="86" s="156" customFormat="1" ht="12.75"/>
    <row r="87" s="156" customFormat="1" ht="12.75"/>
    <row r="88" s="156" customFormat="1" ht="12.75"/>
    <row r="89" s="156" customFormat="1" ht="12.75"/>
    <row r="90" s="156" customFormat="1" ht="12.75"/>
    <row r="91" s="156" customFormat="1" ht="12.75"/>
    <row r="92" s="156" customFormat="1" ht="12.75"/>
    <row r="93" s="156" customFormat="1" ht="12.75"/>
    <row r="94" s="156" customFormat="1" ht="12.75"/>
    <row r="95" s="156" customFormat="1" ht="12.75"/>
    <row r="96" s="156" customFormat="1" ht="12.75"/>
    <row r="97" s="156" customFormat="1" ht="12.75"/>
    <row r="98" s="156" customFormat="1" ht="12.75"/>
    <row r="99" s="156" customFormat="1" ht="12.75"/>
    <row r="100" s="156" customFormat="1" ht="12.75"/>
    <row r="101" s="156" customFormat="1" ht="12.75"/>
    <row r="102" s="156" customFormat="1" ht="12.75"/>
    <row r="103" s="156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3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42"/>
  <sheetViews>
    <sheetView showGridLines="0" zoomScalePageLayoutView="0" workbookViewId="0" topLeftCell="A61">
      <selection activeCell="C80" sqref="C80"/>
    </sheetView>
  </sheetViews>
  <sheetFormatPr defaultColWidth="0" defaultRowHeight="12.75" zeroHeight="1"/>
  <cols>
    <col min="1" max="1" width="62.8515625" style="191" bestFit="1" customWidth="1"/>
    <col min="2" max="2" width="5.00390625" style="191" bestFit="1" customWidth="1"/>
    <col min="3" max="3" width="9.140625" style="191" bestFit="1" customWidth="1"/>
    <col min="4" max="4" width="11.140625" style="191" bestFit="1" customWidth="1"/>
    <col min="5" max="5" width="14.140625" style="191" bestFit="1" customWidth="1"/>
    <col min="6" max="6" width="15.7109375" style="191" customWidth="1"/>
    <col min="7" max="16384" width="0" style="191" hidden="1" customWidth="1"/>
  </cols>
  <sheetData>
    <row r="1" spans="1:5" ht="12.75">
      <c r="A1" s="156"/>
      <c r="B1" s="156"/>
      <c r="C1" s="156"/>
      <c r="D1" s="156"/>
      <c r="E1" s="316"/>
    </row>
    <row r="2" spans="1:6" s="156" customFormat="1" ht="12.75">
      <c r="A2" s="155" t="str">
        <f>REGINFO!A1</f>
        <v>PILs TAXES - EB-2008-381</v>
      </c>
      <c r="B2" s="157" t="s">
        <v>42</v>
      </c>
      <c r="C2" s="157" t="s">
        <v>23</v>
      </c>
      <c r="D2" s="157" t="s">
        <v>0</v>
      </c>
      <c r="E2" s="158" t="s">
        <v>1</v>
      </c>
      <c r="F2" s="157"/>
    </row>
    <row r="3" spans="1:6" s="156" customFormat="1" ht="12.75">
      <c r="A3" s="1" t="s">
        <v>461</v>
      </c>
      <c r="B3" s="157"/>
      <c r="C3" s="157" t="s">
        <v>46</v>
      </c>
      <c r="D3" s="157" t="s">
        <v>38</v>
      </c>
      <c r="E3" s="158" t="s">
        <v>3</v>
      </c>
      <c r="F3" s="157"/>
    </row>
    <row r="4" spans="1:6" s="156" customFormat="1" ht="12.75">
      <c r="A4" s="274" t="s">
        <v>39</v>
      </c>
      <c r="B4" s="157"/>
      <c r="C4" s="157" t="s">
        <v>3</v>
      </c>
      <c r="D4" s="157"/>
      <c r="E4" s="158" t="s">
        <v>2</v>
      </c>
      <c r="F4" s="157"/>
    </row>
    <row r="5" spans="1:6" s="156" customFormat="1" ht="12.75">
      <c r="A5" s="302" t="s">
        <v>460</v>
      </c>
      <c r="B5" s="157"/>
      <c r="C5" s="157" t="s">
        <v>2</v>
      </c>
      <c r="D5" s="157"/>
      <c r="E5" s="157"/>
      <c r="F5" s="157"/>
    </row>
    <row r="6" spans="1:6" s="156" customFormat="1" ht="12.75">
      <c r="A6" s="302" t="s">
        <v>439</v>
      </c>
      <c r="B6" s="157"/>
      <c r="C6" s="157"/>
      <c r="D6" s="157"/>
      <c r="E6" s="158" t="str">
        <f>REGINFO!E1</f>
        <v>Version 2009.1</v>
      </c>
      <c r="F6" s="157"/>
    </row>
    <row r="7" s="156" customFormat="1" ht="12.75">
      <c r="F7" s="169"/>
    </row>
    <row r="8" spans="1:6" s="156" customFormat="1" ht="12.75">
      <c r="A8" s="179" t="str">
        <f>REGINFO!A3</f>
        <v>Utility Name: PowerStream Inc. - Richmond Hill</v>
      </c>
      <c r="B8" s="169"/>
      <c r="C8" s="2"/>
      <c r="D8" s="2"/>
      <c r="E8" s="2"/>
      <c r="F8" s="169"/>
    </row>
    <row r="9" spans="1:6" s="156" customFormat="1" ht="12.75">
      <c r="A9" s="179" t="str">
        <f>REGINFO!A4</f>
        <v>Reporting period:  2004</v>
      </c>
      <c r="B9" s="169"/>
      <c r="C9" s="2"/>
      <c r="D9" s="2"/>
      <c r="E9" s="2"/>
      <c r="F9" s="169"/>
    </row>
    <row r="10" spans="1:6" s="156" customFormat="1" ht="12.75">
      <c r="A10" s="1" t="s">
        <v>121</v>
      </c>
      <c r="B10" s="169"/>
      <c r="C10" s="74">
        <f>TAXREC!C11</f>
        <v>152</v>
      </c>
      <c r="D10" s="2"/>
      <c r="E10" s="2"/>
      <c r="F10" s="169"/>
    </row>
    <row r="11" spans="1:6" s="156" customFormat="1" ht="12.75">
      <c r="A11" s="1" t="s">
        <v>118</v>
      </c>
      <c r="B11" s="169"/>
      <c r="C11" s="75">
        <f>TAXREC!C13</f>
        <v>117398.57625</v>
      </c>
      <c r="D11" s="2"/>
      <c r="E11" s="2"/>
      <c r="F11" s="169"/>
    </row>
    <row r="12" spans="1:6" s="156" customFormat="1" ht="13.5" thickBot="1">
      <c r="A12" s="167"/>
      <c r="B12" s="169"/>
      <c r="C12" s="2"/>
      <c r="D12" s="2"/>
      <c r="E12" s="280"/>
      <c r="F12" s="157"/>
    </row>
    <row r="13" spans="1:6" s="156" customFormat="1" ht="13.5" thickTop="1">
      <c r="A13" s="164"/>
      <c r="B13" s="166"/>
      <c r="C13" s="276"/>
      <c r="D13" s="276"/>
      <c r="E13" s="276"/>
      <c r="F13" s="157"/>
    </row>
    <row r="14" spans="1:6" s="156" customFormat="1" ht="12.75">
      <c r="A14" s="167"/>
      <c r="B14" s="169"/>
      <c r="C14" s="2"/>
      <c r="D14" s="2"/>
      <c r="E14" s="280"/>
      <c r="F14" s="157"/>
    </row>
    <row r="15" spans="1:6" s="156" customFormat="1" ht="12.75">
      <c r="A15" s="168" t="s">
        <v>176</v>
      </c>
      <c r="B15" s="169"/>
      <c r="C15" s="2"/>
      <c r="D15" s="2"/>
      <c r="E15" s="280"/>
      <c r="F15" s="157"/>
    </row>
    <row r="16" s="156" customFormat="1" ht="12.75">
      <c r="A16" s="1" t="s">
        <v>122</v>
      </c>
    </row>
    <row r="17" spans="1:5" s="156" customFormat="1" ht="12.75">
      <c r="A17" s="323"/>
      <c r="B17" s="156" t="s">
        <v>186</v>
      </c>
      <c r="C17" s="326"/>
      <c r="D17" s="326"/>
      <c r="E17" s="103">
        <f>C17-D17</f>
        <v>0</v>
      </c>
    </row>
    <row r="18" spans="1:5" s="156" customFormat="1" ht="12.75">
      <c r="A18" s="323" t="s">
        <v>246</v>
      </c>
      <c r="B18" s="156" t="s">
        <v>186</v>
      </c>
      <c r="C18" s="326"/>
      <c r="D18" s="326"/>
      <c r="E18" s="103">
        <f aca="true" t="shared" si="0" ref="E18:E45">C18-D18</f>
        <v>0</v>
      </c>
    </row>
    <row r="19" spans="1:5" s="156" customFormat="1" ht="12.75">
      <c r="A19" s="323" t="s">
        <v>134</v>
      </c>
      <c r="B19" s="156" t="s">
        <v>186</v>
      </c>
      <c r="C19" s="326"/>
      <c r="D19" s="326"/>
      <c r="E19" s="103">
        <f t="shared" si="0"/>
        <v>0</v>
      </c>
    </row>
    <row r="20" spans="1:5" s="156" customFormat="1" ht="12.75">
      <c r="A20" s="323" t="s">
        <v>443</v>
      </c>
      <c r="B20" s="156" t="s">
        <v>186</v>
      </c>
      <c r="C20" s="326"/>
      <c r="D20" s="326"/>
      <c r="E20" s="103">
        <f t="shared" si="0"/>
        <v>0</v>
      </c>
    </row>
    <row r="21" spans="1:5" s="156" customFormat="1" ht="12.75">
      <c r="A21" s="323" t="s">
        <v>8</v>
      </c>
      <c r="B21" s="156" t="s">
        <v>186</v>
      </c>
      <c r="C21" s="326"/>
      <c r="D21" s="326"/>
      <c r="E21" s="103">
        <f t="shared" si="0"/>
        <v>0</v>
      </c>
    </row>
    <row r="22" spans="1:5" s="156" customFormat="1" ht="12.75">
      <c r="A22" s="432"/>
      <c r="B22" s="156" t="s">
        <v>186</v>
      </c>
      <c r="C22" s="326"/>
      <c r="D22" s="326"/>
      <c r="E22" s="103">
        <f t="shared" si="0"/>
        <v>0</v>
      </c>
    </row>
    <row r="23" spans="1:5" s="156" customFormat="1" ht="12.75">
      <c r="A23" s="323" t="s">
        <v>136</v>
      </c>
      <c r="B23" s="156" t="s">
        <v>186</v>
      </c>
      <c r="C23" s="326"/>
      <c r="D23" s="326"/>
      <c r="E23" s="103">
        <f t="shared" si="0"/>
        <v>0</v>
      </c>
    </row>
    <row r="24" spans="1:5" s="156" customFormat="1" ht="12.75">
      <c r="A24" s="323" t="s">
        <v>137</v>
      </c>
      <c r="B24" s="156" t="s">
        <v>186</v>
      </c>
      <c r="C24" s="326"/>
      <c r="D24" s="326"/>
      <c r="E24" s="103">
        <f t="shared" si="0"/>
        <v>0</v>
      </c>
    </row>
    <row r="25" spans="1:5" s="156" customFormat="1" ht="12.75">
      <c r="A25" s="323" t="s">
        <v>9</v>
      </c>
      <c r="B25" s="156" t="s">
        <v>186</v>
      </c>
      <c r="C25" s="326"/>
      <c r="D25" s="326"/>
      <c r="E25" s="103">
        <f t="shared" si="0"/>
        <v>0</v>
      </c>
    </row>
    <row r="26" spans="1:5" s="156" customFormat="1" ht="12.75">
      <c r="A26" s="323" t="s">
        <v>190</v>
      </c>
      <c r="B26" s="156" t="s">
        <v>186</v>
      </c>
      <c r="C26" s="326"/>
      <c r="D26" s="326"/>
      <c r="E26" s="103">
        <f t="shared" si="0"/>
        <v>0</v>
      </c>
    </row>
    <row r="27" spans="1:5" s="156" customFormat="1" ht="12.75">
      <c r="A27" s="323" t="s">
        <v>7</v>
      </c>
      <c r="B27" s="156" t="s">
        <v>186</v>
      </c>
      <c r="C27" s="326"/>
      <c r="D27" s="326"/>
      <c r="E27" s="103">
        <f t="shared" si="0"/>
        <v>0</v>
      </c>
    </row>
    <row r="28" spans="1:5" s="156" customFormat="1" ht="12.75">
      <c r="A28" s="323" t="s">
        <v>123</v>
      </c>
      <c r="B28" s="156" t="s">
        <v>186</v>
      </c>
      <c r="C28" s="326"/>
      <c r="D28" s="326"/>
      <c r="E28" s="103">
        <f t="shared" si="0"/>
        <v>0</v>
      </c>
    </row>
    <row r="29" spans="1:5" s="156" customFormat="1" ht="12.75">
      <c r="A29" s="323" t="s">
        <v>138</v>
      </c>
      <c r="B29" s="156" t="s">
        <v>186</v>
      </c>
      <c r="C29" s="326"/>
      <c r="D29" s="326"/>
      <c r="E29" s="103">
        <f t="shared" si="0"/>
        <v>0</v>
      </c>
    </row>
    <row r="30" spans="1:5" s="156" customFormat="1" ht="12.75">
      <c r="A30" s="323" t="s">
        <v>139</v>
      </c>
      <c r="B30" s="156" t="s">
        <v>186</v>
      </c>
      <c r="C30" s="326"/>
      <c r="D30" s="326"/>
      <c r="E30" s="103">
        <f t="shared" si="0"/>
        <v>0</v>
      </c>
    </row>
    <row r="31" spans="1:5" s="156" customFormat="1" ht="12.75">
      <c r="A31" s="323" t="s">
        <v>247</v>
      </c>
      <c r="B31" s="156" t="s">
        <v>186</v>
      </c>
      <c r="C31" s="326"/>
      <c r="D31" s="326"/>
      <c r="E31" s="103">
        <f t="shared" si="0"/>
        <v>0</v>
      </c>
    </row>
    <row r="32" spans="1:5" s="156" customFormat="1" ht="12.75">
      <c r="A32" s="323" t="s">
        <v>140</v>
      </c>
      <c r="B32" s="156" t="s">
        <v>186</v>
      </c>
      <c r="C32" s="326"/>
      <c r="D32" s="326"/>
      <c r="E32" s="103">
        <f t="shared" si="0"/>
        <v>0</v>
      </c>
    </row>
    <row r="33" spans="1:5" s="156" customFormat="1" ht="12.75">
      <c r="A33" s="323" t="s">
        <v>141</v>
      </c>
      <c r="B33" s="156" t="s">
        <v>186</v>
      </c>
      <c r="C33" s="326"/>
      <c r="D33" s="326"/>
      <c r="E33" s="103">
        <f t="shared" si="0"/>
        <v>0</v>
      </c>
    </row>
    <row r="34" spans="1:5" s="156" customFormat="1" ht="12.75">
      <c r="A34" s="323" t="s">
        <v>142</v>
      </c>
      <c r="B34" s="156" t="s">
        <v>186</v>
      </c>
      <c r="C34" s="326"/>
      <c r="D34" s="326"/>
      <c r="E34" s="103">
        <f t="shared" si="0"/>
        <v>0</v>
      </c>
    </row>
    <row r="35" spans="1:5" s="156" customFormat="1" ht="12.75">
      <c r="A35" s="323" t="s">
        <v>192</v>
      </c>
      <c r="B35" s="156" t="s">
        <v>186</v>
      </c>
      <c r="C35" s="326"/>
      <c r="D35" s="326"/>
      <c r="E35" s="103">
        <f t="shared" si="0"/>
        <v>0</v>
      </c>
    </row>
    <row r="36" spans="1:5" s="156" customFormat="1" ht="12.75">
      <c r="A36" s="323" t="s">
        <v>472</v>
      </c>
      <c r="B36" s="156" t="s">
        <v>186</v>
      </c>
      <c r="C36" s="326"/>
      <c r="D36" s="326"/>
      <c r="E36" s="103">
        <f t="shared" si="0"/>
        <v>0</v>
      </c>
    </row>
    <row r="37" spans="1:5" s="156" customFormat="1" ht="12.75">
      <c r="A37" s="432" t="s">
        <v>660</v>
      </c>
      <c r="B37" s="156" t="s">
        <v>186</v>
      </c>
      <c r="C37" s="326">
        <v>1756907</v>
      </c>
      <c r="D37" s="326"/>
      <c r="E37" s="103">
        <f t="shared" si="0"/>
        <v>1756907</v>
      </c>
    </row>
    <row r="38" spans="1:5" s="156" customFormat="1" ht="12.75">
      <c r="A38" s="433" t="s">
        <v>659</v>
      </c>
      <c r="B38" s="156" t="s">
        <v>186</v>
      </c>
      <c r="C38" s="326">
        <v>108</v>
      </c>
      <c r="D38" s="326"/>
      <c r="E38" s="64">
        <f t="shared" si="0"/>
        <v>108</v>
      </c>
    </row>
    <row r="39" spans="1:5" s="156" customFormat="1" ht="12.75">
      <c r="A39" s="433" t="s">
        <v>683</v>
      </c>
      <c r="B39" s="156" t="s">
        <v>186</v>
      </c>
      <c r="C39" s="326">
        <v>42817</v>
      </c>
      <c r="D39" s="326"/>
      <c r="E39" s="64">
        <f t="shared" si="0"/>
        <v>42817</v>
      </c>
    </row>
    <row r="40" spans="1:5" s="156" customFormat="1" ht="12.75">
      <c r="A40" s="305" t="s">
        <v>203</v>
      </c>
      <c r="B40" s="156" t="s">
        <v>186</v>
      </c>
      <c r="C40" s="326"/>
      <c r="D40" s="326"/>
      <c r="E40" s="64">
        <f t="shared" si="0"/>
        <v>0</v>
      </c>
    </row>
    <row r="41" spans="1:5" s="156" customFormat="1" ht="12.75">
      <c r="A41" s="434"/>
      <c r="B41" s="156" t="s">
        <v>186</v>
      </c>
      <c r="C41" s="326"/>
      <c r="D41" s="326"/>
      <c r="E41" s="64">
        <f t="shared" si="0"/>
        <v>0</v>
      </c>
    </row>
    <row r="42" spans="1:5" s="156" customFormat="1" ht="12.75">
      <c r="A42" s="434"/>
      <c r="B42" s="156" t="s">
        <v>186</v>
      </c>
      <c r="C42" s="326"/>
      <c r="D42" s="326"/>
      <c r="E42" s="64">
        <f t="shared" si="0"/>
        <v>0</v>
      </c>
    </row>
    <row r="43" spans="1:5" s="156" customFormat="1" ht="12.75">
      <c r="A43" s="434"/>
      <c r="B43" s="156" t="s">
        <v>186</v>
      </c>
      <c r="C43" s="326"/>
      <c r="D43" s="326"/>
      <c r="E43" s="64">
        <f t="shared" si="0"/>
        <v>0</v>
      </c>
    </row>
    <row r="44" spans="1:5" s="156" customFormat="1" ht="12.75">
      <c r="A44" s="434"/>
      <c r="B44" s="156" t="s">
        <v>186</v>
      </c>
      <c r="C44" s="326"/>
      <c r="D44" s="326"/>
      <c r="E44" s="64">
        <f t="shared" si="0"/>
        <v>0</v>
      </c>
    </row>
    <row r="45" spans="1:5" s="156" customFormat="1" ht="12.75">
      <c r="A45" s="434"/>
      <c r="B45" s="156" t="s">
        <v>186</v>
      </c>
      <c r="C45" s="326"/>
      <c r="D45" s="326"/>
      <c r="E45" s="82">
        <f t="shared" si="0"/>
        <v>0</v>
      </c>
    </row>
    <row r="46" spans="1:5" s="156" customFormat="1" ht="12.75">
      <c r="A46" s="324" t="s">
        <v>169</v>
      </c>
      <c r="B46" s="156" t="s">
        <v>188</v>
      </c>
      <c r="C46" s="64">
        <f>SUM(C17:C45)</f>
        <v>1799832</v>
      </c>
      <c r="D46" s="64">
        <f>SUM(D17:D45)</f>
        <v>0</v>
      </c>
      <c r="E46" s="64">
        <f>SUM(E17:E45)</f>
        <v>1799832</v>
      </c>
    </row>
    <row r="47" s="156" customFormat="1" ht="12.75">
      <c r="A47" s="323"/>
    </row>
    <row r="48" s="156" customFormat="1" ht="12.75">
      <c r="A48" s="323" t="s">
        <v>171</v>
      </c>
    </row>
    <row r="49" spans="1:5" s="156" customFormat="1" ht="12.75">
      <c r="A49" s="78" t="str">
        <f aca="true" t="shared" si="1" ref="A49:A75">IF($E17&gt;$C$11,A17," ")</f>
        <v> </v>
      </c>
      <c r="B49" s="76"/>
      <c r="C49" s="64">
        <f aca="true" t="shared" si="2" ref="C49:E63">IF($E17&gt;$C$11,C17,)</f>
        <v>0</v>
      </c>
      <c r="D49" s="64">
        <f t="shared" si="2"/>
        <v>0</v>
      </c>
      <c r="E49" s="64">
        <f t="shared" si="2"/>
        <v>0</v>
      </c>
    </row>
    <row r="50" spans="1:5" s="156" customFormat="1" ht="12.75">
      <c r="A50" s="78" t="str">
        <f t="shared" si="1"/>
        <v> </v>
      </c>
      <c r="B50" s="76"/>
      <c r="C50" s="64">
        <f t="shared" si="2"/>
        <v>0</v>
      </c>
      <c r="D50" s="64">
        <f t="shared" si="2"/>
        <v>0</v>
      </c>
      <c r="E50" s="64">
        <f t="shared" si="2"/>
        <v>0</v>
      </c>
    </row>
    <row r="51" spans="1:5" s="156" customFormat="1" ht="12.75">
      <c r="A51" s="78" t="str">
        <f t="shared" si="1"/>
        <v> </v>
      </c>
      <c r="B51" s="76"/>
      <c r="C51" s="64">
        <f t="shared" si="2"/>
        <v>0</v>
      </c>
      <c r="D51" s="64">
        <f t="shared" si="2"/>
        <v>0</v>
      </c>
      <c r="E51" s="64">
        <f t="shared" si="2"/>
        <v>0</v>
      </c>
    </row>
    <row r="52" spans="1:5" s="156" customFormat="1" ht="12.75">
      <c r="A52" s="78" t="str">
        <f t="shared" si="1"/>
        <v> </v>
      </c>
      <c r="B52" s="76"/>
      <c r="C52" s="64">
        <f t="shared" si="2"/>
        <v>0</v>
      </c>
      <c r="D52" s="64">
        <f t="shared" si="2"/>
        <v>0</v>
      </c>
      <c r="E52" s="64">
        <f t="shared" si="2"/>
        <v>0</v>
      </c>
    </row>
    <row r="53" spans="1:5" s="156" customFormat="1" ht="12.75">
      <c r="A53" s="78" t="str">
        <f t="shared" si="1"/>
        <v> </v>
      </c>
      <c r="B53" s="76"/>
      <c r="C53" s="64">
        <f t="shared" si="2"/>
        <v>0</v>
      </c>
      <c r="D53" s="64">
        <f t="shared" si="2"/>
        <v>0</v>
      </c>
      <c r="E53" s="64">
        <f t="shared" si="2"/>
        <v>0</v>
      </c>
    </row>
    <row r="54" spans="1:5" s="156" customFormat="1" ht="12.75">
      <c r="A54" s="78" t="str">
        <f t="shared" si="1"/>
        <v> </v>
      </c>
      <c r="B54" s="76"/>
      <c r="C54" s="64">
        <f t="shared" si="2"/>
        <v>0</v>
      </c>
      <c r="D54" s="64">
        <f t="shared" si="2"/>
        <v>0</v>
      </c>
      <c r="E54" s="64">
        <f t="shared" si="2"/>
        <v>0</v>
      </c>
    </row>
    <row r="55" spans="1:5" s="156" customFormat="1" ht="12.75">
      <c r="A55" s="78" t="str">
        <f t="shared" si="1"/>
        <v> </v>
      </c>
      <c r="B55" s="76"/>
      <c r="C55" s="64">
        <f t="shared" si="2"/>
        <v>0</v>
      </c>
      <c r="D55" s="64">
        <f t="shared" si="2"/>
        <v>0</v>
      </c>
      <c r="E55" s="64">
        <f t="shared" si="2"/>
        <v>0</v>
      </c>
    </row>
    <row r="56" spans="1:5" s="156" customFormat="1" ht="12.75">
      <c r="A56" s="78" t="str">
        <f t="shared" si="1"/>
        <v> </v>
      </c>
      <c r="B56" s="76"/>
      <c r="C56" s="64">
        <f t="shared" si="2"/>
        <v>0</v>
      </c>
      <c r="D56" s="64">
        <f t="shared" si="2"/>
        <v>0</v>
      </c>
      <c r="E56" s="64">
        <f t="shared" si="2"/>
        <v>0</v>
      </c>
    </row>
    <row r="57" spans="1:5" s="156" customFormat="1" ht="12.75">
      <c r="A57" s="78" t="str">
        <f t="shared" si="1"/>
        <v> </v>
      </c>
      <c r="B57" s="76"/>
      <c r="C57" s="64">
        <f t="shared" si="2"/>
        <v>0</v>
      </c>
      <c r="D57" s="64">
        <f t="shared" si="2"/>
        <v>0</v>
      </c>
      <c r="E57" s="64">
        <f t="shared" si="2"/>
        <v>0</v>
      </c>
    </row>
    <row r="58" spans="1:5" s="156" customFormat="1" ht="12.75">
      <c r="A58" s="78" t="str">
        <f t="shared" si="1"/>
        <v> </v>
      </c>
      <c r="B58" s="76"/>
      <c r="C58" s="64">
        <f t="shared" si="2"/>
        <v>0</v>
      </c>
      <c r="D58" s="64">
        <f t="shared" si="2"/>
        <v>0</v>
      </c>
      <c r="E58" s="64">
        <f t="shared" si="2"/>
        <v>0</v>
      </c>
    </row>
    <row r="59" spans="1:5" s="156" customFormat="1" ht="12.75">
      <c r="A59" s="78" t="str">
        <f t="shared" si="1"/>
        <v> </v>
      </c>
      <c r="B59" s="76"/>
      <c r="C59" s="64">
        <f t="shared" si="2"/>
        <v>0</v>
      </c>
      <c r="D59" s="64">
        <f t="shared" si="2"/>
        <v>0</v>
      </c>
      <c r="E59" s="64">
        <f t="shared" si="2"/>
        <v>0</v>
      </c>
    </row>
    <row r="60" spans="1:5" s="156" customFormat="1" ht="12.75">
      <c r="A60" s="78" t="str">
        <f t="shared" si="1"/>
        <v> </v>
      </c>
      <c r="B60" s="76"/>
      <c r="C60" s="64">
        <f t="shared" si="2"/>
        <v>0</v>
      </c>
      <c r="D60" s="64">
        <f t="shared" si="2"/>
        <v>0</v>
      </c>
      <c r="E60" s="64">
        <f t="shared" si="2"/>
        <v>0</v>
      </c>
    </row>
    <row r="61" spans="1:5" s="156" customFormat="1" ht="12.75">
      <c r="A61" s="78" t="str">
        <f t="shared" si="1"/>
        <v> </v>
      </c>
      <c r="B61" s="76"/>
      <c r="C61" s="64">
        <f t="shared" si="2"/>
        <v>0</v>
      </c>
      <c r="D61" s="64">
        <f t="shared" si="2"/>
        <v>0</v>
      </c>
      <c r="E61" s="64">
        <f>IF($E29&gt;$C$11,E29,)</f>
        <v>0</v>
      </c>
    </row>
    <row r="62" spans="1:5" s="156" customFormat="1" ht="12.75">
      <c r="A62" s="78" t="str">
        <f t="shared" si="1"/>
        <v> </v>
      </c>
      <c r="B62" s="76"/>
      <c r="C62" s="64">
        <f t="shared" si="2"/>
        <v>0</v>
      </c>
      <c r="D62" s="64">
        <f t="shared" si="2"/>
        <v>0</v>
      </c>
      <c r="E62" s="64">
        <f>IF($E30&gt;$C$11,E30,)</f>
        <v>0</v>
      </c>
    </row>
    <row r="63" spans="1:5" s="156" customFormat="1" ht="12.75">
      <c r="A63" s="78" t="str">
        <f t="shared" si="1"/>
        <v> </v>
      </c>
      <c r="B63" s="76"/>
      <c r="C63" s="64">
        <f t="shared" si="2"/>
        <v>0</v>
      </c>
      <c r="D63" s="64">
        <f t="shared" si="2"/>
        <v>0</v>
      </c>
      <c r="E63" s="64">
        <f>IF($E31&gt;$C$11,E31,)</f>
        <v>0</v>
      </c>
    </row>
    <row r="64" spans="1:5" s="156" customFormat="1" ht="12.75">
      <c r="A64" s="78" t="str">
        <f t="shared" si="1"/>
        <v> </v>
      </c>
      <c r="B64" s="76"/>
      <c r="C64" s="64">
        <f aca="true" t="shared" si="3" ref="C64:C77">IF($E32&gt;$C$11,C32,)</f>
        <v>0</v>
      </c>
      <c r="D64" s="64">
        <f aca="true" t="shared" si="4" ref="D64:D77">IF($E33&gt;$C$11,D33,)</f>
        <v>0</v>
      </c>
      <c r="E64" s="64">
        <f aca="true" t="shared" si="5" ref="E64:E77">IF($E32&gt;$C$11,E32,)</f>
        <v>0</v>
      </c>
    </row>
    <row r="65" spans="1:5" s="156" customFormat="1" ht="12.75">
      <c r="A65" s="78" t="str">
        <f t="shared" si="1"/>
        <v> </v>
      </c>
      <c r="B65" s="76"/>
      <c r="C65" s="64">
        <f t="shared" si="3"/>
        <v>0</v>
      </c>
      <c r="D65" s="64">
        <f t="shared" si="4"/>
        <v>0</v>
      </c>
      <c r="E65" s="64">
        <f t="shared" si="5"/>
        <v>0</v>
      </c>
    </row>
    <row r="66" spans="1:5" s="156" customFormat="1" ht="12.75">
      <c r="A66" s="78" t="str">
        <f t="shared" si="1"/>
        <v> </v>
      </c>
      <c r="B66" s="76"/>
      <c r="C66" s="64">
        <f t="shared" si="3"/>
        <v>0</v>
      </c>
      <c r="D66" s="64">
        <f t="shared" si="4"/>
        <v>0</v>
      </c>
      <c r="E66" s="64">
        <f t="shared" si="5"/>
        <v>0</v>
      </c>
    </row>
    <row r="67" spans="1:5" s="156" customFormat="1" ht="12.75">
      <c r="A67" s="78" t="str">
        <f t="shared" si="1"/>
        <v> </v>
      </c>
      <c r="B67" s="76"/>
      <c r="C67" s="64">
        <f t="shared" si="3"/>
        <v>0</v>
      </c>
      <c r="D67" s="64">
        <f t="shared" si="4"/>
        <v>0</v>
      </c>
      <c r="E67" s="64">
        <f t="shared" si="5"/>
        <v>0</v>
      </c>
    </row>
    <row r="68" spans="1:5" s="156" customFormat="1" ht="12.75">
      <c r="A68" s="78" t="str">
        <f t="shared" si="1"/>
        <v> </v>
      </c>
      <c r="B68" s="76"/>
      <c r="C68" s="64">
        <f t="shared" si="3"/>
        <v>0</v>
      </c>
      <c r="D68" s="64">
        <f t="shared" si="4"/>
        <v>0</v>
      </c>
      <c r="E68" s="64">
        <f t="shared" si="5"/>
        <v>0</v>
      </c>
    </row>
    <row r="69" spans="1:5" s="156" customFormat="1" ht="12.75">
      <c r="A69" s="78" t="str">
        <f t="shared" si="1"/>
        <v>Funds from Dev</v>
      </c>
      <c r="B69" s="76"/>
      <c r="C69" s="64">
        <f t="shared" si="3"/>
        <v>1756907</v>
      </c>
      <c r="D69" s="64">
        <f t="shared" si="4"/>
        <v>0</v>
      </c>
      <c r="E69" s="64">
        <f t="shared" si="5"/>
        <v>1756907</v>
      </c>
    </row>
    <row r="70" spans="1:5" s="156" customFormat="1" ht="12.75">
      <c r="A70" s="78" t="str">
        <f t="shared" si="1"/>
        <v> </v>
      </c>
      <c r="B70" s="76"/>
      <c r="C70" s="64">
        <f t="shared" si="3"/>
        <v>0</v>
      </c>
      <c r="D70" s="64">
        <f t="shared" si="4"/>
        <v>0</v>
      </c>
      <c r="E70" s="64">
        <f t="shared" si="5"/>
        <v>0</v>
      </c>
    </row>
    <row r="71" spans="1:5" s="156" customFormat="1" ht="12.75">
      <c r="A71" s="78" t="str">
        <f t="shared" si="1"/>
        <v> </v>
      </c>
      <c r="B71" s="76"/>
      <c r="C71" s="64">
        <f t="shared" si="3"/>
        <v>0</v>
      </c>
      <c r="D71" s="64">
        <f t="shared" si="4"/>
        <v>0</v>
      </c>
      <c r="E71" s="64">
        <f t="shared" si="5"/>
        <v>0</v>
      </c>
    </row>
    <row r="72" spans="1:5" s="156" customFormat="1" ht="12.75">
      <c r="A72" s="78" t="str">
        <f t="shared" si="1"/>
        <v> </v>
      </c>
      <c r="B72" s="76"/>
      <c r="C72" s="64">
        <f t="shared" si="3"/>
        <v>0</v>
      </c>
      <c r="D72" s="64">
        <f t="shared" si="4"/>
        <v>0</v>
      </c>
      <c r="E72" s="64">
        <f t="shared" si="5"/>
        <v>0</v>
      </c>
    </row>
    <row r="73" spans="1:5" s="156" customFormat="1" ht="12.75">
      <c r="A73" s="78" t="str">
        <f t="shared" si="1"/>
        <v> </v>
      </c>
      <c r="B73" s="76"/>
      <c r="C73" s="64">
        <f t="shared" si="3"/>
        <v>0</v>
      </c>
      <c r="D73" s="64">
        <f t="shared" si="4"/>
        <v>0</v>
      </c>
      <c r="E73" s="64">
        <f t="shared" si="5"/>
        <v>0</v>
      </c>
    </row>
    <row r="74" spans="1:5" s="156" customFormat="1" ht="12.75">
      <c r="A74" s="78" t="str">
        <f t="shared" si="1"/>
        <v> </v>
      </c>
      <c r="B74" s="76"/>
      <c r="C74" s="64">
        <f t="shared" si="3"/>
        <v>0</v>
      </c>
      <c r="D74" s="64">
        <f t="shared" si="4"/>
        <v>0</v>
      </c>
      <c r="E74" s="64">
        <f t="shared" si="5"/>
        <v>0</v>
      </c>
    </row>
    <row r="75" spans="1:5" s="156" customFormat="1" ht="12.75">
      <c r="A75" s="78" t="str">
        <f t="shared" si="1"/>
        <v> </v>
      </c>
      <c r="B75" s="76"/>
      <c r="C75" s="64">
        <f t="shared" si="3"/>
        <v>0</v>
      </c>
      <c r="D75" s="64">
        <f t="shared" si="4"/>
        <v>0</v>
      </c>
      <c r="E75" s="64">
        <f t="shared" si="5"/>
        <v>0</v>
      </c>
    </row>
    <row r="76" spans="1:5" s="156" customFormat="1" ht="12.75">
      <c r="A76" s="78" t="str">
        <f>IF($E44&gt;$C$11,A44," ")</f>
        <v> </v>
      </c>
      <c r="B76" s="77"/>
      <c r="C76" s="64">
        <f t="shared" si="3"/>
        <v>0</v>
      </c>
      <c r="D76" s="64">
        <f t="shared" si="4"/>
        <v>0</v>
      </c>
      <c r="E76" s="64">
        <f t="shared" si="5"/>
        <v>0</v>
      </c>
    </row>
    <row r="77" spans="1:5" s="156" customFormat="1" ht="12.75">
      <c r="A77" s="78" t="str">
        <f>IF($E45&gt;$C$11,A45," ")</f>
        <v> </v>
      </c>
      <c r="B77" s="77"/>
      <c r="C77" s="64">
        <f t="shared" si="3"/>
        <v>0</v>
      </c>
      <c r="D77" s="64">
        <f t="shared" si="4"/>
        <v>0</v>
      </c>
      <c r="E77" s="64">
        <f t="shared" si="5"/>
        <v>0</v>
      </c>
    </row>
    <row r="78" spans="1:5" s="156" customFormat="1" ht="12.75">
      <c r="A78" s="78"/>
      <c r="B78" s="77"/>
      <c r="C78" s="64"/>
      <c r="D78" s="64"/>
      <c r="E78" s="64"/>
    </row>
    <row r="79" spans="1:5" s="156" customFormat="1" ht="12.75">
      <c r="A79" s="79" t="s">
        <v>143</v>
      </c>
      <c r="B79" s="76"/>
      <c r="C79" s="64">
        <f>SUM(C49:C77)</f>
        <v>1756907</v>
      </c>
      <c r="D79" s="64">
        <f>SUM(D49:D75)</f>
        <v>0</v>
      </c>
      <c r="E79" s="64">
        <f>SUM(E49:E77)</f>
        <v>1756907</v>
      </c>
    </row>
    <row r="80" spans="1:5" s="156" customFormat="1" ht="12.75">
      <c r="A80" s="79" t="s">
        <v>202</v>
      </c>
      <c r="B80" s="80"/>
      <c r="C80" s="104">
        <f>C46-C79</f>
        <v>42925</v>
      </c>
      <c r="D80" s="104">
        <f>D46-D79</f>
        <v>0</v>
      </c>
      <c r="E80" s="104">
        <f>E46-E79</f>
        <v>42925</v>
      </c>
    </row>
    <row r="81" spans="1:5" s="156" customFormat="1" ht="12.75">
      <c r="A81" s="79" t="s">
        <v>169</v>
      </c>
      <c r="B81" s="80"/>
      <c r="C81" s="104">
        <f>C79+C80</f>
        <v>1799832</v>
      </c>
      <c r="D81" s="104">
        <f>D79+D80</f>
        <v>0</v>
      </c>
      <c r="E81" s="104">
        <f>E79+E80</f>
        <v>1799832</v>
      </c>
    </row>
    <row r="82" s="156" customFormat="1" ht="12.75">
      <c r="A82" s="323"/>
    </row>
    <row r="83" s="156" customFormat="1" ht="12.75">
      <c r="A83" s="323" t="s">
        <v>144</v>
      </c>
    </row>
    <row r="84" spans="1:5" s="156" customFormat="1" ht="12.75">
      <c r="A84" s="323" t="s">
        <v>145</v>
      </c>
      <c r="B84" s="157" t="s">
        <v>187</v>
      </c>
      <c r="C84" s="326">
        <v>37224</v>
      </c>
      <c r="D84" s="326"/>
      <c r="E84" s="64">
        <f>C84-D84</f>
        <v>37224</v>
      </c>
    </row>
    <row r="85" spans="1:5" s="156" customFormat="1" ht="12.75">
      <c r="A85" s="325" t="s">
        <v>151</v>
      </c>
      <c r="B85" s="157" t="s">
        <v>187</v>
      </c>
      <c r="C85" s="326"/>
      <c r="D85" s="326"/>
      <c r="E85" s="64">
        <f aca="true" t="shared" si="6" ref="E85:E101">C85-D85</f>
        <v>0</v>
      </c>
    </row>
    <row r="86" spans="1:5" s="156" customFormat="1" ht="12.75">
      <c r="A86" s="325" t="s">
        <v>146</v>
      </c>
      <c r="B86" s="157" t="s">
        <v>187</v>
      </c>
      <c r="C86" s="326"/>
      <c r="D86" s="326"/>
      <c r="E86" s="64">
        <f t="shared" si="6"/>
        <v>0</v>
      </c>
    </row>
    <row r="87" spans="1:5" s="156" customFormat="1" ht="12.75">
      <c r="A87" s="325" t="s">
        <v>248</v>
      </c>
      <c r="B87" s="157" t="s">
        <v>187</v>
      </c>
      <c r="C87" s="326"/>
      <c r="D87" s="326"/>
      <c r="E87" s="64">
        <f t="shared" si="6"/>
        <v>0</v>
      </c>
    </row>
    <row r="88" spans="1:5" s="156" customFormat="1" ht="12.75">
      <c r="A88" s="323" t="s">
        <v>193</v>
      </c>
      <c r="B88" s="157" t="s">
        <v>187</v>
      </c>
      <c r="C88" s="326"/>
      <c r="D88" s="326"/>
      <c r="E88" s="64">
        <f t="shared" si="6"/>
        <v>0</v>
      </c>
    </row>
    <row r="89" spans="1:5" s="156" customFormat="1" ht="12.75">
      <c r="A89" s="323" t="s">
        <v>371</v>
      </c>
      <c r="B89" s="157" t="s">
        <v>187</v>
      </c>
      <c r="C89" s="326"/>
      <c r="D89" s="326"/>
      <c r="E89" s="64">
        <f t="shared" si="6"/>
        <v>0</v>
      </c>
    </row>
    <row r="90" spans="1:5" s="156" customFormat="1" ht="12.75">
      <c r="A90" s="323" t="s">
        <v>194</v>
      </c>
      <c r="B90" s="157" t="s">
        <v>187</v>
      </c>
      <c r="C90" s="326"/>
      <c r="D90" s="326"/>
      <c r="E90" s="64">
        <f t="shared" si="6"/>
        <v>0</v>
      </c>
    </row>
    <row r="91" spans="1:5" s="156" customFormat="1" ht="12.75">
      <c r="A91" s="323" t="s">
        <v>166</v>
      </c>
      <c r="B91" s="157" t="s">
        <v>187</v>
      </c>
      <c r="C91" s="326"/>
      <c r="D91" s="326"/>
      <c r="E91" s="64">
        <f t="shared" si="6"/>
        <v>0</v>
      </c>
    </row>
    <row r="92" spans="1:5" s="156" customFormat="1" ht="12.75">
      <c r="A92" s="323" t="s">
        <v>167</v>
      </c>
      <c r="B92" s="157" t="s">
        <v>187</v>
      </c>
      <c r="C92" s="326"/>
      <c r="D92" s="326"/>
      <c r="E92" s="64">
        <f t="shared" si="6"/>
        <v>0</v>
      </c>
    </row>
    <row r="93" spans="1:5" s="156" customFormat="1" ht="12.75">
      <c r="A93" s="323" t="s">
        <v>168</v>
      </c>
      <c r="B93" s="157" t="s">
        <v>187</v>
      </c>
      <c r="C93" s="326"/>
      <c r="D93" s="326"/>
      <c r="E93" s="64">
        <f t="shared" si="6"/>
        <v>0</v>
      </c>
    </row>
    <row r="94" spans="1:5" s="156" customFormat="1" ht="12.75">
      <c r="A94" s="433" t="s">
        <v>660</v>
      </c>
      <c r="B94" s="157" t="s">
        <v>187</v>
      </c>
      <c r="C94" s="326">
        <v>1756907</v>
      </c>
      <c r="D94" s="326"/>
      <c r="E94" s="64">
        <f t="shared" si="6"/>
        <v>1756907</v>
      </c>
    </row>
    <row r="95" spans="1:5" s="156" customFormat="1" ht="12.75">
      <c r="A95" s="432"/>
      <c r="B95" s="157" t="s">
        <v>187</v>
      </c>
      <c r="C95" s="326"/>
      <c r="D95" s="326"/>
      <c r="E95" s="64">
        <f t="shared" si="6"/>
        <v>0</v>
      </c>
    </row>
    <row r="96" spans="1:5" s="156" customFormat="1" ht="12.75">
      <c r="A96" s="432"/>
      <c r="B96" s="157" t="s">
        <v>187</v>
      </c>
      <c r="C96" s="326"/>
      <c r="D96" s="326"/>
      <c r="E96" s="64">
        <f t="shared" si="6"/>
        <v>0</v>
      </c>
    </row>
    <row r="97" spans="1:5" s="156" customFormat="1" ht="12.75">
      <c r="A97" s="305" t="s">
        <v>204</v>
      </c>
      <c r="B97" s="157" t="s">
        <v>187</v>
      </c>
      <c r="C97" s="326"/>
      <c r="D97" s="326"/>
      <c r="E97" s="64">
        <f t="shared" si="6"/>
        <v>0</v>
      </c>
    </row>
    <row r="98" spans="1:5" s="156" customFormat="1" ht="12.75">
      <c r="A98" s="432"/>
      <c r="B98" s="157" t="s">
        <v>187</v>
      </c>
      <c r="C98" s="326"/>
      <c r="D98" s="326"/>
      <c r="E98" s="64">
        <f t="shared" si="6"/>
        <v>0</v>
      </c>
    </row>
    <row r="99" spans="1:5" s="156" customFormat="1" ht="12.75">
      <c r="A99" s="432"/>
      <c r="B99" s="157" t="s">
        <v>187</v>
      </c>
      <c r="C99" s="326"/>
      <c r="D99" s="326"/>
      <c r="E99" s="64">
        <f t="shared" si="6"/>
        <v>0</v>
      </c>
    </row>
    <row r="100" spans="1:5" s="156" customFormat="1" ht="12.75">
      <c r="A100" s="434"/>
      <c r="B100" s="157"/>
      <c r="C100" s="326"/>
      <c r="D100" s="326"/>
      <c r="E100" s="64">
        <f t="shared" si="6"/>
        <v>0</v>
      </c>
    </row>
    <row r="101" spans="1:5" s="156" customFormat="1" ht="12.75">
      <c r="A101" s="432"/>
      <c r="B101" s="157" t="s">
        <v>187</v>
      </c>
      <c r="C101" s="326"/>
      <c r="D101" s="326"/>
      <c r="E101" s="64">
        <f t="shared" si="6"/>
        <v>0</v>
      </c>
    </row>
    <row r="102" spans="1:5" s="156" customFormat="1" ht="12.75">
      <c r="A102" s="323" t="s">
        <v>170</v>
      </c>
      <c r="B102" s="157" t="s">
        <v>188</v>
      </c>
      <c r="C102" s="64">
        <f>SUM(C84:C101)</f>
        <v>1794131</v>
      </c>
      <c r="D102" s="64">
        <f>SUM(D84:D101)</f>
        <v>0</v>
      </c>
      <c r="E102" s="64">
        <f>SUM(E84:E101)</f>
        <v>1794131</v>
      </c>
    </row>
    <row r="103" s="156" customFormat="1" ht="12.75">
      <c r="A103" s="323"/>
    </row>
    <row r="104" s="156" customFormat="1" ht="12.75">
      <c r="A104" s="323" t="s">
        <v>173</v>
      </c>
    </row>
    <row r="105" spans="1:5" s="156" customFormat="1" ht="12.75">
      <c r="A105" s="78" t="str">
        <f aca="true" t="shared" si="7" ref="A105:A114">IF($E84&gt;$C$11,A84," ")</f>
        <v> </v>
      </c>
      <c r="B105" s="76"/>
      <c r="C105" s="64">
        <f aca="true" t="shared" si="8" ref="C105:E120">IF($E84&gt;$C$11,C84,)</f>
        <v>0</v>
      </c>
      <c r="D105" s="64">
        <f t="shared" si="8"/>
        <v>0</v>
      </c>
      <c r="E105" s="64">
        <f t="shared" si="8"/>
        <v>0</v>
      </c>
    </row>
    <row r="106" spans="1:5" s="156" customFormat="1" ht="12.75">
      <c r="A106" s="78" t="str">
        <f t="shared" si="7"/>
        <v> </v>
      </c>
      <c r="B106" s="76"/>
      <c r="C106" s="64">
        <f t="shared" si="8"/>
        <v>0</v>
      </c>
      <c r="D106" s="64">
        <f t="shared" si="8"/>
        <v>0</v>
      </c>
      <c r="E106" s="64">
        <f t="shared" si="8"/>
        <v>0</v>
      </c>
    </row>
    <row r="107" spans="1:5" s="156" customFormat="1" ht="12.75">
      <c r="A107" s="78" t="str">
        <f t="shared" si="7"/>
        <v> </v>
      </c>
      <c r="B107" s="76"/>
      <c r="C107" s="64">
        <f t="shared" si="8"/>
        <v>0</v>
      </c>
      <c r="D107" s="64">
        <f t="shared" si="8"/>
        <v>0</v>
      </c>
      <c r="E107" s="64">
        <f t="shared" si="8"/>
        <v>0</v>
      </c>
    </row>
    <row r="108" spans="1:5" s="156" customFormat="1" ht="12.75">
      <c r="A108" s="78" t="str">
        <f t="shared" si="7"/>
        <v> </v>
      </c>
      <c r="B108" s="76"/>
      <c r="C108" s="64">
        <f t="shared" si="8"/>
        <v>0</v>
      </c>
      <c r="D108" s="64">
        <f t="shared" si="8"/>
        <v>0</v>
      </c>
      <c r="E108" s="64">
        <f t="shared" si="8"/>
        <v>0</v>
      </c>
    </row>
    <row r="109" spans="1:5" s="156" customFormat="1" ht="12.75">
      <c r="A109" s="78" t="str">
        <f t="shared" si="7"/>
        <v> </v>
      </c>
      <c r="B109" s="76"/>
      <c r="C109" s="64">
        <f t="shared" si="8"/>
        <v>0</v>
      </c>
      <c r="D109" s="64">
        <f t="shared" si="8"/>
        <v>0</v>
      </c>
      <c r="E109" s="64">
        <f t="shared" si="8"/>
        <v>0</v>
      </c>
    </row>
    <row r="110" spans="1:5" s="156" customFormat="1" ht="12.75">
      <c r="A110" s="78" t="str">
        <f t="shared" si="7"/>
        <v> </v>
      </c>
      <c r="B110" s="76"/>
      <c r="C110" s="64">
        <f t="shared" si="8"/>
        <v>0</v>
      </c>
      <c r="D110" s="64">
        <f t="shared" si="8"/>
        <v>0</v>
      </c>
      <c r="E110" s="64">
        <f t="shared" si="8"/>
        <v>0</v>
      </c>
    </row>
    <row r="111" spans="1:5" s="156" customFormat="1" ht="12.75">
      <c r="A111" s="78" t="str">
        <f t="shared" si="7"/>
        <v> </v>
      </c>
      <c r="B111" s="76"/>
      <c r="C111" s="64">
        <f t="shared" si="8"/>
        <v>0</v>
      </c>
      <c r="D111" s="64">
        <f t="shared" si="8"/>
        <v>0</v>
      </c>
      <c r="E111" s="64">
        <f t="shared" si="8"/>
        <v>0</v>
      </c>
    </row>
    <row r="112" spans="1:5" s="156" customFormat="1" ht="12.75">
      <c r="A112" s="78" t="str">
        <f t="shared" si="7"/>
        <v> </v>
      </c>
      <c r="B112" s="76"/>
      <c r="C112" s="64">
        <f t="shared" si="8"/>
        <v>0</v>
      </c>
      <c r="D112" s="64">
        <f t="shared" si="8"/>
        <v>0</v>
      </c>
      <c r="E112" s="64">
        <f t="shared" si="8"/>
        <v>0</v>
      </c>
    </row>
    <row r="113" spans="1:5" s="156" customFormat="1" ht="12.75">
      <c r="A113" s="78" t="str">
        <f t="shared" si="7"/>
        <v> </v>
      </c>
      <c r="B113" s="76"/>
      <c r="C113" s="64">
        <f t="shared" si="8"/>
        <v>0</v>
      </c>
      <c r="D113" s="64">
        <f t="shared" si="8"/>
        <v>0</v>
      </c>
      <c r="E113" s="64">
        <f t="shared" si="8"/>
        <v>0</v>
      </c>
    </row>
    <row r="114" spans="1:5" s="156" customFormat="1" ht="12.75">
      <c r="A114" s="78" t="str">
        <f t="shared" si="7"/>
        <v> </v>
      </c>
      <c r="B114" s="76"/>
      <c r="C114" s="64">
        <f t="shared" si="8"/>
        <v>0</v>
      </c>
      <c r="D114" s="64">
        <f t="shared" si="8"/>
        <v>0</v>
      </c>
      <c r="E114" s="64">
        <f t="shared" si="8"/>
        <v>0</v>
      </c>
    </row>
    <row r="115" spans="1:5" s="156" customFormat="1" ht="12.75">
      <c r="A115" s="78" t="str">
        <f>IF($E94&gt;$C$11,A97," ")</f>
        <v>Other deductions: (Please explain in detail the nature of the item)</v>
      </c>
      <c r="B115" s="76"/>
      <c r="C115" s="64">
        <f t="shared" si="8"/>
        <v>1756907</v>
      </c>
      <c r="D115" s="64">
        <f t="shared" si="8"/>
        <v>0</v>
      </c>
      <c r="E115" s="64">
        <f t="shared" si="8"/>
        <v>1756907</v>
      </c>
    </row>
    <row r="116" spans="1:5" s="156" customFormat="1" ht="12.75">
      <c r="A116" s="78" t="str">
        <f>IF($E95&gt;$C$11,#REF!," ")</f>
        <v> </v>
      </c>
      <c r="B116" s="76"/>
      <c r="C116" s="64">
        <f t="shared" si="8"/>
        <v>0</v>
      </c>
      <c r="D116" s="64">
        <f t="shared" si="8"/>
        <v>0</v>
      </c>
      <c r="E116" s="64">
        <f t="shared" si="8"/>
        <v>0</v>
      </c>
    </row>
    <row r="117" spans="1:5" s="156" customFormat="1" ht="12.75">
      <c r="A117" s="78" t="str">
        <f>IF($E96&gt;$C$11,A96," ")</f>
        <v> </v>
      </c>
      <c r="B117" s="76"/>
      <c r="C117" s="64">
        <f t="shared" si="8"/>
        <v>0</v>
      </c>
      <c r="D117" s="64">
        <f t="shared" si="8"/>
        <v>0</v>
      </c>
      <c r="E117" s="64">
        <f t="shared" si="8"/>
        <v>0</v>
      </c>
    </row>
    <row r="118" spans="1:5" s="156" customFormat="1" ht="12.75">
      <c r="A118" s="78" t="str">
        <f>IF($E97&gt;$C$11,A95," ")</f>
        <v> </v>
      </c>
      <c r="B118" s="76"/>
      <c r="C118" s="64">
        <f t="shared" si="8"/>
        <v>0</v>
      </c>
      <c r="D118" s="64">
        <f t="shared" si="8"/>
        <v>0</v>
      </c>
      <c r="E118" s="64">
        <f t="shared" si="8"/>
        <v>0</v>
      </c>
    </row>
    <row r="119" spans="1:5" s="156" customFormat="1" ht="12.75">
      <c r="A119" s="78" t="str">
        <f>IF($E98&gt;$C$11,A98," ")</f>
        <v> </v>
      </c>
      <c r="B119" s="76"/>
      <c r="C119" s="64">
        <f t="shared" si="8"/>
        <v>0</v>
      </c>
      <c r="D119" s="64">
        <f t="shared" si="8"/>
        <v>0</v>
      </c>
      <c r="E119" s="64">
        <f t="shared" si="8"/>
        <v>0</v>
      </c>
    </row>
    <row r="120" spans="1:5" s="156" customFormat="1" ht="12.75">
      <c r="A120" s="78" t="str">
        <f>IF($E99&gt;$C$11,A99," ")</f>
        <v> </v>
      </c>
      <c r="B120" s="76"/>
      <c r="C120" s="64">
        <f t="shared" si="8"/>
        <v>0</v>
      </c>
      <c r="D120" s="64">
        <f t="shared" si="8"/>
        <v>0</v>
      </c>
      <c r="E120" s="64">
        <f t="shared" si="8"/>
        <v>0</v>
      </c>
    </row>
    <row r="121" spans="1:5" s="156" customFormat="1" ht="12.75">
      <c r="A121" s="78" t="str">
        <f>IF($E101&gt;$C$11,A101," ")</f>
        <v> </v>
      </c>
      <c r="B121" s="76"/>
      <c r="C121" s="64">
        <f>IF($E101&gt;$C$11,C101,)</f>
        <v>0</v>
      </c>
      <c r="D121" s="64">
        <f>IF($E101&gt;$C$11,D101,)</f>
        <v>0</v>
      </c>
      <c r="E121" s="64">
        <f>IF($E101&gt;$C$11,E101,)</f>
        <v>0</v>
      </c>
    </row>
    <row r="122" spans="1:5" s="156" customFormat="1" ht="12.75">
      <c r="A122" s="81" t="s">
        <v>201</v>
      </c>
      <c r="B122" s="76"/>
      <c r="C122" s="64">
        <f>SUM(C105:C121)</f>
        <v>1756907</v>
      </c>
      <c r="D122" s="64">
        <f>SUM(D105:D121)</f>
        <v>0</v>
      </c>
      <c r="E122" s="64">
        <f>SUM(E105:E121)</f>
        <v>1756907</v>
      </c>
    </row>
    <row r="123" spans="1:5" s="156" customFormat="1" ht="12.75">
      <c r="A123" s="81" t="s">
        <v>200</v>
      </c>
      <c r="B123" s="76"/>
      <c r="C123" s="64">
        <f>C102-C122</f>
        <v>37224</v>
      </c>
      <c r="D123" s="64">
        <f>D102-D122</f>
        <v>0</v>
      </c>
      <c r="E123" s="64">
        <f>E102-E122</f>
        <v>37224</v>
      </c>
    </row>
    <row r="124" spans="1:5" s="156" customFormat="1" ht="12.75">
      <c r="A124" s="81" t="s">
        <v>170</v>
      </c>
      <c r="B124" s="76"/>
      <c r="C124" s="64">
        <f>C122+C123</f>
        <v>1794131</v>
      </c>
      <c r="D124" s="64">
        <f>D122+D123</f>
        <v>0</v>
      </c>
      <c r="E124" s="64">
        <f>E122+E123</f>
        <v>1794131</v>
      </c>
    </row>
    <row r="125" s="156" customFormat="1" ht="12.75">
      <c r="A125" s="274"/>
    </row>
    <row r="126" s="156" customFormat="1" ht="12.75">
      <c r="A126" s="274"/>
    </row>
    <row r="127" s="156" customFormat="1" ht="12.75">
      <c r="A127" s="274"/>
    </row>
    <row r="128" s="156" customFormat="1" ht="12.75">
      <c r="A128" s="274"/>
    </row>
    <row r="129" s="156" customFormat="1" ht="12.75">
      <c r="A129" s="274"/>
    </row>
    <row r="130" s="156" customFormat="1" ht="12.75">
      <c r="A130" s="274"/>
    </row>
    <row r="131" s="156" customFormat="1" ht="12.75">
      <c r="A131" s="274"/>
    </row>
    <row r="132" s="156" customFormat="1" ht="12.75">
      <c r="A132" s="274"/>
    </row>
    <row r="133" s="156" customFormat="1" ht="12.75">
      <c r="A133" s="274"/>
    </row>
    <row r="134" s="156" customFormat="1" ht="12.75">
      <c r="A134" s="274"/>
    </row>
    <row r="135" s="156" customFormat="1" ht="12.75">
      <c r="A135" s="274"/>
    </row>
    <row r="136" s="156" customFormat="1" ht="12.75">
      <c r="A136" s="274"/>
    </row>
    <row r="137" s="156" customFormat="1" ht="12.75">
      <c r="A137" s="274"/>
    </row>
    <row r="138" s="156" customFormat="1" ht="12.75">
      <c r="A138" s="274"/>
    </row>
    <row r="139" s="156" customFormat="1" ht="12.75">
      <c r="A139" s="274"/>
    </row>
    <row r="140" s="156" customFormat="1" ht="12.75">
      <c r="A140" s="274"/>
    </row>
    <row r="141" s="156" customFormat="1" ht="12.75">
      <c r="A141" s="274"/>
    </row>
    <row r="142" s="156" customFormat="1" ht="12.75">
      <c r="A142" s="274"/>
    </row>
    <row r="143" s="156" customFormat="1" ht="12.75"/>
    <row r="144" s="156" customFormat="1" ht="12.75"/>
    <row r="145" s="156" customFormat="1" ht="12.75"/>
    <row r="146" s="156" customFormat="1" ht="12.75"/>
    <row r="147" s="156" customFormat="1" ht="12.75"/>
    <row r="148" s="156" customFormat="1" ht="12.75"/>
    <row r="149" s="156" customFormat="1" ht="12.75"/>
    <row r="150" s="156" customFormat="1" ht="12.75"/>
    <row r="151" s="156" customFormat="1" ht="12.75"/>
    <row r="152" s="156" customFormat="1" ht="12.75"/>
    <row r="153" s="156" customFormat="1" ht="12.75"/>
    <row r="154" s="156" customFormat="1" ht="12.75"/>
    <row r="155" s="156" customFormat="1" ht="12.75"/>
    <row r="156" s="156" customFormat="1" ht="12.75"/>
    <row r="157" s="156" customFormat="1" ht="12.75"/>
    <row r="158" s="156" customFormat="1" ht="12.75"/>
    <row r="159" s="156" customFormat="1" ht="12.75"/>
    <row r="160" s="156" customFormat="1" ht="12.75"/>
    <row r="161" s="156" customFormat="1" ht="12.75"/>
    <row r="162" s="156" customFormat="1" ht="12.75"/>
    <row r="163" s="156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4" r:id="rId1"/>
  <headerFooter alignWithMargins="0">
    <oddFooter>&amp;R&amp;A</oddFooter>
  </headerFooter>
  <rowBreaks count="1" manualBreakCount="1">
    <brk id="8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19">
      <selection activeCell="A1" sqref="A1"/>
    </sheetView>
  </sheetViews>
  <sheetFormatPr defaultColWidth="0" defaultRowHeight="12.75" zeroHeight="1"/>
  <cols>
    <col min="1" max="1" width="63.8515625" style="191" bestFit="1" customWidth="1"/>
    <col min="2" max="2" width="5.00390625" style="191" bestFit="1" customWidth="1"/>
    <col min="3" max="3" width="9.140625" style="191" bestFit="1" customWidth="1"/>
    <col min="4" max="4" width="11.140625" style="191" bestFit="1" customWidth="1"/>
    <col min="5" max="5" width="14.140625" style="191" bestFit="1" customWidth="1"/>
    <col min="6" max="6" width="15.7109375" style="191" customWidth="1"/>
    <col min="7" max="16384" width="0" style="191" hidden="1" customWidth="1"/>
  </cols>
  <sheetData>
    <row r="1" spans="1:5" ht="12.75">
      <c r="A1" s="156"/>
      <c r="B1" s="156"/>
      <c r="C1" s="156"/>
      <c r="D1" s="156"/>
      <c r="E1" s="156"/>
    </row>
    <row r="2" s="156" customFormat="1" ht="12.75">
      <c r="A2" s="155" t="str">
        <f>REGINFO!A1</f>
        <v>PILs TAXES - EB-2008-381</v>
      </c>
    </row>
    <row r="3" spans="1:5" s="156" customFormat="1" ht="12.75">
      <c r="A3" s="1" t="s">
        <v>379</v>
      </c>
      <c r="E3" s="316"/>
    </row>
    <row r="4" spans="1:6" s="156" customFormat="1" ht="15.75">
      <c r="A4" s="327" t="s">
        <v>439</v>
      </c>
      <c r="B4" s="157" t="s">
        <v>42</v>
      </c>
      <c r="C4" s="157" t="s">
        <v>23</v>
      </c>
      <c r="D4" s="157" t="s">
        <v>0</v>
      </c>
      <c r="E4" s="158" t="s">
        <v>1</v>
      </c>
      <c r="F4" s="157"/>
    </row>
    <row r="5" spans="1:6" s="156" customFormat="1" ht="18">
      <c r="A5" s="328" t="s">
        <v>380</v>
      </c>
      <c r="B5" s="157"/>
      <c r="C5" s="157" t="s">
        <v>46</v>
      </c>
      <c r="D5" s="157" t="s">
        <v>38</v>
      </c>
      <c r="E5" s="158" t="s">
        <v>3</v>
      </c>
      <c r="F5" s="157"/>
    </row>
    <row r="6" spans="1:6" s="156" customFormat="1" ht="12.75">
      <c r="A6" s="274" t="s">
        <v>39</v>
      </c>
      <c r="B6" s="157"/>
      <c r="C6" s="157" t="s">
        <v>3</v>
      </c>
      <c r="D6" s="157"/>
      <c r="E6" s="158" t="s">
        <v>2</v>
      </c>
      <c r="F6" s="157"/>
    </row>
    <row r="7" spans="1:6" s="156" customFormat="1" ht="12.75">
      <c r="A7" s="1">
        <f>REGINFO!E2</f>
        <v>0</v>
      </c>
      <c r="B7" s="157"/>
      <c r="C7" s="157" t="s">
        <v>2</v>
      </c>
      <c r="D7" s="157"/>
      <c r="E7" s="157"/>
      <c r="F7" s="157"/>
    </row>
    <row r="8" spans="1:6" s="156" customFormat="1" ht="12.75">
      <c r="A8" s="179" t="str">
        <f>REGINFO!A3</f>
        <v>Utility Name: PowerStream Inc. - Richmond Hill</v>
      </c>
      <c r="B8" s="157"/>
      <c r="C8" s="157"/>
      <c r="D8" s="157"/>
      <c r="E8" s="158" t="str">
        <f>REGINFO!E1</f>
        <v>Version 2009.1</v>
      </c>
      <c r="F8" s="157"/>
    </row>
    <row r="9" s="156" customFormat="1" ht="12.75">
      <c r="F9" s="169"/>
    </row>
    <row r="10" spans="2:6" s="156" customFormat="1" ht="12.75">
      <c r="B10" s="169"/>
      <c r="C10" s="2"/>
      <c r="D10" s="2"/>
      <c r="E10" s="2"/>
      <c r="F10" s="169"/>
    </row>
    <row r="11" spans="1:6" s="156" customFormat="1" ht="12.75">
      <c r="A11" s="179" t="str">
        <f>REGINFO!A4</f>
        <v>Reporting period:  2004</v>
      </c>
      <c r="B11" s="169"/>
      <c r="C11" s="2"/>
      <c r="D11" s="2"/>
      <c r="E11" s="2"/>
      <c r="F11" s="169"/>
    </row>
    <row r="12" spans="1:6" s="156" customFormat="1" ht="12.75">
      <c r="A12" s="1" t="s">
        <v>121</v>
      </c>
      <c r="B12" s="169"/>
      <c r="C12" s="74">
        <f>TAXREC!C11</f>
        <v>152</v>
      </c>
      <c r="D12" s="2"/>
      <c r="E12" s="2"/>
      <c r="F12" s="169"/>
    </row>
    <row r="13" spans="1:6" s="156" customFormat="1" ht="13.5" thickBot="1">
      <c r="A13" s="1"/>
      <c r="B13" s="169"/>
      <c r="C13" s="60"/>
      <c r="D13" s="2"/>
      <c r="E13" s="2"/>
      <c r="F13" s="169"/>
    </row>
    <row r="14" spans="1:6" s="156" customFormat="1" ht="13.5" thickTop="1">
      <c r="A14" s="164"/>
      <c r="B14" s="166"/>
      <c r="C14" s="276"/>
      <c r="D14" s="276"/>
      <c r="E14" s="276"/>
      <c r="F14" s="169"/>
    </row>
    <row r="15" spans="1:6" s="156" customFormat="1" ht="12.75">
      <c r="A15" s="1"/>
      <c r="B15" s="169"/>
      <c r="C15" s="10"/>
      <c r="D15" s="2"/>
      <c r="E15" s="2"/>
      <c r="F15" s="169"/>
    </row>
    <row r="16" spans="1:6" s="156" customFormat="1" ht="12.75">
      <c r="A16" s="168" t="s">
        <v>176</v>
      </c>
      <c r="B16" s="169"/>
      <c r="C16" s="2"/>
      <c r="D16" s="2"/>
      <c r="E16" s="280"/>
      <c r="F16" s="157"/>
    </row>
    <row r="17" spans="1:6" s="156" customFormat="1" ht="12.75">
      <c r="A17" s="1" t="s">
        <v>122</v>
      </c>
      <c r="B17" s="169"/>
      <c r="C17" s="2"/>
      <c r="D17" s="2"/>
      <c r="E17" s="280"/>
      <c r="F17" s="157"/>
    </row>
    <row r="18" s="156" customFormat="1" ht="12.75"/>
    <row r="19" spans="1:5" s="156" customFormat="1" ht="12.75">
      <c r="A19" s="323" t="s">
        <v>132</v>
      </c>
      <c r="B19" s="156" t="s">
        <v>186</v>
      </c>
      <c r="C19" s="326"/>
      <c r="D19" s="326"/>
      <c r="E19" s="103">
        <f aca="true" t="shared" si="0" ref="E19:E45">C19-D19</f>
        <v>0</v>
      </c>
    </row>
    <row r="20" spans="1:5" s="156" customFormat="1" ht="12.75">
      <c r="A20" s="156" t="s">
        <v>382</v>
      </c>
      <c r="B20" s="156" t="s">
        <v>186</v>
      </c>
      <c r="C20" s="326"/>
      <c r="D20" s="326"/>
      <c r="E20" s="103">
        <f t="shared" si="0"/>
        <v>0</v>
      </c>
    </row>
    <row r="21" spans="1:5" s="156" customFormat="1" ht="12.75">
      <c r="A21" s="156" t="s">
        <v>447</v>
      </c>
      <c r="B21" s="156" t="s">
        <v>186</v>
      </c>
      <c r="C21" s="326"/>
      <c r="D21" s="326"/>
      <c r="E21" s="103">
        <f t="shared" si="0"/>
        <v>0</v>
      </c>
    </row>
    <row r="22" spans="1:5" s="156" customFormat="1" ht="12.75">
      <c r="A22" s="323" t="s">
        <v>385</v>
      </c>
      <c r="B22" s="156" t="s">
        <v>186</v>
      </c>
      <c r="C22" s="326"/>
      <c r="D22" s="326"/>
      <c r="E22" s="103">
        <f t="shared" si="0"/>
        <v>0</v>
      </c>
    </row>
    <row r="23" spans="1:5" s="156" customFormat="1" ht="12.75">
      <c r="A23" s="323" t="s">
        <v>386</v>
      </c>
      <c r="B23" s="156" t="s">
        <v>186</v>
      </c>
      <c r="C23" s="326"/>
      <c r="D23" s="326"/>
      <c r="E23" s="103">
        <f t="shared" si="0"/>
        <v>0</v>
      </c>
    </row>
    <row r="24" spans="1:5" s="156" customFormat="1" ht="12.75">
      <c r="A24" s="323" t="s">
        <v>448</v>
      </c>
      <c r="B24" s="156" t="s">
        <v>186</v>
      </c>
      <c r="C24" s="326"/>
      <c r="D24" s="326"/>
      <c r="E24" s="103">
        <f t="shared" si="0"/>
        <v>0</v>
      </c>
    </row>
    <row r="25" spans="1:5" s="156" customFormat="1" ht="12.75">
      <c r="A25" s="323" t="s">
        <v>124</v>
      </c>
      <c r="B25" s="156" t="s">
        <v>186</v>
      </c>
      <c r="C25" s="326"/>
      <c r="D25" s="326"/>
      <c r="E25" s="103">
        <f t="shared" si="0"/>
        <v>0</v>
      </c>
    </row>
    <row r="26" spans="1:5" s="156" customFormat="1" ht="12.75">
      <c r="A26" s="323" t="s">
        <v>133</v>
      </c>
      <c r="B26" s="156" t="s">
        <v>186</v>
      </c>
      <c r="C26" s="326"/>
      <c r="D26" s="326"/>
      <c r="E26" s="103">
        <f t="shared" si="0"/>
        <v>0</v>
      </c>
    </row>
    <row r="27" spans="1:5" s="156" customFormat="1" ht="12.75">
      <c r="A27" s="323" t="s">
        <v>432</v>
      </c>
      <c r="B27" s="156" t="s">
        <v>186</v>
      </c>
      <c r="C27" s="326"/>
      <c r="D27" s="326"/>
      <c r="E27" s="103">
        <f t="shared" si="0"/>
        <v>0</v>
      </c>
    </row>
    <row r="28" spans="1:5" s="156" customFormat="1" ht="12.75">
      <c r="A28" s="323" t="s">
        <v>384</v>
      </c>
      <c r="B28" s="156" t="s">
        <v>186</v>
      </c>
      <c r="C28" s="326"/>
      <c r="D28" s="326"/>
      <c r="E28" s="103">
        <f t="shared" si="0"/>
        <v>0</v>
      </c>
    </row>
    <row r="29" spans="1:5" s="156" customFormat="1" ht="12.75">
      <c r="A29" s="323" t="s">
        <v>135</v>
      </c>
      <c r="B29" s="156" t="s">
        <v>186</v>
      </c>
      <c r="C29" s="326"/>
      <c r="D29" s="326"/>
      <c r="E29" s="103">
        <f t="shared" si="0"/>
        <v>0</v>
      </c>
    </row>
    <row r="30" spans="1:5" s="156" customFormat="1" ht="12.75">
      <c r="A30" s="323" t="s">
        <v>383</v>
      </c>
      <c r="B30" s="156" t="s">
        <v>186</v>
      </c>
      <c r="C30" s="326"/>
      <c r="D30" s="326"/>
      <c r="E30" s="103">
        <f t="shared" si="0"/>
        <v>0</v>
      </c>
    </row>
    <row r="31" spans="1:5" s="156" customFormat="1" ht="12.75">
      <c r="A31" s="323" t="s">
        <v>191</v>
      </c>
      <c r="B31" s="156" t="s">
        <v>186</v>
      </c>
      <c r="C31" s="326"/>
      <c r="D31" s="326"/>
      <c r="E31" s="103">
        <f t="shared" si="0"/>
        <v>0</v>
      </c>
    </row>
    <row r="32" spans="1:5" s="156" customFormat="1" ht="12.75">
      <c r="A32" s="323" t="s">
        <v>427</v>
      </c>
      <c r="B32" s="156" t="s">
        <v>186</v>
      </c>
      <c r="C32" s="326">
        <v>1906</v>
      </c>
      <c r="D32" s="326"/>
      <c r="E32" s="103">
        <f t="shared" si="0"/>
        <v>1906</v>
      </c>
    </row>
    <row r="33" spans="1:5" s="156" customFormat="1" ht="12.75">
      <c r="A33" s="323" t="s">
        <v>428</v>
      </c>
      <c r="B33" s="156" t="s">
        <v>186</v>
      </c>
      <c r="C33" s="326"/>
      <c r="D33" s="326"/>
      <c r="E33" s="103">
        <f t="shared" si="0"/>
        <v>0</v>
      </c>
    </row>
    <row r="34" spans="1:5" s="156" customFormat="1" ht="12.75">
      <c r="A34" s="323" t="s">
        <v>444</v>
      </c>
      <c r="B34" s="156" t="s">
        <v>186</v>
      </c>
      <c r="C34" s="326"/>
      <c r="D34" s="326"/>
      <c r="E34" s="103">
        <f t="shared" si="0"/>
        <v>0</v>
      </c>
    </row>
    <row r="35" spans="1:5" s="156" customFormat="1" ht="12.75">
      <c r="A35" s="329" t="s">
        <v>445</v>
      </c>
      <c r="B35" s="156" t="s">
        <v>186</v>
      </c>
      <c r="C35" s="326"/>
      <c r="D35" s="326"/>
      <c r="E35" s="103">
        <f t="shared" si="0"/>
        <v>0</v>
      </c>
    </row>
    <row r="36" spans="1:5" s="156" customFormat="1" ht="12.75">
      <c r="A36" s="323" t="s">
        <v>429</v>
      </c>
      <c r="B36" s="156" t="s">
        <v>186</v>
      </c>
      <c r="C36" s="326">
        <v>6216</v>
      </c>
      <c r="D36" s="326"/>
      <c r="E36" s="103">
        <f t="shared" si="0"/>
        <v>6216</v>
      </c>
    </row>
    <row r="37" spans="1:5" s="156" customFormat="1" ht="12.75">
      <c r="A37" s="323" t="s">
        <v>430</v>
      </c>
      <c r="B37" s="156" t="s">
        <v>186</v>
      </c>
      <c r="C37" s="326"/>
      <c r="D37" s="326"/>
      <c r="E37" s="103">
        <f t="shared" si="0"/>
        <v>0</v>
      </c>
    </row>
    <row r="38" spans="1:5" s="156" customFormat="1" ht="12.75">
      <c r="A38" s="323" t="s">
        <v>451</v>
      </c>
      <c r="B38" s="156" t="s">
        <v>186</v>
      </c>
      <c r="C38" s="326"/>
      <c r="D38" s="326"/>
      <c r="E38" s="103">
        <f t="shared" si="0"/>
        <v>0</v>
      </c>
    </row>
    <row r="39" spans="1:5" s="156" customFormat="1" ht="12.75">
      <c r="A39" s="433"/>
      <c r="B39" s="156" t="s">
        <v>186</v>
      </c>
      <c r="C39" s="326"/>
      <c r="D39" s="326"/>
      <c r="E39" s="103">
        <f t="shared" si="0"/>
        <v>0</v>
      </c>
    </row>
    <row r="40" spans="1:5" s="156" customFormat="1" ht="12.75">
      <c r="A40" s="329" t="s">
        <v>387</v>
      </c>
      <c r="B40" s="156" t="s">
        <v>186</v>
      </c>
      <c r="C40" s="326"/>
      <c r="D40" s="326"/>
      <c r="E40" s="103">
        <f t="shared" si="0"/>
        <v>0</v>
      </c>
    </row>
    <row r="41" spans="1:5" s="156" customFormat="1" ht="12.75">
      <c r="A41" s="329" t="s">
        <v>381</v>
      </c>
      <c r="B41" s="156" t="s">
        <v>186</v>
      </c>
      <c r="C41" s="326"/>
      <c r="D41" s="326"/>
      <c r="E41" s="103">
        <f t="shared" si="0"/>
        <v>0</v>
      </c>
    </row>
    <row r="42" spans="1:5" s="156" customFormat="1" ht="12.75">
      <c r="A42" s="433"/>
      <c r="B42" s="156" t="s">
        <v>186</v>
      </c>
      <c r="C42" s="326"/>
      <c r="D42" s="326"/>
      <c r="E42" s="103">
        <f t="shared" si="0"/>
        <v>0</v>
      </c>
    </row>
    <row r="43" spans="1:5" s="156" customFormat="1" ht="12.75">
      <c r="A43" s="305" t="s">
        <v>203</v>
      </c>
      <c r="B43" s="156" t="s">
        <v>186</v>
      </c>
      <c r="C43" s="326"/>
      <c r="D43" s="326"/>
      <c r="E43" s="103">
        <f t="shared" si="0"/>
        <v>0</v>
      </c>
    </row>
    <row r="44" spans="1:5" s="156" customFormat="1" ht="12.75">
      <c r="A44" s="432" t="s">
        <v>661</v>
      </c>
      <c r="B44" s="156" t="s">
        <v>186</v>
      </c>
      <c r="C44" s="326">
        <f>14877+53877</f>
        <v>68754</v>
      </c>
      <c r="D44" s="326"/>
      <c r="E44" s="64">
        <f t="shared" si="0"/>
        <v>68754</v>
      </c>
    </row>
    <row r="45" spans="1:5" s="156" customFormat="1" ht="12.75">
      <c r="A45" s="433"/>
      <c r="B45" s="156" t="s">
        <v>186</v>
      </c>
      <c r="C45" s="326"/>
      <c r="D45" s="326"/>
      <c r="E45" s="64">
        <f t="shared" si="0"/>
        <v>0</v>
      </c>
    </row>
    <row r="46" spans="1:5" s="156" customFormat="1" ht="12.75">
      <c r="A46" s="432" t="s">
        <v>682</v>
      </c>
      <c r="B46" s="156" t="s">
        <v>186</v>
      </c>
      <c r="C46" s="326">
        <v>1501798</v>
      </c>
      <c r="D46" s="326"/>
      <c r="E46" s="82"/>
    </row>
    <row r="47" spans="1:5" s="156" customFormat="1" ht="12.75">
      <c r="A47" s="330" t="s">
        <v>391</v>
      </c>
      <c r="B47" s="156" t="s">
        <v>188</v>
      </c>
      <c r="C47" s="64">
        <f>SUM(C19:C46)</f>
        <v>1578674</v>
      </c>
      <c r="D47" s="64">
        <f>SUM(D19:D46)</f>
        <v>0</v>
      </c>
      <c r="E47" s="64">
        <f>SUM(E19:E46)</f>
        <v>76876</v>
      </c>
    </row>
    <row r="48" s="156" customFormat="1" ht="12.75">
      <c r="A48" s="323"/>
    </row>
    <row r="49" s="156" customFormat="1" ht="12.75">
      <c r="A49" s="329" t="s">
        <v>144</v>
      </c>
    </row>
    <row r="50" s="156" customFormat="1" ht="12.75"/>
    <row r="51" spans="1:5" s="156" customFormat="1" ht="12.75">
      <c r="A51" s="325" t="s">
        <v>382</v>
      </c>
      <c r="B51" s="157" t="s">
        <v>187</v>
      </c>
      <c r="C51" s="326"/>
      <c r="D51" s="326"/>
      <c r="E51" s="64">
        <f aca="true" t="shared" si="1" ref="E51:E61">C51-D51</f>
        <v>0</v>
      </c>
    </row>
    <row r="52" spans="1:5" s="156" customFormat="1" ht="12.75">
      <c r="A52" s="323" t="s">
        <v>447</v>
      </c>
      <c r="B52" s="157" t="s">
        <v>187</v>
      </c>
      <c r="C52" s="326"/>
      <c r="D52" s="326"/>
      <c r="E52" s="64">
        <f t="shared" si="1"/>
        <v>0</v>
      </c>
    </row>
    <row r="53" spans="1:5" s="156" customFormat="1" ht="12.75">
      <c r="A53" s="156" t="s">
        <v>383</v>
      </c>
      <c r="B53" s="157" t="s">
        <v>187</v>
      </c>
      <c r="C53" s="326"/>
      <c r="D53" s="326"/>
      <c r="E53" s="64">
        <f t="shared" si="1"/>
        <v>0</v>
      </c>
    </row>
    <row r="54" spans="1:5" s="156" customFormat="1" ht="12.75">
      <c r="A54" s="156" t="s">
        <v>431</v>
      </c>
      <c r="B54" s="157" t="s">
        <v>187</v>
      </c>
      <c r="C54" s="326"/>
      <c r="D54" s="326"/>
      <c r="E54" s="64">
        <f t="shared" si="1"/>
        <v>0</v>
      </c>
    </row>
    <row r="55" spans="1:5" s="156" customFormat="1" ht="12.75">
      <c r="A55" s="323" t="s">
        <v>438</v>
      </c>
      <c r="B55" s="157" t="s">
        <v>187</v>
      </c>
      <c r="C55" s="326"/>
      <c r="D55" s="326"/>
      <c r="E55" s="64">
        <f t="shared" si="1"/>
        <v>0</v>
      </c>
    </row>
    <row r="56" spans="1:5" s="156" customFormat="1" ht="12.75">
      <c r="A56" s="323" t="s">
        <v>450</v>
      </c>
      <c r="B56" s="157" t="s">
        <v>187</v>
      </c>
      <c r="C56" s="326"/>
      <c r="D56" s="326"/>
      <c r="E56" s="64">
        <f t="shared" si="1"/>
        <v>0</v>
      </c>
    </row>
    <row r="57" spans="1:5" s="156" customFormat="1" ht="12.75">
      <c r="A57" s="1" t="s">
        <v>446</v>
      </c>
      <c r="B57" s="157" t="s">
        <v>187</v>
      </c>
      <c r="C57" s="326"/>
      <c r="D57" s="326"/>
      <c r="E57" s="64">
        <f t="shared" si="1"/>
        <v>0</v>
      </c>
    </row>
    <row r="58" spans="1:5" s="156" customFormat="1" ht="12.75">
      <c r="A58" s="323" t="s">
        <v>449</v>
      </c>
      <c r="B58" s="157" t="s">
        <v>187</v>
      </c>
      <c r="C58" s="326"/>
      <c r="D58" s="326"/>
      <c r="E58" s="64">
        <f t="shared" si="1"/>
        <v>0</v>
      </c>
    </row>
    <row r="59" spans="1:5" s="156" customFormat="1" ht="12.75">
      <c r="A59" s="432"/>
      <c r="B59" s="157" t="s">
        <v>187</v>
      </c>
      <c r="C59" s="326"/>
      <c r="D59" s="326"/>
      <c r="E59" s="64">
        <f t="shared" si="1"/>
        <v>0</v>
      </c>
    </row>
    <row r="60" spans="1:5" s="156" customFormat="1" ht="12.75">
      <c r="A60" s="433"/>
      <c r="B60" s="157" t="s">
        <v>187</v>
      </c>
      <c r="C60" s="326"/>
      <c r="D60" s="326"/>
      <c r="E60" s="64">
        <f t="shared" si="1"/>
        <v>0</v>
      </c>
    </row>
    <row r="61" spans="1:5" s="156" customFormat="1" ht="12.75">
      <c r="A61" s="433"/>
      <c r="B61" s="157" t="s">
        <v>187</v>
      </c>
      <c r="C61" s="326"/>
      <c r="D61" s="326"/>
      <c r="E61" s="64">
        <f t="shared" si="1"/>
        <v>0</v>
      </c>
    </row>
    <row r="62" spans="1:5" s="156" customFormat="1" ht="12.75">
      <c r="A62" s="433"/>
      <c r="B62" s="157" t="s">
        <v>187</v>
      </c>
      <c r="C62" s="326"/>
      <c r="D62" s="326"/>
      <c r="E62" s="64">
        <f aca="true" t="shared" si="2" ref="E62:E72">C62-D62</f>
        <v>0</v>
      </c>
    </row>
    <row r="63" spans="1:5" s="156" customFormat="1" ht="12.75">
      <c r="A63" s="433"/>
      <c r="B63" s="157" t="s">
        <v>187</v>
      </c>
      <c r="C63" s="326"/>
      <c r="D63" s="326"/>
      <c r="E63" s="64">
        <f t="shared" si="2"/>
        <v>0</v>
      </c>
    </row>
    <row r="64" spans="1:5" s="156" customFormat="1" ht="12.75">
      <c r="A64" s="331" t="s">
        <v>388</v>
      </c>
      <c r="B64" s="157" t="s">
        <v>187</v>
      </c>
      <c r="C64" s="326"/>
      <c r="D64" s="326"/>
      <c r="E64" s="64">
        <f t="shared" si="2"/>
        <v>0</v>
      </c>
    </row>
    <row r="65" spans="1:5" s="156" customFormat="1" ht="12.75">
      <c r="A65" s="433"/>
      <c r="B65" s="157" t="s">
        <v>187</v>
      </c>
      <c r="C65" s="326"/>
      <c r="D65" s="326"/>
      <c r="E65" s="64">
        <f t="shared" si="2"/>
        <v>0</v>
      </c>
    </row>
    <row r="66" spans="1:5" s="156" customFormat="1" ht="12.75">
      <c r="A66" s="331" t="s">
        <v>381</v>
      </c>
      <c r="B66" s="157" t="s">
        <v>187</v>
      </c>
      <c r="C66" s="326"/>
      <c r="D66" s="326"/>
      <c r="E66" s="64">
        <f t="shared" si="2"/>
        <v>0</v>
      </c>
    </row>
    <row r="67" spans="1:5" s="156" customFormat="1" ht="12.75">
      <c r="A67" s="432"/>
      <c r="B67" s="157" t="s">
        <v>187</v>
      </c>
      <c r="C67" s="326"/>
      <c r="D67" s="326"/>
      <c r="E67" s="64">
        <f t="shared" si="2"/>
        <v>0</v>
      </c>
    </row>
    <row r="68" spans="1:5" s="156" customFormat="1" ht="12.75">
      <c r="A68" s="305" t="s">
        <v>204</v>
      </c>
      <c r="B68" s="157" t="s">
        <v>187</v>
      </c>
      <c r="C68" s="326"/>
      <c r="D68" s="326"/>
      <c r="E68" s="64">
        <f t="shared" si="2"/>
        <v>0</v>
      </c>
    </row>
    <row r="69" spans="1:5" s="156" customFormat="1" ht="12.75">
      <c r="A69" s="432" t="s">
        <v>662</v>
      </c>
      <c r="B69" s="157" t="s">
        <v>187</v>
      </c>
      <c r="C69" s="326">
        <v>29800</v>
      </c>
      <c r="D69" s="326"/>
      <c r="E69" s="64">
        <f t="shared" si="2"/>
        <v>29800</v>
      </c>
    </row>
    <row r="70" spans="1:5" s="156" customFormat="1" ht="12.75">
      <c r="A70" s="432" t="s">
        <v>663</v>
      </c>
      <c r="B70" s="157" t="s">
        <v>187</v>
      </c>
      <c r="C70" s="326">
        <v>73390</v>
      </c>
      <c r="D70" s="326"/>
      <c r="E70" s="64">
        <f t="shared" si="2"/>
        <v>73390</v>
      </c>
    </row>
    <row r="71" spans="1:5" s="156" customFormat="1" ht="12.75">
      <c r="A71" s="432"/>
      <c r="B71" s="157" t="s">
        <v>187</v>
      </c>
      <c r="C71" s="326"/>
      <c r="D71" s="326"/>
      <c r="E71" s="64">
        <f t="shared" si="2"/>
        <v>0</v>
      </c>
    </row>
    <row r="72" spans="1:5" s="156" customFormat="1" ht="12.75">
      <c r="A72" s="434" t="s">
        <v>664</v>
      </c>
      <c r="B72" s="157" t="s">
        <v>187</v>
      </c>
      <c r="C72" s="326">
        <v>29</v>
      </c>
      <c r="D72" s="326"/>
      <c r="E72" s="82">
        <f t="shared" si="2"/>
        <v>29</v>
      </c>
    </row>
    <row r="73" spans="1:5" s="156" customFormat="1" ht="12.75">
      <c r="A73" s="332" t="s">
        <v>390</v>
      </c>
      <c r="B73" s="157" t="s">
        <v>188</v>
      </c>
      <c r="C73" s="64">
        <f>SUM(C51:C72)</f>
        <v>103219</v>
      </c>
      <c r="D73" s="64">
        <f>SUM(D51:D72)</f>
        <v>0</v>
      </c>
      <c r="E73" s="64">
        <f>SUM(E51:E72)</f>
        <v>103219</v>
      </c>
    </row>
    <row r="74" s="156" customFormat="1" ht="12.75">
      <c r="A74" s="323"/>
    </row>
    <row r="75" s="156" customFormat="1" ht="12.75">
      <c r="A75" s="274"/>
    </row>
    <row r="76" s="156" customFormat="1" ht="12.75">
      <c r="A76" s="274"/>
    </row>
    <row r="77" s="156" customFormat="1" ht="12.75">
      <c r="A77" s="274"/>
    </row>
    <row r="78" s="156" customFormat="1" ht="12.75">
      <c r="A78" s="274"/>
    </row>
    <row r="79" s="156" customFormat="1" ht="12.75">
      <c r="A79" s="274"/>
    </row>
    <row r="80" s="156" customFormat="1" ht="12.75">
      <c r="A80" s="274"/>
    </row>
    <row r="81" s="156" customFormat="1" ht="12.75">
      <c r="A81" s="274"/>
    </row>
    <row r="82" s="156" customFormat="1" ht="12.75">
      <c r="A82" s="274"/>
    </row>
    <row r="83" s="156" customFormat="1" ht="12.75">
      <c r="A83" s="274"/>
    </row>
    <row r="84" s="156" customFormat="1" ht="12.75">
      <c r="A84" s="274"/>
    </row>
    <row r="85" s="156" customFormat="1" ht="12.75">
      <c r="A85" s="274"/>
    </row>
    <row r="86" s="156" customFormat="1" ht="12.75">
      <c r="A86" s="274"/>
    </row>
    <row r="87" s="156" customFormat="1" ht="12.75">
      <c r="A87" s="274"/>
    </row>
    <row r="88" s="156" customFormat="1" ht="12.75">
      <c r="A88" s="274"/>
    </row>
    <row r="89" s="156" customFormat="1" ht="12.75">
      <c r="A89" s="274"/>
    </row>
    <row r="90" s="156" customFormat="1" ht="12.75">
      <c r="A90" s="274"/>
    </row>
    <row r="91" s="156" customFormat="1" ht="12.75">
      <c r="A91" s="274"/>
    </row>
    <row r="92" s="156" customFormat="1" ht="12.75">
      <c r="A92" s="274"/>
    </row>
    <row r="93" s="156" customFormat="1" ht="12.75"/>
    <row r="94" s="156" customFormat="1" ht="12.75"/>
    <row r="95" s="156" customFormat="1" ht="12.75"/>
    <row r="96" s="156" customFormat="1" ht="12.75"/>
    <row r="97" s="156" customFormat="1" ht="12.75"/>
    <row r="98" s="156" customFormat="1" ht="12.75"/>
    <row r="99" s="156" customFormat="1" ht="12.75"/>
    <row r="100" s="156" customFormat="1" ht="12.75"/>
    <row r="101" s="156" customFormat="1" ht="12.75"/>
    <row r="102" s="156" customFormat="1" ht="12.75"/>
    <row r="103" s="156" customFormat="1" ht="12.75"/>
    <row r="104" s="156" customFormat="1" ht="12.75"/>
    <row r="105" s="156" customFormat="1" ht="12.75"/>
    <row r="106" s="156" customFormat="1" ht="12.75"/>
    <row r="107" s="156" customFormat="1" ht="12.75"/>
    <row r="108" s="156" customFormat="1" ht="12.75"/>
    <row r="109" s="156" customFormat="1" ht="12.75"/>
    <row r="110" s="156" customFormat="1" ht="12.75"/>
    <row r="111" s="156" customFormat="1" ht="12.75"/>
    <row r="112" s="156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tom.barrett</cp:lastModifiedBy>
  <cp:lastPrinted>2012-01-23T20:19:27Z</cp:lastPrinted>
  <dcterms:created xsi:type="dcterms:W3CDTF">2001-11-07T16:15:53Z</dcterms:created>
  <dcterms:modified xsi:type="dcterms:W3CDTF">2012-01-23T20:19:29Z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